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416" yWindow="65416" windowWidth="29040" windowHeight="15840" tabRatio="862" activeTab="0"/>
  </bookViews>
  <sheets>
    <sheet name="Krycí list rozpočtu" sheetId="1" r:id="rId1"/>
    <sheet name="Rozpočet - objekty" sheetId="2" r:id="rId2"/>
    <sheet name="Stavební rozpočet (SO 13)" sheetId="5" r:id="rId3"/>
    <sheet name="Výkaz výměr (SO 13)" sheetId="6" r:id="rId4"/>
    <sheet name="Stavební rozpočet (VRN)" sheetId="11" r:id="rId5"/>
    <sheet name="Výkaz výměr (VRN)" sheetId="12" r:id="rId6"/>
    <sheet name="Stavební rozpočet" sheetId="13" state="veryHidden" r:id="rId7"/>
    <sheet name="Rozpočet - práce" sheetId="14" state="veryHidden" r:id="rId8"/>
    <sheet name="Rozpočet - materiál" sheetId="15" state="veryHidden" r:id="rId9"/>
  </sheets>
  <definedNames>
    <definedName name="_xlnm.Print_Area" localSheetId="2">'Stavební rozpočet (SO 13)'!$A$1:$M$514</definedName>
    <definedName name="_xlnm.Print_Area" localSheetId="3">'Výkaz výměr (SO 13)'!$A$1:$H$469</definedName>
    <definedName name="_xlnm.Print_Area" localSheetId="5">'Výkaz výměr (VRN)'!$A$1:$H$23</definedName>
  </definedNames>
  <calcPr calcId="162913"/>
  <extLst/>
</workbook>
</file>

<file path=xl/sharedStrings.xml><?xml version="1.0" encoding="utf-8"?>
<sst xmlns="http://schemas.openxmlformats.org/spreadsheetml/2006/main" count="29069" uniqueCount="2230">
  <si>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</si>
  <si>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</si>
  <si>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</si>
  <si>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</si>
  <si>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</si>
  <si>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</si>
  <si>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</si>
  <si>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</si>
  <si>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</si>
  <si>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</si>
  <si>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</si>
  <si>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</si>
  <si>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</si>
  <si>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</si>
  <si>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</si>
  <si>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</si>
  <si>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</si>
  <si>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</si>
  <si>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</si>
  <si>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</si>
  <si>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</si>
  <si>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</si>
  <si>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</si>
  <si>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</si>
  <si>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</si>
  <si>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</si>
  <si>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</si>
  <si>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</si>
  <si>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</si>
  <si>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</si>
  <si>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</si>
  <si>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</si>
  <si>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</si>
  <si>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</si>
  <si>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</si>
  <si>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</si>
  <si>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</si>
  <si>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</si>
  <si>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</si>
  <si>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</si>
  <si>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</si>
  <si>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</si>
  <si>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</si>
  <si>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</si>
  <si>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</si>
  <si>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</si>
  <si>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</si>
  <si>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</si>
  <si>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</si>
  <si>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</si>
  <si>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</si>
  <si>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</si>
  <si>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</si>
  <si>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</si>
  <si>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</si>
  <si>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893</t>
  </si>
  <si>
    <t>Stavební rozpočet - Jen objekty celkem</t>
  </si>
  <si>
    <t xml:space="preserve"> </t>
  </si>
  <si>
    <t>Objekt</t>
  </si>
  <si>
    <t>SO 12</t>
  </si>
  <si>
    <t>SO 13</t>
  </si>
  <si>
    <t>SO 14</t>
  </si>
  <si>
    <t>SO 21M</t>
  </si>
  <si>
    <t>VRN</t>
  </si>
  <si>
    <t>Zkrácený popis</t>
  </si>
  <si>
    <t>J1 - Stavební úpravy přízemí</t>
  </si>
  <si>
    <t>J2 - Stavební úpravy přízemí</t>
  </si>
  <si>
    <t>J3 - Stavební úpravy přízemí</t>
  </si>
  <si>
    <t>Hromosvod</t>
  </si>
  <si>
    <t>Vedlejší rozpočtové náklady</t>
  </si>
  <si>
    <t>Doba výstavby:</t>
  </si>
  <si>
    <t>Zpracováno dne:</t>
  </si>
  <si>
    <t>Náklady (Kč)</t>
  </si>
  <si>
    <t>Dodávka</t>
  </si>
  <si>
    <t>Celkem:</t>
  </si>
  <si>
    <t>Celkem</t>
  </si>
  <si>
    <t>Hmotnost (t)</t>
  </si>
  <si>
    <t>F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</si>
  <si>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</si>
  <si>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</si>
  <si>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</si>
  <si>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</si>
  <si>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</si>
  <si>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</si>
  <si>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</si>
  <si>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</si>
  <si>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</si>
  <si>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</si>
  <si>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</si>
  <si>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</si>
  <si>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</si>
  <si>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</si>
  <si>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</si>
  <si>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</si>
  <si>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</si>
  <si>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</si>
  <si>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</si>
  <si>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</si>
  <si>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</si>
  <si>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</si>
  <si>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</si>
  <si>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</si>
  <si>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</si>
  <si>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</si>
  <si>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</si>
  <si>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</si>
  <si>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</si>
  <si>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</si>
  <si>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</si>
  <si>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</si>
  <si>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</si>
  <si>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</si>
  <si>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</si>
  <si>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</si>
  <si>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</si>
  <si>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</si>
  <si>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</si>
  <si>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</si>
  <si>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</si>
  <si>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</si>
  <si>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</si>
  <si>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</si>
  <si>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</si>
  <si>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</si>
  <si>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</si>
  <si>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</si>
  <si>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</si>
  <si>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</si>
  <si>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</si>
  <si>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</si>
  <si>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</si>
  <si>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</si>
  <si>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</si>
  <si>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</si>
  <si>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</si>
  <si>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</si>
  <si>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</si>
  <si>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</si>
  <si>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</si>
  <si>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</si>
  <si>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</si>
  <si>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</si>
  <si>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</si>
  <si>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</si>
  <si>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</si>
  <si>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</si>
  <si>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</si>
  <si>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</si>
  <si>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</si>
  <si>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</si>
  <si>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</si>
  <si>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</si>
  <si>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</si>
  <si>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</si>
  <si>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</si>
  <si>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</si>
  <si>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</si>
  <si>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</si>
  <si>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</si>
  <si>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</si>
  <si>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</si>
  <si>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</si>
  <si>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</si>
  <si>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</si>
  <si>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</si>
  <si>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</si>
  <si>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</si>
  <si>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</si>
  <si>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</si>
  <si>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</si>
  <si>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</si>
  <si>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</si>
  <si>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</si>
  <si>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</si>
  <si>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</si>
  <si>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</si>
  <si>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</si>
  <si>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</si>
  <si>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</si>
  <si>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</si>
  <si>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</si>
  <si>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</si>
  <si>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</si>
  <si>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</si>
  <si>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</si>
  <si>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</si>
  <si>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</si>
  <si>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</si>
  <si>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</si>
  <si>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</si>
  <si>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</si>
  <si>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</si>
  <si>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</si>
  <si>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</si>
  <si>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</si>
  <si>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</si>
  <si>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</si>
  <si>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</si>
  <si>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</si>
  <si>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</si>
  <si>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</si>
  <si>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</si>
  <si>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</si>
  <si>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</si>
  <si>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</si>
  <si>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</si>
  <si>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</si>
  <si>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</si>
  <si>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</si>
  <si>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</si>
  <si>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</si>
  <si>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</si>
  <si>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</si>
  <si>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</si>
  <si>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</si>
  <si>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</si>
  <si>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</si>
  <si>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</si>
  <si>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</si>
  <si>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</si>
  <si>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</si>
  <si>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</si>
  <si>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</si>
  <si>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</si>
  <si>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</si>
  <si>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</si>
  <si>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</si>
  <si>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</si>
  <si>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</si>
  <si>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</si>
  <si>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</si>
  <si>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</si>
  <si>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</si>
  <si>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</si>
  <si>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</si>
  <si>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</si>
  <si>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</si>
  <si>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</si>
  <si>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</si>
  <si>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</si>
  <si>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</si>
  <si>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</si>
  <si>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</si>
  <si>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</si>
  <si>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</si>
  <si>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Kód</t>
  </si>
  <si>
    <t>317168131R00</t>
  </si>
  <si>
    <t>317168133R00</t>
  </si>
  <si>
    <t>317945111RT1</t>
  </si>
  <si>
    <t>342248112R00</t>
  </si>
  <si>
    <t>342264051RT1</t>
  </si>
  <si>
    <t>342264101R00</t>
  </si>
  <si>
    <t>342948111R00</t>
  </si>
  <si>
    <t>347013111R00</t>
  </si>
  <si>
    <t>611310110RT1</t>
  </si>
  <si>
    <t>612409991RT2</t>
  </si>
  <si>
    <t>612421310RT1</t>
  </si>
  <si>
    <t>612421739R00</t>
  </si>
  <si>
    <t>612451081R00</t>
  </si>
  <si>
    <t>612474921RT1</t>
  </si>
  <si>
    <t>612481211RT2</t>
  </si>
  <si>
    <t>614471569RT1</t>
  </si>
  <si>
    <t>631250310RT1</t>
  </si>
  <si>
    <t>631250320RT1</t>
  </si>
  <si>
    <t>941955002R00</t>
  </si>
  <si>
    <t>943943221R00</t>
  </si>
  <si>
    <t>943943292R00</t>
  </si>
  <si>
    <t>943943821R00</t>
  </si>
  <si>
    <t>952901111R00</t>
  </si>
  <si>
    <t>953947110RT1</t>
  </si>
  <si>
    <t>953947112RT1</t>
  </si>
  <si>
    <t>959950104RA1</t>
  </si>
  <si>
    <t>962031135R00</t>
  </si>
  <si>
    <t>962031136R00</t>
  </si>
  <si>
    <t>962032432R00</t>
  </si>
  <si>
    <t>965081713R00</t>
  </si>
  <si>
    <t>967031733R00</t>
  </si>
  <si>
    <t>967031734R00</t>
  </si>
  <si>
    <t>978013191R00</t>
  </si>
  <si>
    <t>978059531R00</t>
  </si>
  <si>
    <t>S</t>
  </si>
  <si>
    <t>979081111R00</t>
  </si>
  <si>
    <t>979081121R00</t>
  </si>
  <si>
    <t>979082111R00</t>
  </si>
  <si>
    <t>979082121R00</t>
  </si>
  <si>
    <t>979087112R00</t>
  </si>
  <si>
    <t>979990101R00</t>
  </si>
  <si>
    <t>979990111R00</t>
  </si>
  <si>
    <t>H01</t>
  </si>
  <si>
    <t>998011001R00</t>
  </si>
  <si>
    <t>721</t>
  </si>
  <si>
    <t>72111</t>
  </si>
  <si>
    <t>72112</t>
  </si>
  <si>
    <t>72121</t>
  </si>
  <si>
    <t>72131</t>
  </si>
  <si>
    <t>72132</t>
  </si>
  <si>
    <t>72133</t>
  </si>
  <si>
    <t>72134</t>
  </si>
  <si>
    <t>72135</t>
  </si>
  <si>
    <t>72136</t>
  </si>
  <si>
    <t>72137</t>
  </si>
  <si>
    <t>722</t>
  </si>
  <si>
    <t>72211</t>
  </si>
  <si>
    <t>72221</t>
  </si>
  <si>
    <t>72231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</si>
  <si>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</si>
  <si>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</si>
  <si>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</si>
  <si>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</si>
  <si>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</si>
  <si>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</si>
  <si>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</si>
  <si>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</si>
  <si>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</si>
  <si>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728</t>
  </si>
  <si>
    <t>201</t>
  </si>
  <si>
    <t>202</t>
  </si>
  <si>
    <t>730</t>
  </si>
  <si>
    <t>73111</t>
  </si>
  <si>
    <t>73112</t>
  </si>
  <si>
    <t>73121</t>
  </si>
  <si>
    <t>73122</t>
  </si>
  <si>
    <t>73123</t>
  </si>
  <si>
    <t>73131</t>
  </si>
  <si>
    <t>73141</t>
  </si>
  <si>
    <t>73142</t>
  </si>
  <si>
    <t>73143</t>
  </si>
  <si>
    <t>73144</t>
  </si>
  <si>
    <t>73151</t>
  </si>
  <si>
    <t>73152</t>
  </si>
  <si>
    <t>73153</t>
  </si>
  <si>
    <t>73154</t>
  </si>
  <si>
    <t>73155</t>
  </si>
  <si>
    <t>73156</t>
  </si>
  <si>
    <t>73157</t>
  </si>
  <si>
    <t>73161</t>
  </si>
  <si>
    <t>73162</t>
  </si>
  <si>
    <t>73163</t>
  </si>
  <si>
    <t>73164</t>
  </si>
  <si>
    <t>73165</t>
  </si>
  <si>
    <t>73171</t>
  </si>
  <si>
    <t>73181</t>
  </si>
  <si>
    <t>73182</t>
  </si>
  <si>
    <t>73183</t>
  </si>
  <si>
    <t>73191</t>
  </si>
  <si>
    <t>73192</t>
  </si>
  <si>
    <t>73193</t>
  </si>
  <si>
    <t>731101</t>
  </si>
  <si>
    <t>731102</t>
  </si>
  <si>
    <t>731103</t>
  </si>
  <si>
    <t>731104</t>
  </si>
  <si>
    <t>731105</t>
  </si>
  <si>
    <t>731106</t>
  </si>
  <si>
    <t>731107</t>
  </si>
  <si>
    <t>731108</t>
  </si>
  <si>
    <t>731109</t>
  </si>
  <si>
    <t>7311010</t>
  </si>
  <si>
    <t>7311011</t>
  </si>
  <si>
    <t>7311012</t>
  </si>
  <si>
    <t>7311013</t>
  </si>
  <si>
    <t>7311014</t>
  </si>
  <si>
    <t>767</t>
  </si>
  <si>
    <t>767646540RT1</t>
  </si>
  <si>
    <t>767646542RT1</t>
  </si>
  <si>
    <t>767662310RT1</t>
  </si>
  <si>
    <t>767662320RT1</t>
  </si>
  <si>
    <t>998767101R00</t>
  </si>
  <si>
    <t>771</t>
  </si>
  <si>
    <t>771101115R00</t>
  </si>
  <si>
    <t>771101141RT1</t>
  </si>
  <si>
    <t>771101142RT2</t>
  </si>
  <si>
    <t>771101147R00</t>
  </si>
  <si>
    <t>771101210R00</t>
  </si>
  <si>
    <t>771475014R00</t>
  </si>
  <si>
    <t>597642031</t>
  </si>
  <si>
    <t>771479001R00</t>
  </si>
  <si>
    <t>771575109R00</t>
  </si>
  <si>
    <t>998771101R00</t>
  </si>
  <si>
    <t>784</t>
  </si>
  <si>
    <t>784111101R00</t>
  </si>
  <si>
    <t>784111102R00</t>
  </si>
  <si>
    <t>784115422R00</t>
  </si>
  <si>
    <t>784115712R00</t>
  </si>
  <si>
    <t>M21</t>
  </si>
  <si>
    <t>971033141</t>
  </si>
  <si>
    <t>973031324</t>
  </si>
  <si>
    <t>974082212</t>
  </si>
  <si>
    <t>974082214</t>
  </si>
  <si>
    <t>740991200</t>
  </si>
  <si>
    <t>742000111</t>
  </si>
  <si>
    <t>357105115R</t>
  </si>
  <si>
    <t>357045815R</t>
  </si>
  <si>
    <t>74281111R</t>
  </si>
  <si>
    <t>743112115</t>
  </si>
  <si>
    <t>345710510</t>
  </si>
  <si>
    <t>743411111</t>
  </si>
  <si>
    <t>345715210</t>
  </si>
  <si>
    <t>744411220</t>
  </si>
  <si>
    <t>341110300</t>
  </si>
  <si>
    <t>746211110</t>
  </si>
  <si>
    <t>21060624</t>
  </si>
  <si>
    <t>68500240</t>
  </si>
  <si>
    <t>345723090</t>
  </si>
  <si>
    <t>7471621R</t>
  </si>
  <si>
    <t>748121142</t>
  </si>
  <si>
    <t>34814435R5</t>
  </si>
  <si>
    <t>34814435R6</t>
  </si>
  <si>
    <t>34814435R7</t>
  </si>
  <si>
    <t>748121211</t>
  </si>
  <si>
    <t>348381000</t>
  </si>
  <si>
    <t>74899220R</t>
  </si>
  <si>
    <t>748992300</t>
  </si>
  <si>
    <t>74991111R</t>
  </si>
  <si>
    <t>013254000</t>
  </si>
  <si>
    <t>071103000</t>
  </si>
  <si>
    <t>092103001</t>
  </si>
  <si>
    <t>092100200D</t>
  </si>
  <si>
    <t>092100008</t>
  </si>
  <si>
    <t>Zkrácený popis / Varianta</t>
  </si>
  <si>
    <t>Rozměry</t>
  </si>
  <si>
    <t>Zdi podpěrné a volné</t>
  </si>
  <si>
    <t>Překlad cihlobetonový vysoký 70x235x1250 mm ozn.N2</t>
  </si>
  <si>
    <t>Překlad cihlobetonový vysoký 70x235x1750 mm ozn.N1</t>
  </si>
  <si>
    <t>Ocel.profil pro uložení překladů ozn.OS04</t>
  </si>
  <si>
    <t>montáž a dodávka</t>
  </si>
  <si>
    <t>Stěny a příčky</t>
  </si>
  <si>
    <t>Příčky z keram.dutin.tvárnic 11,5 na MVC 5, tl. 115 mm</t>
  </si>
  <si>
    <t>Podhled sádrokartonový na zavěšenou ocel. konstr. -skladba B1, body 2-8</t>
  </si>
  <si>
    <t>penetrace+tmel+izolant.tl.100mm+stěrka s perlinkou+rošt s min.vatou tl.40mm+SDK deska tl.12,5mm+přetmelení a přebroušení spár</t>
  </si>
  <si>
    <t>Osazení reviz. dvířek do SDK podhledu, do 0,25 m2 ozn.OS01</t>
  </si>
  <si>
    <t>vč.dodávky dvířek 300x300mm</t>
  </si>
  <si>
    <t>Ukotvení příček ke stěnám kotvami na hmožd.</t>
  </si>
  <si>
    <t>Předstěna SDK,tl.50mm,1x ocel.kce CD,1x RB 12,5mm</t>
  </si>
  <si>
    <t>tl.izolace 40mm</t>
  </si>
  <si>
    <t>Úprava povrchů vnitřní</t>
  </si>
  <si>
    <t>KZS ETICS, strop, MV tl.300mm -skladba B3, body 1-5</t>
  </si>
  <si>
    <t>oškrábání štuků a maleb+penetrace+lep.a vyrovn.malta+izolant tl.300mm+stěrk.tmel tl.3,5mm</t>
  </si>
  <si>
    <t>Začištění omítek kolem oken,dveří apod.</t>
  </si>
  <si>
    <t>s použitím suché maltové směsi</t>
  </si>
  <si>
    <t>Vyspravení a oprava povrchu stěn před omítkami do 30 % pl.</t>
  </si>
  <si>
    <t>Omítka vnitřní zdiva, MVC stěrková, štuková</t>
  </si>
  <si>
    <t>na stávající porobeton a beton</t>
  </si>
  <si>
    <t>Zatření spár vnitřního zdiva z tvárnic nebo desek</t>
  </si>
  <si>
    <t>Omítka stěn vnitřní dvouvrstvá, vápen. štuk</t>
  </si>
  <si>
    <t>na pálené cihly a tvarovky</t>
  </si>
  <si>
    <t>Montáž výztužné sítě (perlinky) do stěrky-stěny</t>
  </si>
  <si>
    <t>včetně výztužné sítě a stěrkového tmelu -porobeton a beton</t>
  </si>
  <si>
    <t>Úprava zednická vnitř.parapetu-přeštukováním ozn.T2</t>
  </si>
  <si>
    <t xml:space="preserve">vč.očištění,vyspravení podkladu
</t>
  </si>
  <si>
    <t>Podlahy a podlahové konstrukce</t>
  </si>
  <si>
    <t>Podlaha na terénu nová-zachovaná podlahová deska -skladba  P2, body 3-10</t>
  </si>
  <si>
    <t>Podlaha na terénu nová-vč.nové podlahové desky -skladba  P3, body 3-11</t>
  </si>
  <si>
    <t>litý samoniv.potěr tl.60mm+separ.PE folie+izolant tl.100mm+EPS tl.15mm+textilie+modif.pás SBS vč.napojení+penetrace+nová bet.deska s 2x KARI tl.150mm+štp.podsyp tl.150mm</t>
  </si>
  <si>
    <t>Lešení a stavební výtahy</t>
  </si>
  <si>
    <t>Lešení lehké pomocné, výška podlahy do 1,9 m</t>
  </si>
  <si>
    <t>Montáž lešení prostorové lehké, do 200kg, H 10 m pro SDK</t>
  </si>
  <si>
    <t>Příplatek za každý měsíc použití k pol..3221, 3222</t>
  </si>
  <si>
    <t>Demontáž lešení, prostor. lehké, 200 kPa, H 10 m</t>
  </si>
  <si>
    <t>Různé dokončovací konstrukce a práce na pozemních stavbách</t>
  </si>
  <si>
    <t>Vyčištění budov o výšce podlaží do 4 m</t>
  </si>
  <si>
    <t>Osazení ručních hasících přístrojů s has.schopn.21A vč.dodávky ozn.OS03</t>
  </si>
  <si>
    <t>Protipožární ucpávky-certifikovaný systém ozn.OS02</t>
  </si>
  <si>
    <t>Stavební přípomoce pro profese</t>
  </si>
  <si>
    <t>Bourání konstrukcí</t>
  </si>
  <si>
    <t>Bourání příček z tvárnic tl. 5 cm -dle pozn.2</t>
  </si>
  <si>
    <t>Bourání příček z tvárnic tl. 15 cm -dle pozn.2</t>
  </si>
  <si>
    <t>Bourání zdiva z dutých cihel nebo tvárnic na MVC dle pozn.2</t>
  </si>
  <si>
    <t>Bourání dlažeb keramických tl.10 mm, nad 1 m2 -dle pozn.3</t>
  </si>
  <si>
    <t>Přisekání plošné zdiva cihelného na MVC tl. 15 cm</t>
  </si>
  <si>
    <t>Přisekání plošné zdiva cihelného na MVC tl. 30 cm</t>
  </si>
  <si>
    <t>Prorážení otvorů a ostatní bourací práce</t>
  </si>
  <si>
    <t>Otlučení omítek vnitřních stěn v rozsahu do 100 % -dle pozn.7</t>
  </si>
  <si>
    <t>Odsekání vnitřních obkladů stěn nad 2 m2 -dle pozn.5</t>
  </si>
  <si>
    <t>Přesuny sutí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</si>
  <si>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</si>
  <si>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</si>
  <si>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</si>
  <si>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</si>
  <si>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suti na dopravní prostředky</t>
  </si>
  <si>
    <t>Poplatek za skládku suti - směs betonu, omítek a cihel</t>
  </si>
  <si>
    <t>Poplatek za skládku suti - stavební keramika</t>
  </si>
  <si>
    <t>Budovy občanské výstavby</t>
  </si>
  <si>
    <t>Přesun hmot pro budovy zděné výšky do 6 m</t>
  </si>
  <si>
    <t>ZTI-Vnitřní kanalizace</t>
  </si>
  <si>
    <t>Demontáž - Svodné potrubí kameninové / plastové do DN 200 vč. trvarovek, včetně výkopů, oprav podlah a uvedění do původního stavu</t>
  </si>
  <si>
    <t>Demontáž - Odpadní a připojovací potrubí litinové/plastové do DN 160 vč. trvarovek</t>
  </si>
  <si>
    <t>D+M - Zaslepení stávajícího potrubí</t>
  </si>
  <si>
    <t>Pročištění potrubí do DN 250</t>
  </si>
  <si>
    <t>Zkouška těsnosti kanalizačníhoho potrubí do DN 250</t>
  </si>
  <si>
    <t>Dokumentace skutečného provedení (3 paré) - není součástí položky ve VRN</t>
  </si>
  <si>
    <t>Koordinace - není součástí položky ve VRN</t>
  </si>
  <si>
    <t>Doprava veškerého zařízení</t>
  </si>
  <si>
    <t>Zařízení staveniště - není součástí položky ve VRN</t>
  </si>
  <si>
    <t>Přesun hmot</t>
  </si>
  <si>
    <t>ZTI-Vnitřní vodovod</t>
  </si>
  <si>
    <t>Demontáž ocelového potrubí do DN 65 - vč. armatur</t>
  </si>
  <si>
    <t>Zaslepení stávajícího potrubí do DN 50</t>
  </si>
  <si>
    <t>Ostatní bourací, přípomocné a zednické práce</t>
  </si>
  <si>
    <t>Vypuštění soustavy</t>
  </si>
  <si>
    <t>Napuštění soustavy</t>
  </si>
  <si>
    <t>Zkouška těsnosti vodovodního potrubí do DN 65</t>
  </si>
  <si>
    <t>Pojízdné lešení, pomocné konstrukce, montážní plošina v rámci výšky jednoho podlaží</t>
  </si>
  <si>
    <t>Doprava</t>
  </si>
  <si>
    <t>Vzduchotechnika</t>
  </si>
  <si>
    <t>Demontáž stávající VZT jednotky - odstranit včetně potrubí, závěsů, zařízení, elektro, MaR a příslušenství</t>
  </si>
  <si>
    <t>Demontáž stávajícího potrubí do průměru 360 mm - odstranit včetně potrubí, závěsů, zařízení, elektro, MaR a příslušenství</t>
  </si>
  <si>
    <t>Vytápění</t>
  </si>
  <si>
    <t>Stávající potrubí do DN 50, včetně konzol, potrubních armatur, tepelných izolací a připojovacích armatur</t>
  </si>
  <si>
    <t>Stávající deskové otopné těleso - odstranit bez náhrady vč. armatur a připojovacího potrubí.</t>
  </si>
  <si>
    <t>D+M - Potrubí Cu 15,0x1,0 mm</t>
  </si>
  <si>
    <t>D+M - Potrubí Cu 18,0x1,0 mm</t>
  </si>
  <si>
    <t>D+M - Potrubí Cu 28,0x1,5 mm</t>
  </si>
  <si>
    <t>D+M - Potrubí Oc do DN 50</t>
  </si>
  <si>
    <t>D+M - Izolace MV tl. 25 mm + polep ALS fólií na potrubí 15,0x1,0 mm</t>
  </si>
  <si>
    <t>D+M - Izolace MV tl. 25 mm + polep ALS fólií na potrubí 18,0x1,0 mm</t>
  </si>
  <si>
    <t>D+M - Izolace MV tl. 25 mm + polep ALS fólií na potrubí 28,0x1,5 mm</t>
  </si>
  <si>
    <t>D+M - Izolace PE tl. 15 mm + polep AL fólií na potrubí 15,0x1,0 mm</t>
  </si>
  <si>
    <t>D+M - Otopné těleso deskové 22 - 200/2000 - E (Bílá RAL 9010)</t>
  </si>
  <si>
    <t>D+M - Sada navrtávacích konzol 15/120 (6 ks), včetně vrutů a hmoždinek</t>
  </si>
  <si>
    <t>D+M - Připojovací armatura niklovaná (přímá/rohová), pro tělesa s integrovanými ventily</t>
  </si>
  <si>
    <t>D+M - Termostatická hlavice s vestavěným kapalinou plněným čidlem</t>
  </si>
  <si>
    <t>D+M - Odvzdušňovací radiátorový ventil niklovaný DN 15 (1/2"), ruční ovládání klíčkem, vč. ovládacího klíčku.</t>
  </si>
  <si>
    <t>Vyregulování ventilů s termost ovládáním</t>
  </si>
  <si>
    <t>D+M - Vypouštěcí nástavec k radiátorům</t>
  </si>
  <si>
    <t>D+M - Kulový kohout závitový, chromovaný, DN 25</t>
  </si>
  <si>
    <t>D+M - Kulový kohout s vypouštěním závitový, chromovaný, DN 25</t>
  </si>
  <si>
    <t>D+M - Automatický odvzdušňovací ventil pro topnou vodu 110 °C, DN 10</t>
  </si>
  <si>
    <t>D+M - Odvzdušňovací nádobka</t>
  </si>
  <si>
    <t>D+M - Kompaktní a univerzální ultrazvukový měřič tepla</t>
  </si>
  <si>
    <t>Ochranný nátěr potrubí 2x Základní syntetický nátěr bílý "DN 10 - DN 100"</t>
  </si>
  <si>
    <t>Vyregulování otopné soustavy - projekční práce</t>
  </si>
  <si>
    <t>Vyregulování otopné soustavy - montážní práce, včetně tlakových zkoušek a revizí</t>
  </si>
  <si>
    <t>Vyvážení všech seřizovacích armatur, včetně tlakových zkoušek a revizí</t>
  </si>
  <si>
    <t>Bourání prostupu nosnou stěnou a stropem dvojci pro potrubí do DN 50, včetně transportu suti a uložení na skládku + oprava, začištění omítky, utěsnění</t>
  </si>
  <si>
    <t>Bourání prostupu příčkou dvojci pro potrubí do DN 50, včetně transportu suti a uložení na skládku + oprava, začištění omítky, utěsnění prostupu a malb</t>
  </si>
  <si>
    <t>Stavební přípomoce</t>
  </si>
  <si>
    <t>Topná zkouška celého zařízení 72 hodin</t>
  </si>
  <si>
    <t>Tlaková zkouška celého zařízení</t>
  </si>
  <si>
    <t>Vypuštění otopné soustavy</t>
  </si>
  <si>
    <t>Napuštění otopné soustavy</t>
  </si>
  <si>
    <t>Proplach soustavy</t>
  </si>
  <si>
    <t>Napojení na stávající potrubí</t>
  </si>
  <si>
    <t>Orientační štítky a značení potrubí barevnými pruhy, orientačními štítky a popisky vč. montáže</t>
  </si>
  <si>
    <t>Provozní řád</t>
  </si>
  <si>
    <t>Konstrukce doplňkové stavební (zámečnické)</t>
  </si>
  <si>
    <t>M+D Dveře ocelové interiérové 850x2200mm ozn.D01</t>
  </si>
  <si>
    <t>provedení dle popisu v PD, vč.zárubně,kování,povrch.úpravy</t>
  </si>
  <si>
    <t>M+D Dveře ocelové interiérové 1000x1970mm ozn.D4</t>
  </si>
  <si>
    <t>M+D Mříž rolovací 1300x2200mm -ozn.D02</t>
  </si>
  <si>
    <t>provedení dle popisu v PD</t>
  </si>
  <si>
    <t>M+D Mříž rolovací 1500x2200mm -ozn.D3</t>
  </si>
  <si>
    <t>Přesun hmot pro zámečnické konstr., výšky do 6 m</t>
  </si>
  <si>
    <t>Podlahy z dlaždic</t>
  </si>
  <si>
    <t>Vyrovnání podkladů samonivel. hmotou tl. do 10 mm -skladba P1, bod 4</t>
  </si>
  <si>
    <t>Hydroizolační stěrka pod dlažbu vodorovná -skladba P1, P2, P3</t>
  </si>
  <si>
    <t>Hydroizolační stěrka pod dlažbu svislá-vytažení -skladba P1, P2, P3</t>
  </si>
  <si>
    <t>Bandáž koutů těsnícím provazcem</t>
  </si>
  <si>
    <t>Penetrace podkladu pod dlažby</t>
  </si>
  <si>
    <t>Obklad soklíků keram.rovných, tmel,výška do 10 cm -skladba P1, P2, P3</t>
  </si>
  <si>
    <t>Dlažba protiskluz.300x300x9 mm -dle výběru investora</t>
  </si>
  <si>
    <t>Řezání dlaždic keramických pro soklíky</t>
  </si>
  <si>
    <t>Montáž podlah keram.,protiskl.,tmel, 30x30 cm  -skladba P1, P2, P3</t>
  </si>
  <si>
    <t>vč.dilatací</t>
  </si>
  <si>
    <t>Přesun hmot pro podlahy z dlaždic, výšky do 6 m</t>
  </si>
  <si>
    <t>Malby</t>
  </si>
  <si>
    <t>Penetrace podkladu vápenným mlékem</t>
  </si>
  <si>
    <t>Penetrace podkladu na sádrokarton</t>
  </si>
  <si>
    <t>Malba bílá otěruvzdorná, s vys.bělostí a prodyšností 2x</t>
  </si>
  <si>
    <t>Malba bílá otěruvzdorná na sádrokarton, s vys.bělostí a prodyšností 2x</t>
  </si>
  <si>
    <t>Elektromontáže</t>
  </si>
  <si>
    <t>Vybourání otvorů ve zdivu cihelném D do 60 mm na MVC nebo MV tl do 300 mm</t>
  </si>
  <si>
    <t>Vysekání kapes ve zdivu cihelném na MV nebo MVC pl do 0,10 m2 hl do 150 mm</t>
  </si>
  <si>
    <t>Vysekání rýh pro vodiče v omítce MC stěn š do 30 mm</t>
  </si>
  <si>
    <t>Vysekání rýh pro vodiče v omítce MC stěn š do 70 mm</t>
  </si>
  <si>
    <t>Celková prohlídka elektrického rozvodu a zařízení hromosvodu do 0,5 milionu Kč</t>
  </si>
  <si>
    <t>Úpravy a doplnění v napojovacím bodě</t>
  </si>
  <si>
    <t>Jitič s chráničem 1/10A/ 0,03A</t>
  </si>
  <si>
    <t>Podružný a spojovací materiál</t>
  </si>
  <si>
    <t>Koordinace s investorem</t>
  </si>
  <si>
    <t>Montáž trubka plastová ohebná D 23 mm uložená pevně</t>
  </si>
  <si>
    <t>trubka elektroinstalační ohebná EN 500 86-1141 2323/LPE-1 D22,9 mm</t>
  </si>
  <si>
    <t>Montáž krabice zapuštěná plastová kruhová typ KU68/2-1902, KO125</t>
  </si>
  <si>
    <t>krabice univerzální z PH KU 68/2-1903</t>
  </si>
  <si>
    <t>Montáž kabel Cu sk.2 do 1 kV do 0,20 kg pod omítku stěn</t>
  </si>
  <si>
    <t>kabel silový s Cu jádrem CYKY-J 3x1,5 mm2</t>
  </si>
  <si>
    <t>Ukončení vodič izolovaný do 2,5mm2 v rozváděči nebo na přístroji</t>
  </si>
  <si>
    <t>SVORKA WAGO 221-415 5x2,5</t>
  </si>
  <si>
    <t>OZNAC.STITEK C.1</t>
  </si>
  <si>
    <t>páska stahovací kabelová VPP 4/280</t>
  </si>
  <si>
    <t>Podružný montážní materiál</t>
  </si>
  <si>
    <t>Montáž svítidlo zářivkové stropní  do 2 zdrojů</t>
  </si>
  <si>
    <t>C - Svítidlo LED , max 22W s pohyb.čidlem,. IP66, 2930 lm</t>
  </si>
  <si>
    <t>D - Svítidlo LED , max 37W s pohyb.čidlem,. IP66, 5040 lm</t>
  </si>
  <si>
    <t>F - Svítidlo LED max 22W / IP44 / s pohybovým čidlem</t>
  </si>
  <si>
    <t>Montáž svítidlo zářivkové bytové nástěnné přisazené 1 zdroj</t>
  </si>
  <si>
    <t>N - Zářivkové svítidlo nouzové 8W/1 hod s piktogramy</t>
  </si>
  <si>
    <t>zkouška nouzových svítidel</t>
  </si>
  <si>
    <t>Měření intenzity osvětlení + protokol</t>
  </si>
  <si>
    <t>Podružný, spojovací, připojovací, kotevní a upevňovací materiál, svorky, závěsy, veškeré příslušenství, ………………</t>
  </si>
  <si>
    <t>Dokumentace skutečného provedení stavby</t>
  </si>
  <si>
    <t>práce ve výšce nad 3m</t>
  </si>
  <si>
    <t>Náklady na zkušební provoz</t>
  </si>
  <si>
    <t>Demontáže stávající elektroinstalace</t>
  </si>
  <si>
    <t>Likvidace odpadů</t>
  </si>
  <si>
    <t>Stavební přípomoce vč. materiálu</t>
  </si>
  <si>
    <t>M.j.</t>
  </si>
  <si>
    <t>kus</t>
  </si>
  <si>
    <t>kg</t>
  </si>
  <si>
    <t>m2</t>
  </si>
  <si>
    <t>m</t>
  </si>
  <si>
    <t>m3</t>
  </si>
  <si>
    <t>hod</t>
  </si>
  <si>
    <t>t</t>
  </si>
  <si>
    <t>ks</t>
  </si>
  <si>
    <t>set</t>
  </si>
  <si>
    <t>100 kus</t>
  </si>
  <si>
    <t>kpl</t>
  </si>
  <si>
    <t>Množství</t>
  </si>
  <si>
    <t>Jednot.</t>
  </si>
  <si>
    <t>cena (Kč)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</si>
  <si>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</si>
  <si>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</si>
  <si>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</si>
  <si>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</si>
  <si>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</si>
  <si>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</si>
  <si>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</si>
  <si>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</si>
  <si>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</si>
  <si>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</si>
  <si>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</si>
  <si>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</si>
  <si>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</si>
  <si>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34_</t>
  </si>
  <si>
    <t>61_</t>
  </si>
  <si>
    <t>63_</t>
  </si>
  <si>
    <t>94_</t>
  </si>
  <si>
    <t>95_</t>
  </si>
  <si>
    <t>96_</t>
  </si>
  <si>
    <t>97_</t>
  </si>
  <si>
    <t>S_</t>
  </si>
  <si>
    <t>H01_</t>
  </si>
  <si>
    <t>721_</t>
  </si>
  <si>
    <t>722_</t>
  </si>
  <si>
    <t>728_</t>
  </si>
  <si>
    <t>730_</t>
  </si>
  <si>
    <t>767_</t>
  </si>
  <si>
    <t>771_</t>
  </si>
  <si>
    <t>784_</t>
  </si>
  <si>
    <t>M21_</t>
  </si>
  <si>
    <t>SO 12_3_</t>
  </si>
  <si>
    <t>SO 12_6_</t>
  </si>
  <si>
    <t>SO 12_9_</t>
  </si>
  <si>
    <t>SO 12_72_</t>
  </si>
  <si>
    <t>SO 12_73_</t>
  </si>
  <si>
    <t>SO 12_76_</t>
  </si>
  <si>
    <t>SO 12_77_</t>
  </si>
  <si>
    <t>SO 12_78_</t>
  </si>
  <si>
    <t>SO 12_</t>
  </si>
  <si>
    <t>MAT</t>
  </si>
  <si>
    <t>WORK</t>
  </si>
  <si>
    <t>CELK</t>
  </si>
  <si>
    <t>Cenová soustava</t>
  </si>
  <si>
    <t>Stavební rozpočet (SO 13 - J2 - Stavební úpravy přízemí)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</si>
  <si>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</si>
  <si>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</si>
  <si>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</si>
  <si>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</si>
  <si>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</si>
  <si>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</si>
  <si>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</si>
  <si>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</si>
  <si>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</si>
  <si>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</si>
  <si>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</si>
  <si>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</si>
  <si>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</si>
  <si>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</si>
  <si>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</si>
  <si>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</si>
  <si>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</si>
  <si>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</si>
  <si>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</si>
  <si>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</si>
  <si>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</si>
  <si>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</si>
  <si>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</si>
  <si>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</si>
  <si>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</si>
  <si>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</si>
  <si>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</si>
  <si>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</si>
  <si>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</si>
  <si>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</si>
  <si>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</si>
  <si>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</si>
  <si>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</si>
  <si>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</si>
  <si>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</si>
  <si>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</si>
  <si>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</si>
  <si>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</si>
  <si>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</si>
  <si>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</si>
  <si>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</si>
  <si>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</si>
  <si>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</si>
  <si>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</si>
  <si>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</si>
  <si>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</si>
  <si>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</si>
  <si>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</si>
  <si>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</si>
  <si>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</si>
  <si>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</si>
  <si>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</si>
  <si>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</si>
  <si>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</si>
  <si>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</si>
  <si>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</si>
  <si>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</si>
  <si>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</si>
  <si>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</si>
  <si>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</si>
  <si>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</si>
  <si>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</si>
  <si>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</si>
  <si>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</si>
  <si>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</si>
  <si>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</si>
  <si>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</si>
  <si>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</si>
  <si>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</si>
  <si>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</si>
  <si>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</si>
  <si>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</si>
  <si>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</si>
  <si>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</si>
  <si>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</si>
  <si>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</si>
  <si>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</si>
  <si>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</si>
  <si>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</si>
  <si>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</si>
  <si>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</si>
  <si>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</si>
  <si>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</si>
  <si>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</si>
  <si>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</si>
  <si>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</si>
  <si>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</si>
  <si>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</si>
  <si>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</si>
  <si>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</si>
  <si>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</si>
  <si>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</si>
  <si>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</si>
  <si>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</si>
  <si>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</si>
  <si>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</si>
  <si>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</si>
  <si>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</si>
  <si>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</si>
  <si>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</si>
  <si>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</si>
  <si>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</si>
  <si>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</si>
  <si>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</si>
  <si>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</si>
  <si>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</si>
  <si>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</si>
  <si>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</si>
  <si>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</si>
  <si>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</si>
  <si>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</si>
  <si>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</si>
  <si>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</si>
  <si>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</si>
  <si>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</si>
  <si>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</si>
  <si>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</si>
  <si>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</si>
  <si>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</si>
  <si>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</si>
  <si>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</si>
  <si>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</si>
  <si>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</si>
  <si>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</si>
  <si>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</si>
  <si>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</si>
  <si>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</si>
  <si>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</si>
  <si>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</si>
  <si>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</si>
  <si>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</si>
  <si>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</si>
  <si>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</si>
  <si>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</si>
  <si>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</si>
  <si>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</si>
  <si>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</si>
  <si>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</si>
  <si>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</si>
  <si>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</si>
  <si>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</si>
  <si>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</si>
  <si>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</si>
  <si>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</si>
  <si>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</si>
  <si>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</si>
  <si>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</si>
  <si>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</si>
  <si>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</si>
  <si>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</si>
  <si>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</si>
  <si>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</si>
  <si>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</si>
  <si>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</si>
  <si>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</si>
  <si>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</si>
  <si>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</si>
  <si>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</si>
  <si>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</si>
  <si>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</si>
  <si>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</si>
  <si>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</si>
  <si>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</si>
  <si>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</si>
  <si>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</si>
  <si>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</si>
  <si>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</si>
  <si>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</si>
  <si>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</si>
  <si>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</si>
  <si>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</si>
  <si>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</si>
  <si>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</si>
  <si>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</si>
  <si>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</si>
  <si>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</si>
  <si>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</si>
  <si>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</si>
  <si>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</si>
  <si>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</si>
  <si>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</si>
  <si>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</si>
  <si>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</si>
  <si>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</si>
  <si>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</si>
  <si>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</si>
  <si>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</si>
  <si>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</si>
  <si>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</si>
  <si>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</si>
  <si>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</si>
  <si>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</si>
  <si>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</si>
  <si>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</si>
  <si>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</si>
  <si>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</si>
  <si>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</si>
  <si>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</si>
  <si>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</si>
  <si>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</si>
  <si>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</si>
  <si>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</si>
  <si>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</si>
  <si>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</si>
  <si>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</si>
  <si>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</si>
  <si>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</si>
  <si>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</si>
  <si>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</si>
  <si>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</si>
  <si>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</si>
  <si>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</si>
  <si>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</si>
  <si>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</si>
  <si>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</si>
  <si>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</si>
  <si>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</si>
  <si>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</si>
  <si>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</si>
  <si>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</si>
  <si>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</si>
  <si>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</si>
  <si>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</si>
  <si>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</si>
  <si>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</si>
  <si>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</si>
  <si>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</si>
  <si>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</si>
  <si>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</si>
  <si>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</si>
  <si>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</si>
  <si>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</si>
  <si>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</si>
  <si>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</si>
  <si>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</si>
  <si>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</si>
  <si>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</si>
  <si>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</si>
  <si>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</si>
  <si>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</si>
  <si>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</si>
  <si>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</si>
  <si>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</si>
  <si>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</si>
  <si>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</si>
  <si>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</si>
  <si>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</si>
  <si>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</si>
  <si>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</si>
  <si>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</si>
  <si>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</si>
  <si>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</si>
  <si>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</si>
  <si>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</si>
  <si>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</si>
  <si>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</si>
  <si>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</si>
  <si>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</si>
  <si>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</si>
  <si>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</si>
  <si>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</si>
  <si>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</si>
  <si>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</si>
  <si>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</si>
  <si>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</si>
  <si>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</si>
  <si>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</si>
  <si>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</si>
  <si>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</si>
  <si>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</si>
  <si>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</si>
  <si>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</si>
  <si>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</si>
  <si>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</si>
  <si>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</si>
  <si>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</si>
  <si>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</si>
  <si>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</si>
  <si>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</si>
  <si>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</si>
  <si>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317168130R00</t>
  </si>
  <si>
    <t>342264051RT2</t>
  </si>
  <si>
    <t>347015133RT1</t>
  </si>
  <si>
    <t>347015136RT1</t>
  </si>
  <si>
    <t>347015146RT1</t>
  </si>
  <si>
    <t>416061119RT1</t>
  </si>
  <si>
    <t>416081122RT1</t>
  </si>
  <si>
    <t>630100115RA7</t>
  </si>
  <si>
    <t>648991113RT2</t>
  </si>
  <si>
    <t>965042241R00</t>
  </si>
  <si>
    <t>965043441R00</t>
  </si>
  <si>
    <t>965049112RT2</t>
  </si>
  <si>
    <t>971052230RU1</t>
  </si>
  <si>
    <t>974049120RU1</t>
  </si>
  <si>
    <t>72122</t>
  </si>
  <si>
    <t>72123</t>
  </si>
  <si>
    <t>72124</t>
  </si>
  <si>
    <t>72141</t>
  </si>
  <si>
    <t>72142</t>
  </si>
  <si>
    <t>72143</t>
  </si>
  <si>
    <t>72151</t>
  </si>
  <si>
    <t>72152</t>
  </si>
  <si>
    <t>72153</t>
  </si>
  <si>
    <t>72154</t>
  </si>
  <si>
    <t>72155</t>
  </si>
  <si>
    <t>72156</t>
  </si>
  <si>
    <t>72157</t>
  </si>
  <si>
    <t>72161</t>
  </si>
  <si>
    <t>72162</t>
  </si>
  <si>
    <t>72163</t>
  </si>
  <si>
    <t>72164</t>
  </si>
  <si>
    <t>72165</t>
  </si>
  <si>
    <t>72166</t>
  </si>
  <si>
    <t>72167</t>
  </si>
  <si>
    <t>72168</t>
  </si>
  <si>
    <t>72169</t>
  </si>
  <si>
    <t>721610</t>
  </si>
  <si>
    <t>721611</t>
  </si>
  <si>
    <t>721612</t>
  </si>
  <si>
    <t>721613</t>
  </si>
  <si>
    <t>721614</t>
  </si>
  <si>
    <t>721615</t>
  </si>
  <si>
    <t>721616</t>
  </si>
  <si>
    <t>72171</t>
  </si>
  <si>
    <t>72172</t>
  </si>
  <si>
    <t>72181</t>
  </si>
  <si>
    <t>72182</t>
  </si>
  <si>
    <t>72183</t>
  </si>
  <si>
    <t>72191</t>
  </si>
  <si>
    <t>72192</t>
  </si>
  <si>
    <t>72193</t>
  </si>
  <si>
    <t>72194</t>
  </si>
  <si>
    <t>72195</t>
  </si>
  <si>
    <t>72196</t>
  </si>
  <si>
    <t>72197</t>
  </si>
  <si>
    <t>721101</t>
  </si>
  <si>
    <t>721102</t>
  </si>
  <si>
    <t>721103</t>
  </si>
  <si>
    <t>721104</t>
  </si>
  <si>
    <t>721105</t>
  </si>
  <si>
    <t>721106</t>
  </si>
  <si>
    <t>721107</t>
  </si>
  <si>
    <t>721108</t>
  </si>
  <si>
    <t>721109</t>
  </si>
  <si>
    <t>7211010</t>
  </si>
  <si>
    <t>7211011</t>
  </si>
  <si>
    <t>72222</t>
  </si>
  <si>
    <t>72223</t>
  </si>
  <si>
    <t>72232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</si>
  <si>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</si>
  <si>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</si>
  <si>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</si>
  <si>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</si>
  <si>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</si>
  <si>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</si>
  <si>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</si>
  <si>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</si>
  <si>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</si>
  <si>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722510</t>
  </si>
  <si>
    <t>722511</t>
  </si>
  <si>
    <t>722512</t>
  </si>
  <si>
    <t>722513</t>
  </si>
  <si>
    <t>722514</t>
  </si>
  <si>
    <t>72261</t>
  </si>
  <si>
    <t>72262</t>
  </si>
  <si>
    <t>72263</t>
  </si>
  <si>
    <t>72264</t>
  </si>
  <si>
    <t>72265</t>
  </si>
  <si>
    <t>72266</t>
  </si>
  <si>
    <t>72267</t>
  </si>
  <si>
    <t>72268</t>
  </si>
  <si>
    <t>72271</t>
  </si>
  <si>
    <t>72272</t>
  </si>
  <si>
    <t>72273</t>
  </si>
  <si>
    <t>72281</t>
  </si>
  <si>
    <t>72282</t>
  </si>
  <si>
    <t>72283</t>
  </si>
  <si>
    <t>72284</t>
  </si>
  <si>
    <t>72285</t>
  </si>
  <si>
    <t>72286</t>
  </si>
  <si>
    <t>72287</t>
  </si>
  <si>
    <t>72288</t>
  </si>
  <si>
    <t>72289</t>
  </si>
  <si>
    <t>722810</t>
  </si>
  <si>
    <t>722811</t>
  </si>
  <si>
    <t>101a</t>
  </si>
  <si>
    <t>101b</t>
  </si>
  <si>
    <t>101c</t>
  </si>
  <si>
    <t>101d</t>
  </si>
  <si>
    <t>101e</t>
  </si>
  <si>
    <t>102b</t>
  </si>
  <si>
    <t>102c</t>
  </si>
  <si>
    <t>102d</t>
  </si>
  <si>
    <t>102e</t>
  </si>
  <si>
    <t>102f</t>
  </si>
  <si>
    <t>73113</t>
  </si>
  <si>
    <t>73114</t>
  </si>
  <si>
    <t>73132</t>
  </si>
  <si>
    <t>73133</t>
  </si>
  <si>
    <t>73134</t>
  </si>
  <si>
    <t>73135</t>
  </si>
  <si>
    <t>73136</t>
  </si>
  <si>
    <t>73137</t>
  </si>
  <si>
    <t>73138</t>
  </si>
  <si>
    <t>73145</t>
  </si>
  <si>
    <t>73146</t>
  </si>
  <si>
    <t>73147</t>
  </si>
  <si>
    <t>73148</t>
  </si>
  <si>
    <t>73149</t>
  </si>
  <si>
    <t>731410</t>
  </si>
  <si>
    <t>731411</t>
  </si>
  <si>
    <t>731412</t>
  </si>
  <si>
    <t>731413</t>
  </si>
  <si>
    <t>731414</t>
  </si>
  <si>
    <t>731415</t>
  </si>
  <si>
    <t>731416</t>
  </si>
  <si>
    <t>731417</t>
  </si>
  <si>
    <t>731418</t>
  </si>
  <si>
    <t>731419</t>
  </si>
  <si>
    <t>731420</t>
  </si>
  <si>
    <t>731421</t>
  </si>
  <si>
    <t>731422</t>
  </si>
  <si>
    <t>731423</t>
  </si>
  <si>
    <t>731424</t>
  </si>
  <si>
    <t>731425</t>
  </si>
  <si>
    <t>73194</t>
  </si>
  <si>
    <t>73195</t>
  </si>
  <si>
    <t>73196</t>
  </si>
  <si>
    <t>73197</t>
  </si>
  <si>
    <t>73198</t>
  </si>
  <si>
    <t>73199</t>
  </si>
  <si>
    <t>731910</t>
  </si>
  <si>
    <t>731911</t>
  </si>
  <si>
    <t>731912</t>
  </si>
  <si>
    <t>731913</t>
  </si>
  <si>
    <t>731914</t>
  </si>
  <si>
    <t>766</t>
  </si>
  <si>
    <t>766626132RT1</t>
  </si>
  <si>
    <t>766664121RT1</t>
  </si>
  <si>
    <t>766664121RT2</t>
  </si>
  <si>
    <t>766664121RT3</t>
  </si>
  <si>
    <t>766666112RT1</t>
  </si>
  <si>
    <t>766812214RT1</t>
  </si>
  <si>
    <t>998766101R00</t>
  </si>
  <si>
    <t>771111122R00</t>
  </si>
  <si>
    <t>59760184.A</t>
  </si>
  <si>
    <t>771578011RT4</t>
  </si>
  <si>
    <t>776</t>
  </si>
  <si>
    <t>776101115R00</t>
  </si>
  <si>
    <t>776101121R00</t>
  </si>
  <si>
    <t>776421100R00</t>
  </si>
  <si>
    <t>28416080.A</t>
  </si>
  <si>
    <t>776511000R00</t>
  </si>
  <si>
    <t>28416042.A</t>
  </si>
  <si>
    <t>776996110R00</t>
  </si>
  <si>
    <t>998776101R00</t>
  </si>
  <si>
    <t>781</t>
  </si>
  <si>
    <t>781101210R00</t>
  </si>
  <si>
    <t>781111111R00</t>
  </si>
  <si>
    <t>781111115R00</t>
  </si>
  <si>
    <t>781111116R00</t>
  </si>
  <si>
    <t>781111151R00</t>
  </si>
  <si>
    <t>597622113.RS</t>
  </si>
  <si>
    <t>781320111R00</t>
  </si>
  <si>
    <t>597813601.RS</t>
  </si>
  <si>
    <t>781320121R00</t>
  </si>
  <si>
    <t>781415015R00</t>
  </si>
  <si>
    <t>781419706R00</t>
  </si>
  <si>
    <t>781419711R00</t>
  </si>
  <si>
    <t>781491001R00</t>
  </si>
  <si>
    <t>28342464.R1</t>
  </si>
  <si>
    <t>28342464.R2</t>
  </si>
  <si>
    <t>28342464.R3</t>
  </si>
  <si>
    <t>998781101R00</t>
  </si>
  <si>
    <t>742231100</t>
  </si>
  <si>
    <t>35711715R</t>
  </si>
  <si>
    <t>35711615R</t>
  </si>
  <si>
    <t>35711289R</t>
  </si>
  <si>
    <t>357105105R</t>
  </si>
  <si>
    <t>357100105R</t>
  </si>
  <si>
    <t>743411121</t>
  </si>
  <si>
    <t>10033023</t>
  </si>
  <si>
    <t>743611121</t>
  </si>
  <si>
    <t>354410730</t>
  </si>
  <si>
    <t>718004521</t>
  </si>
  <si>
    <t>340052887</t>
  </si>
  <si>
    <t>743622200</t>
  </si>
  <si>
    <t>354420290</t>
  </si>
  <si>
    <t>744211111</t>
  </si>
  <si>
    <t>341408260</t>
  </si>
  <si>
    <t>744211112</t>
  </si>
  <si>
    <t>341408270</t>
  </si>
  <si>
    <t>341110301</t>
  </si>
  <si>
    <t>341110311</t>
  </si>
  <si>
    <t>341110004</t>
  </si>
  <si>
    <t>744411230</t>
  </si>
  <si>
    <t>341110380</t>
  </si>
  <si>
    <t>341110360</t>
  </si>
  <si>
    <t>744411280</t>
  </si>
  <si>
    <t>341110589</t>
  </si>
  <si>
    <t>68500231</t>
  </si>
  <si>
    <t>746211140</t>
  </si>
  <si>
    <t>746591510</t>
  </si>
  <si>
    <t>1025566</t>
  </si>
  <si>
    <t>747111111</t>
  </si>
  <si>
    <t>345357850</t>
  </si>
  <si>
    <t>747111115</t>
  </si>
  <si>
    <t>345357855R</t>
  </si>
  <si>
    <t>747111184</t>
  </si>
  <si>
    <t>345355411R</t>
  </si>
  <si>
    <t>345355412R</t>
  </si>
  <si>
    <t>747111189</t>
  </si>
  <si>
    <t>345350051</t>
  </si>
  <si>
    <t>74711202R</t>
  </si>
  <si>
    <t>10060504</t>
  </si>
  <si>
    <t>747161020</t>
  </si>
  <si>
    <t>345551030</t>
  </si>
  <si>
    <t>345551039</t>
  </si>
  <si>
    <t>345551040</t>
  </si>
  <si>
    <t>747140011</t>
  </si>
  <si>
    <t>345551841R</t>
  </si>
  <si>
    <t>345551850R</t>
  </si>
  <si>
    <t>7471400581</t>
  </si>
  <si>
    <t>345000411R</t>
  </si>
  <si>
    <t>7471400001</t>
  </si>
  <si>
    <t>345000041R</t>
  </si>
  <si>
    <t>7471400012</t>
  </si>
  <si>
    <t>345000051R</t>
  </si>
  <si>
    <t>747145005</t>
  </si>
  <si>
    <t>34500011R</t>
  </si>
  <si>
    <t>747145019</t>
  </si>
  <si>
    <t>345000066R</t>
  </si>
  <si>
    <t>747145409</t>
  </si>
  <si>
    <t>345000716R</t>
  </si>
  <si>
    <t>747145129</t>
  </si>
  <si>
    <t>345011716R</t>
  </si>
  <si>
    <t>747149118</t>
  </si>
  <si>
    <t>345015106R</t>
  </si>
  <si>
    <t>747100078</t>
  </si>
  <si>
    <t>345016646R</t>
  </si>
  <si>
    <t>747100097</t>
  </si>
  <si>
    <t>345016410R</t>
  </si>
  <si>
    <t>345016412R</t>
  </si>
  <si>
    <t>747100007</t>
  </si>
  <si>
    <t>345014501R</t>
  </si>
  <si>
    <t>7471095918</t>
  </si>
  <si>
    <t>345016654R</t>
  </si>
  <si>
    <t>7471044489</t>
  </si>
  <si>
    <t>345016689R</t>
  </si>
  <si>
    <t>7471044490</t>
  </si>
  <si>
    <t>345016679R</t>
  </si>
  <si>
    <t>7471044684</t>
  </si>
  <si>
    <t>7471044114</t>
  </si>
  <si>
    <t>345116410R</t>
  </si>
  <si>
    <t>34814435R</t>
  </si>
  <si>
    <t>34814435R2</t>
  </si>
  <si>
    <t>34814435R3</t>
  </si>
  <si>
    <t>34814435R8</t>
  </si>
  <si>
    <t>092000228</t>
  </si>
  <si>
    <t>345620008R</t>
  </si>
  <si>
    <t>345715110</t>
  </si>
  <si>
    <t>Překlad cihlobetonový vysoký 70x235x1000 mm ozn.N3</t>
  </si>
  <si>
    <t>Podhled sádrokartonový na zavěšenou ocel. konstr. -skladba B1, body 2-8 -impregnovaný</t>
  </si>
  <si>
    <t>Předstěna instal.SDK,tl.100mm, ocel.kce, 2x RBI 12,5mm</t>
  </si>
  <si>
    <t>Předstěna instal.SDK,tl.150 mm,ocel.kce, 2x RBI 12,5mm</t>
  </si>
  <si>
    <t>Předstěna instal.SDK,tl.200 mm,ocel.kce, 2x RBI 12,5mm</t>
  </si>
  <si>
    <t>Stropy a stropní konstrukce (pro pozemní stavby)</t>
  </si>
  <si>
    <t>Kazetový minerální podhled se zavěšeným rastrem -skladba B2, body 2-7</t>
  </si>
  <si>
    <t>penetrace podkladu+lep.a vyrovn.tmel+izolant min.desky tl.100mm+stěrka s perlinkou+miner.podhled na viditelném roštu</t>
  </si>
  <si>
    <t>Kazetový akustický podhled se zavěšeným rastrem -skladba B2, body 2-7</t>
  </si>
  <si>
    <t>Stavební provedení sprchové vaničky - 2x</t>
  </si>
  <si>
    <t>litý samoniv.potěr tl.55mm+separ.PE folie+izolant tl.60mm+textilie+modif.pás SBS vč.napojení+penetrace+stěrka tl.10mm+očištění,vysátí a příprava povrchu</t>
  </si>
  <si>
    <t>Podlaha na terénu nová-vč.nové podlahové desky -skladba  P3, P4 body 3-11</t>
  </si>
  <si>
    <t>Výplně otvorů</t>
  </si>
  <si>
    <t>Osazení parapet.desek plast. a lamin. š.nad 20cm ozn.T1</t>
  </si>
  <si>
    <t>včetně dodávky plastové parapetní desky š. 270 mm</t>
  </si>
  <si>
    <t>Bourání mazanin betonových tl. nad 10 cm, nad 4 m2 -dle pozn.4</t>
  </si>
  <si>
    <t>podkladní beton</t>
  </si>
  <si>
    <t>Bourání podlah.vrstev tl. 15 cm, nad 4 m2 -dle pozn.4</t>
  </si>
  <si>
    <t>tl.14cm</t>
  </si>
  <si>
    <t>Příplatek, bourání mazanin se svař.síťí nad 10 cm</t>
  </si>
  <si>
    <t>oboustranná výztuž svařovanou sítí</t>
  </si>
  <si>
    <t>Prostup základem (velikost prostupu dle PD) + oprava</t>
  </si>
  <si>
    <t>Lokální výkop rýhy š.600mm + oprava, dle pozn.5</t>
  </si>
  <si>
    <t>Demontáž - Svodné potrubí kameninové / plastové do DN 250 vč. tvarovek, včetně výkopů, oprav podlah a uvedení do původního stavu</t>
  </si>
  <si>
    <t>Demontáž - Odpadní a připojovací potrubí litinové/plastové do DN 200 vč. tvarovek</t>
  </si>
  <si>
    <t>D+M - Ležaté potrubí PVC-KG DN 110</t>
  </si>
  <si>
    <t>D+M - Ležaté potrubí PVC-KG DN 125</t>
  </si>
  <si>
    <t>D+M - Ležaté potrubí PVC-KG DN 160</t>
  </si>
  <si>
    <t>D+M - Ležaté potrubí PVC-KG DN 250</t>
  </si>
  <si>
    <t>D+M - Odpadní a přípojovací potrubí (HT systém) DN 50</t>
  </si>
  <si>
    <t>D+M - Odpadní a přípojovací potrubí (HT systém) DN 75</t>
  </si>
  <si>
    <t>D+M - Odpadní a přípojovací potrubí (HT systém) DN 110</t>
  </si>
  <si>
    <t>D+M - Odpadní a přípojovací potrubí (HT systém) DN 125</t>
  </si>
  <si>
    <t>D+M - Protipožární manžeta DN 75</t>
  </si>
  <si>
    <t>D+M - Protipožární manžeta DN 110</t>
  </si>
  <si>
    <t>D+M - Požární utěsnění prostupu - min. EI 45 min</t>
  </si>
  <si>
    <t>Vyvedení a upevnění odpadních výpustek</t>
  </si>
  <si>
    <t>D+M - Čistící kus DN 75</t>
  </si>
  <si>
    <t>D+M - Čistící kus DN 110</t>
  </si>
  <si>
    <t>D+M - Čistící kus DN 125</t>
  </si>
  <si>
    <t>D+M - Zpětná klapka DN 160</t>
  </si>
  <si>
    <t>D+M - Zpětná klapka DN 250</t>
  </si>
  <si>
    <t>D+M - Krycí Dvířka 300x150 mm pro zazdění s tvory</t>
  </si>
  <si>
    <t>D+M - WC - Závěsný klozet keramický</t>
  </si>
  <si>
    <t>D+M - WCi - Závěsný klozet keramický pro imobilní s prodlouženou délkou</t>
  </si>
  <si>
    <t>D+M - WCd - Dětský závěsný klozet keramický</t>
  </si>
  <si>
    <t>D+M - U - Umyvadlo keramické</t>
  </si>
  <si>
    <t>D+M - Ui - Zdravotní umyvadlo keramické</t>
  </si>
  <si>
    <t>D+M - Ud - Umyvadlo dětské keramické</t>
  </si>
  <si>
    <t>D+M - VL - Výlevka keramická závěsná</t>
  </si>
  <si>
    <t>D+M - SK1 - Koupelnový nerezový podlahový žlab s okrajem pro perforovaný rošt 750 mm</t>
  </si>
  <si>
    <t>D+M - SK2 - Koupelnový nerezový podlahový žlab s okrajem pro perforovaný rošt a s nastavitelným límcem ke stěně 850 mm</t>
  </si>
  <si>
    <t>D+M - D - Nerezový dřez s odkapem a otvorem na baterii</t>
  </si>
  <si>
    <t>D+M - HP - Kanalizační přivzdušňovací ventil DN 75</t>
  </si>
  <si>
    <t>D+M - Madlo univerzální 550 mm, pevné, nerez</t>
  </si>
  <si>
    <t>D+M - Madlo toaletní, 800 mm sklopné, nerez</t>
  </si>
  <si>
    <t>D+M - Madlo toaletní, 834 mm sklopné, s držákem toaletního papíru, nerez</t>
  </si>
  <si>
    <t>D+M - Sklopné zrcadlo nad umyvadlo s možností naklopení o 10°, s páčkou, nerez</t>
  </si>
  <si>
    <t>D+M - Madlo univerzální 600 mm, pevné, nerez</t>
  </si>
  <si>
    <t>D+M - RŠ1 - Nová revizní plastová kanalizační šachta O 600 litinovou dešťovou mříží D400</t>
  </si>
  <si>
    <t>Napojení na stávající betonovou šachtu areálové kanalizace, nové utěsnění prostupu potrubí PUR pěnou</t>
  </si>
  <si>
    <t>Výkop rýhy š. 0,8 m</t>
  </si>
  <si>
    <t>D+M - Zemní výstražná fólie</t>
  </si>
  <si>
    <t>Výkop montážní jámy, včetně pažení</t>
  </si>
  <si>
    <t>Drážky pro potrubí DN 32 až 50 - 120x120 mm ve stěně + oprava a začištění omítky</t>
  </si>
  <si>
    <t>Drážky pro potrubí DN 75 - 150x150 mm ve stěně + oprava a začištění omítky</t>
  </si>
  <si>
    <t>Drážky pro potrubí DN 110 až 125 - 150x200 mm mm ve stěně + oprava a začištění omítky</t>
  </si>
  <si>
    <t>Prostup stropní konstrukcí pro potrubí + oprava a začištění stropu a střechy + utěsnění</t>
  </si>
  <si>
    <t>Drážka v základu + oprava</t>
  </si>
  <si>
    <t>Tlaková zkouška vmitřní potrubí do DN 250</t>
  </si>
  <si>
    <t>Napojení na stávající potrubí nebo šachtu vč. utěsnění</t>
  </si>
  <si>
    <t>Geodetické zaměření skutečného provedení s polohopisem</t>
  </si>
  <si>
    <t>D+M - potrubí PP-RCT - d 20x2,8 mm</t>
  </si>
  <si>
    <t>D+M - potrubí PP-RCT - d 25x3,5 mm</t>
  </si>
  <si>
    <t>D+M - potrubí PP-RCT - d 32x4,4 mm</t>
  </si>
  <si>
    <t>D+M - potrubí nerezové oceli - d 22x1,0 mm</t>
  </si>
  <si>
    <t>D+M - potrubí nerezové oceli - d 28x1,2 mm</t>
  </si>
  <si>
    <t>D+M - Izolace MV tl. 30 mm + polep ALS fólií na potrubí DN 20</t>
  </si>
  <si>
    <t>D+M - Izolace MV tl. 30 mm + polep ALS fólií na potrubí DN 25</t>
  </si>
  <si>
    <t>D+M - Izolace PE tl. 20 mm + polep AL fólií na potrubí DN 20</t>
  </si>
  <si>
    <t>D+M - Izolace PE tl. 20 mm + polep AL fólií na potrubí DN 25</t>
  </si>
  <si>
    <t>D+M - Izolace PE tl. 25 mm + polep AL fólií na potrubí DN 32</t>
  </si>
  <si>
    <t>D+M - WC - Podomítkový montážní prvek pro závěsné WC se šikmým odtokem</t>
  </si>
  <si>
    <t>D+M - WCi - Podomítkový montážní prvek pro závěsné WC se šikmým odtokem</t>
  </si>
  <si>
    <t>D+M - WCd - Podomítkový montážní prvek pro závěsné WC se šikmým odtokem</t>
  </si>
  <si>
    <t>D+M - U - Směšovací stojánková umyvadlová baterie s výpustí</t>
  </si>
  <si>
    <t>D+M - Ui - Směšovací stojánková baterie s výpustí</t>
  </si>
  <si>
    <t>D+M - Ud - Směšovací stojánková umyvadlová baterie s výpustí</t>
  </si>
  <si>
    <t>D+M - SK - Podomítkový sprchový systém</t>
  </si>
  <si>
    <t>D+M - VL - Nástěnná páková baterie s prodlouženým ramínkem délky 200 mm</t>
  </si>
  <si>
    <t>D+M - D - Dřezová stojánková baterie s vytahovací sprškou</t>
  </si>
  <si>
    <t>D+M - H - Hydrantový systém PH D19/30m, typ A, umístění na zeď</t>
  </si>
  <si>
    <t>D+M - Odvzdušňovací ventil DN 15</t>
  </si>
  <si>
    <t>D+M - Přivdušňovací ventil DN 15</t>
  </si>
  <si>
    <t>D+M - Připojovací ventil 1/2"</t>
  </si>
  <si>
    <t>D+M - Propojovací nerezové opletené hadice osazených maticemi 3/8" x 1/2" k výtokovým armaturám</t>
  </si>
  <si>
    <t>D+M - Kulový kohout s vypouštěním, chromovaný, DN 20</t>
  </si>
  <si>
    <t>D+M - Kulový kohout s vypouštěním, chromovaný, DN 25</t>
  </si>
  <si>
    <t>D+M - Kulový kohout, chromovaný, DN 20</t>
  </si>
  <si>
    <t>D+M - Kulový kohout, chromovaný, DN 25</t>
  </si>
  <si>
    <t>D+M - Zpětný ventil, mosazný, DN 20</t>
  </si>
  <si>
    <t>D+M - Zpětný ventil, mosazný, DN 25</t>
  </si>
  <si>
    <t>D+M - Vodoměr Qn 2,5 (s možností dálkového odpočtu)</t>
  </si>
  <si>
    <t>D+M - Zaslepení stávajícího potrubí do DN 50</t>
  </si>
  <si>
    <t>Drážky pro potrubí 100x250 mm ve stěně + oprava a začištění omítky</t>
  </si>
  <si>
    <t>Prostup nosnou konstrukcí 100x250 mm + oprava a začištění stropu, zdiva a podlahy</t>
  </si>
  <si>
    <t>Tlaková zkouška vmitřní potrubí do DN 80</t>
  </si>
  <si>
    <t>Proplach a dezinfekce vodovodního potrubí do DN 80</t>
  </si>
  <si>
    <t>Zkouška těsnosti vodovodního potrubí do DN 80</t>
  </si>
  <si>
    <t>D+M - Diagonální ventilátor do kruhového potrubí 500/160, tichý a úsporný</t>
  </si>
  <si>
    <t>D+M - Doběhový spínač - nastavitelný 2–20 minut, 230 V/50 Hz, včetně kabeláže</t>
  </si>
  <si>
    <t>D+M - Montážní konzola</t>
  </si>
  <si>
    <t>D+M - Tlakový snímač</t>
  </si>
  <si>
    <t>D+M - Regulátor otáček</t>
  </si>
  <si>
    <t>D+M - Měření a regulace</t>
  </si>
  <si>
    <t>D+M - Diagonální ventilátor do kruhového potrubí 350/125, tichý a úsporný</t>
  </si>
  <si>
    <t>D+M - Doběhový spínač</t>
  </si>
  <si>
    <t>D+M - Potrubí SPIRO do Ř 80 mm - 40% tvarovek</t>
  </si>
  <si>
    <t>D+M - Potrubí SPIRO do Ř 100 mm - 40% tvarovek</t>
  </si>
  <si>
    <t>D+M - Potrubí SPIRO do Ř 125 mm - 40% tvarovek</t>
  </si>
  <si>
    <t>D+M - Potrubí SPIRO do Ř 160 mm - 40% tvarovek</t>
  </si>
  <si>
    <t>D+M - Potrubí ohebné do Ř 82 mm</t>
  </si>
  <si>
    <t>D+M - Potrubí ohebné do Ř 102 mm</t>
  </si>
  <si>
    <t>D+M - Potrubí ohebné do Ř 127 mm</t>
  </si>
  <si>
    <t>D+M - Univerzální plastový anemostat Ř 80 mm</t>
  </si>
  <si>
    <t>D+M - Univerzální plastový anemostat Ř 100 mm</t>
  </si>
  <si>
    <t>D+M - Univerzální plastový anemostat Ř 125 mm</t>
  </si>
  <si>
    <t>D+M - Zpětná klapka pro kruhové potrubí O 125 mm</t>
  </si>
  <si>
    <t>D+M - Zpětná klapka pro kruhové potrubí O 160 mm</t>
  </si>
  <si>
    <t>D+M - Tlumič hluku, plášť tlumiče je z galvanizovaného plechu 125/600 mm</t>
  </si>
  <si>
    <t>D+M - Tlumič hluku, plášť tlumiče je z galvanizovaného plechu 160/600 mm</t>
  </si>
  <si>
    <t>D+M - Záslepka vnitřní na potrubí O 80 mm s gumovým těsněním</t>
  </si>
  <si>
    <t>D+M - Záslepka vnitřní na potrubí O 125 mm s gumovým těsněním</t>
  </si>
  <si>
    <t>D+M - Samotížná žaluziová klapka plastová O 125 mm s okapničkou, včetně ochrané síťky proti hmyzu.</t>
  </si>
  <si>
    <t>D+M - Samotížná žaluziová klapka plastová O 160 mm s okapničkou, včetně ochrané síťky proti hmyzu.</t>
  </si>
  <si>
    <t>D+M - Tepelná izolace na potrubí O 80,100, 125 a 160 mm, tloušťka izolace 30 mm.</t>
  </si>
  <si>
    <t>Montážní a závěsový materiál</t>
  </si>
  <si>
    <t>Spojovací a těsnící materiál</t>
  </si>
  <si>
    <t>Prostup nosnou konstrukcí pro potrubí + oprava a začištění prostupu + utěsnění prostupu</t>
  </si>
  <si>
    <t>Prostup nenosnou konstrukcí pro potrubí + oprava a začištění prostupu + utěsnění prostupu</t>
  </si>
  <si>
    <t>Závěsný systém jednoho výrobce</t>
  </si>
  <si>
    <t>Manuály</t>
  </si>
  <si>
    <t>Zaškolení</t>
  </si>
  <si>
    <t>Zkušební provoz</t>
  </si>
  <si>
    <t>Energie a jiná media</t>
  </si>
  <si>
    <t>Montáž VZT zařízení</t>
  </si>
  <si>
    <t>Seřízení a zaregulování  celé soustavy, VZT rozvodů a koncových prvků</t>
  </si>
  <si>
    <t>Protokoly, revize, zkoušky, testy - není součástí položky ve VRN</t>
  </si>
  <si>
    <t>D+M - Potrubí Cu 22,0x1,0 mm</t>
  </si>
  <si>
    <t>D+M - Potrubí Oc DN 50</t>
  </si>
  <si>
    <t>D+M - Izolace MV tl. 25 mm + polep ALS fólií na potrubí 22,0x1,0 mm</t>
  </si>
  <si>
    <t>D+M - Izolace PE tl. 15 mm + polep AL fólií na potrubí 18,0x1,0 mm</t>
  </si>
  <si>
    <t>D+M - Izolace PE tl. 15 mm + polep AL fólií na potrubí 22,0x1,0 mm</t>
  </si>
  <si>
    <t>D+M - Izolace PE tl. 15 mm + polep AL fólií na potrubí 28,0x1,5 mm</t>
  </si>
  <si>
    <t>D+M - Otopné těleso deskové 20 - 5040 - E (Bílá RAL 9010)</t>
  </si>
  <si>
    <t>D+M - Otopné těleso deskové 20 - 5070 - E (Bílá RAL 9010)</t>
  </si>
  <si>
    <t>D+M - Otopné těleso deskové 20 - 5090 - E (Bílá RAL 9010)</t>
  </si>
  <si>
    <t>D+M - Otopné těleso deskové 21 - 5070 - E (Bílá RAL 9010)</t>
  </si>
  <si>
    <t>D+M - Otopné těleso deskové 21 - 5080 - E (Bílá RAL 9010)</t>
  </si>
  <si>
    <t>D+M - Otopné těleso deskové 21 - 5090 - E (Bílá RAL 9010)</t>
  </si>
  <si>
    <t>D+M - Otopné těleso deskové 21 - 5110 - E (Bílá RAL 9010)</t>
  </si>
  <si>
    <t>D+M - Otopné těleso deskové 21 - 5180 - E (Bílá RAL 9010)</t>
  </si>
  <si>
    <t>D+M - Otopné těleso deskové 21 - 6050 - E (Bílá RAL 9010)</t>
  </si>
  <si>
    <t>D+M - Otopné těleso deskové 21 - 6120 - E (Bílá RAL 9010)</t>
  </si>
  <si>
    <t>D+M - Otopné těleso deskové 22 - 5090 - E (Bílá RAL 9010)</t>
  </si>
  <si>
    <t>D+M - Otopné těleso deskové 22 - 5100 - E (Bílá RAL 9010)</t>
  </si>
  <si>
    <t>D+M - Otopné těleso deskové 22 - 5110 - E (Bílá RAL 9010)</t>
  </si>
  <si>
    <t>D+M - Otopné těleso deskové 22 - 200/600 - E (Bílá RAL 9010)</t>
  </si>
  <si>
    <t>D+M - Otopné těleso trubkové 445.1220 - KRMM (Bílá RAL 9010)</t>
  </si>
  <si>
    <t>D+M - Otopné těleso trubkové 595.1500 - KRMM (Bílá RAL 9010)</t>
  </si>
  <si>
    <t>D+M - Připojovací armatura niklovaná rohová, pro dvoutrubkovou otopnou soustavu</t>
  </si>
  <si>
    <t>D+M - Upevňovací sada O24/35 (4 ks), včetně vrutů a hmoždinek</t>
  </si>
  <si>
    <t>D+M - Integrovaná armatura rohová pro dvoutrubkovou otopnou soustavu</t>
  </si>
  <si>
    <t>D+M - Odvzdušňovací radiátorový ventil niklovaný DN 15</t>
  </si>
  <si>
    <t>Orientační štítky a značení potrubí barevnými pruhy, orientačními štítky a popisky vč. Montáže</t>
  </si>
  <si>
    <t>Konstrukce truhlářské</t>
  </si>
  <si>
    <t>M+D Okno výsuvné s bezp.zarážkou ozn.T3</t>
  </si>
  <si>
    <t>provedení dle popisu v PD, vč.povrchové úpravy</t>
  </si>
  <si>
    <t>M+D Dveře vnitřní 700x1970mm ozn.D05</t>
  </si>
  <si>
    <t>provedení dle popisu v PD, vč-kování,zárubně a povrch.úpravy</t>
  </si>
  <si>
    <t>M+D Dveře vnitřní 800x1970mm ozn.D08</t>
  </si>
  <si>
    <t>M+D Dveře vnitřní 900x1970mm ozn.D06</t>
  </si>
  <si>
    <t>M+D Dveře posuvné 1000x2100mm ozn.D07</t>
  </si>
  <si>
    <t>provedení dle popisu v PD, vč.přísluš., kování a povrch.úpravy</t>
  </si>
  <si>
    <t>M+D Kuchyňská linka dl.2000mm ozn.T4</t>
  </si>
  <si>
    <t>Přesun hmot pro truhlářské konstr., výšky do 6 m</t>
  </si>
  <si>
    <t>Hydroizolační stěrka pod dlažbu vodorovná -skladba P2, P3</t>
  </si>
  <si>
    <t>Hydroizolační stěrka pod dlažbu svislá-vytažení -skladba P2, P3</t>
  </si>
  <si>
    <t>Montáž podlahových lišt přechodových</t>
  </si>
  <si>
    <t>Profil přechodový</t>
  </si>
  <si>
    <t>Obklad soklíků keram.rovných, tmel,výška do 10 cm -skladba P2, P3</t>
  </si>
  <si>
    <t>Montáž podlah keram.,protiskl.,tmel, 30x30 cm  -skladba P2, P3</t>
  </si>
  <si>
    <t>Spára podlaha - stěna, silikonem+separ.provazec</t>
  </si>
  <si>
    <t>Podlahy povlakové</t>
  </si>
  <si>
    <t>Vyrovnání podkladů samonivelační stěrkou -skladba P4, bod 2</t>
  </si>
  <si>
    <t>Provedení penetrace podkladu -skladba P4</t>
  </si>
  <si>
    <t>Lepení podlahových soklíků z PVC a vinylu -skladba P4</t>
  </si>
  <si>
    <t>Lišta soklová výška 60mm -dle výběru investora</t>
  </si>
  <si>
    <t>Lepení povlakových podlah z pásů pryžových -skladba P4, bod 1</t>
  </si>
  <si>
    <t>Podlahovina vinylová š. 2 m tl. 2,5 mm dle výběru investora</t>
  </si>
  <si>
    <t>Napuštění povlakových podlah pastou</t>
  </si>
  <si>
    <t>Přesun hmot pro podlahy povlakové, výšky do 6 m</t>
  </si>
  <si>
    <t>Obklady (keramické)</t>
  </si>
  <si>
    <t>Penetrace podkladu pod obklady</t>
  </si>
  <si>
    <t>Řezání obkladaček diamantovým kotoučem</t>
  </si>
  <si>
    <t>Otvor v obkladačce diamant.korunkou prům.do 30 mm</t>
  </si>
  <si>
    <t>Otvor v obkladačce diamant.korunkou prům.do 90 mm</t>
  </si>
  <si>
    <t>Příplatek za sestavení dekoru (listela, bordura)</t>
  </si>
  <si>
    <t>Listela k obkladům-dle výběru investora</t>
  </si>
  <si>
    <t>Obkládání parapetů do tmele šířky do 150 mm-předstěny</t>
  </si>
  <si>
    <t>Obkládačka 20x20 bílá lesk -dle výběru investora</t>
  </si>
  <si>
    <t>Obkládání parapetů do tmele šířky do 300 mm-předstěny</t>
  </si>
  <si>
    <t>Montáž obkladů stěn, porovin.,tmel, 20x20 cm</t>
  </si>
  <si>
    <t>Příplatek za spárovací vodotěsnou hmotu - plošně</t>
  </si>
  <si>
    <t>Příplatek k obkladu stěn za plochu do 10 m2 jedntl</t>
  </si>
  <si>
    <t>Montáž lišt k obkladům -rohových,koutových,horních</t>
  </si>
  <si>
    <t>Profil ukončovací PVC  H = 10 mm -horní</t>
  </si>
  <si>
    <t>Profil ukončovací PVC  H = 10 mm -nárožní</t>
  </si>
  <si>
    <t>Profil ukončovací PVC  H = 10 mm -koutový</t>
  </si>
  <si>
    <t>Přesun hmot pro obklady keramické, výšky do 6 m</t>
  </si>
  <si>
    <t>Celková prohlídka elektrického rozvodu a zařízení hromosvodu do 1 milionu Kč</t>
  </si>
  <si>
    <t>Montáž rozvodné skříně do 50 kg</t>
  </si>
  <si>
    <t>Rozvaděč RK</t>
  </si>
  <si>
    <t>Rozvaděč RP</t>
  </si>
  <si>
    <t>Přípojnice PHP / PLP</t>
  </si>
  <si>
    <t>Jistič s chráničem 1/16A/ 0,03A</t>
  </si>
  <si>
    <t>Jistič 3 / 25A</t>
  </si>
  <si>
    <t>Jistič s chráničem 1/10A/ 0,03A</t>
  </si>
  <si>
    <t>Montáž krabice zapuštěná plastová čtyřhranná typ KO100, KO125</t>
  </si>
  <si>
    <t>Krabice  KO125</t>
  </si>
  <si>
    <t>Montáž vodič uzemňovací drát nebo lano D do 10 mm na povrchu</t>
  </si>
  <si>
    <t>drát průměr 10 mm FeZn</t>
  </si>
  <si>
    <t>Krabice A5 / IP65</t>
  </si>
  <si>
    <t>Montáž svorka hromosvodná typ ST, SJ, SK, SZ, SR01, 02 se 3 šrouby</t>
  </si>
  <si>
    <t>svorka uzemnění  SU nerez univerzální</t>
  </si>
  <si>
    <t>Montáž vodič Cu izolovaný sk.1 do 1 kV žíla 0,35 až 6 mm2 do stěny</t>
  </si>
  <si>
    <t>vodič silový s Cu jádrem CY H07 V-U 6 mm2</t>
  </si>
  <si>
    <t>Montáž vodič Cu izolovaný sk.1 do 1 kV žíla 10 až 16 mm2 do stěny</t>
  </si>
  <si>
    <t>vodič silový s Cu jádrem CY H07 V-U 10 mm2</t>
  </si>
  <si>
    <t>kabel silový s Cu jádrem CYKY 3Ax1,5 mm2</t>
  </si>
  <si>
    <t>kabel komunikační s Cu jádrem SYKFY 5x2x0,5 mm2</t>
  </si>
  <si>
    <t>kabel komunikační s Cu jádrem SYKFY 10x2x0,5 mm2</t>
  </si>
  <si>
    <t>kabel UTP cat 5e</t>
  </si>
  <si>
    <t>Montáž kabel Cu sk.2 do 1 kV do 0,40 kg pod omítku stěn</t>
  </si>
  <si>
    <t>kabel silový s Cu jádrem CYKY 5x1,5 mm2</t>
  </si>
  <si>
    <t>kabel silový s Cu jádrem CYKY-J 3x2,5 mm2</t>
  </si>
  <si>
    <t>Montáž kabel Cu sk.2 do 1 kV nad 0,40 kg pod omítku stěn</t>
  </si>
  <si>
    <t>kabel silový s Cu jádrem CYKY-J 5x6mm2</t>
  </si>
  <si>
    <t>SVORKA ST 5 NA POTRUBI</t>
  </si>
  <si>
    <t>Ukončení vodič izolovaný do 10 mm2 v rozváděči nebo na přístroji</t>
  </si>
  <si>
    <t>Montáž pospojení</t>
  </si>
  <si>
    <t>Sada hlavního pospojení</t>
  </si>
  <si>
    <t>Montáž vypínač nástěnný 1-jednopólový prostředí obyčejné nebo vlhké</t>
  </si>
  <si>
    <t>spínač jednopólový 10A IP20 - komplet</t>
  </si>
  <si>
    <t>Montáž vypínač nástěnný 5-dvojpólový prostředí obyčejné nebo vlhké</t>
  </si>
  <si>
    <t>spínač dvojpólový 10A IP20 - komplet</t>
  </si>
  <si>
    <t>Montáž přepínač nástěnný 6-střídavý prostředí obyčejné nebo vlhké</t>
  </si>
  <si>
    <t>spínač řazení 6 10A IP20 - komplet</t>
  </si>
  <si>
    <t>spínač řazení 6+6 10A IP20 - komplet</t>
  </si>
  <si>
    <t>Montáž přepínač nástěnný 7-křížový prostředí obyčejné nebo vlhké</t>
  </si>
  <si>
    <t>spínač řazení 7 10A IP20 - komplet</t>
  </si>
  <si>
    <t>Montáž ukončovací krabice do 5x2,5 mm2 IP65</t>
  </si>
  <si>
    <t>Ukončovací krabice do 5x2,5 mm2 IP65</t>
  </si>
  <si>
    <t>Montáž zásuvka zapuštěná bezšroubové připojení L+N+PE dvojí zapojení - průběžná / koncová</t>
  </si>
  <si>
    <t>zásuvka 2násobná 16A / 230V- komplet</t>
  </si>
  <si>
    <t>zásuvka 2násobná 16A / 230V- komplet s přepěťovou ochranou "D"</t>
  </si>
  <si>
    <t>zásuvka 1násobná 16A / 230V- IP44 - komplet</t>
  </si>
  <si>
    <t>Montáž zásuvka zapuštěná bezšroubové připojení datové zapojení - koncová</t>
  </si>
  <si>
    <t>zásuvka datová  - komplet</t>
  </si>
  <si>
    <t>zásuvka telefonní  - komplet</t>
  </si>
  <si>
    <t>SOS systém pro WC imobilní</t>
  </si>
  <si>
    <t>SOS systém pro WC imobilní ( centrální jednotka, tahový vypínač, spínač, akustické a světelné návěští )</t>
  </si>
  <si>
    <t>Ústředna EZS, vč. příslušenství a exp.</t>
  </si>
  <si>
    <t>Ústředna EZS, vč.příslušenství a exp.</t>
  </si>
  <si>
    <t>Čidlo kouřové</t>
  </si>
  <si>
    <t>Akustické a světelné návěští EZS</t>
  </si>
  <si>
    <t>Klávesníce EZS</t>
  </si>
  <si>
    <t>Magnetické dveřní čidlo</t>
  </si>
  <si>
    <t>Tlačítko nouze</t>
  </si>
  <si>
    <t>Čidlo PIR</t>
  </si>
  <si>
    <t>WIFI router</t>
  </si>
  <si>
    <t>WIFI router např. AirGATE AP/router . 150Mbps, 1x LAN 2,4GHz, 5Ghz, Ext</t>
  </si>
  <si>
    <t>Kamera CCTV</t>
  </si>
  <si>
    <t>Kamera CCTV např. vnitřní 1/3 kamera, TD/N, 700TVL, f=2.8 mm, IR 30m, 12V
vč. držáku kamery</t>
  </si>
  <si>
    <t>Kamera CCTV např. venkovní 1/3 kamera, TD/N, 700TVL, f=2.8-12 mm, IR 30m, 12V
vč. držáku kamery a zdroje pro vyhřívaní</t>
  </si>
  <si>
    <t>RACK</t>
  </si>
  <si>
    <t>RACK ( skříň 600x600x600 mm, vyvazovací panelhorizont / vertikal, vnitřní police, zámek, Patch panel 24 portů, Patch kabely UTP RJ45-RJ45-šedobilý 2m,</t>
  </si>
  <si>
    <t>Úpravy a doplnění Serveru pro napojovací bod telefonu</t>
  </si>
  <si>
    <t>Úpravy a doplnění Serveru pro napojovací bod telefonu ( propoj kabely, ….. )</t>
  </si>
  <si>
    <t>Komunikátor - doplnění zdroje do rozvaděče NN</t>
  </si>
  <si>
    <t>Komunikátor - zvonkové tablo ( 3 účastníci )</t>
  </si>
  <si>
    <t>Komunikátor - domácí telefon s jedním tlačítkem</t>
  </si>
  <si>
    <t>Komunikátor - el.zámek</t>
  </si>
  <si>
    <t>A - Svítidlo zářivkové / LED , IP20, max 60W</t>
  </si>
  <si>
    <t>A/IR - Svítidlo zářivkové / LED , IP20, max 60Ws IR čidlem</t>
  </si>
  <si>
    <t>B -Svítidlo LED , max 2x18W</t>
  </si>
  <si>
    <t>G - Svítidlo zářivkové, 2x36W. IP20, 3350 lm</t>
  </si>
  <si>
    <t>Dokumentace skutečného provedení stavby -není součástí položky ve VRN</t>
  </si>
  <si>
    <t>Doplnění podružných elektroměrů do rozvaděče společné spotřeby</t>
  </si>
  <si>
    <t>Podružný elektroměr 3f / cejchovaný vč. podruž.materiálu</t>
  </si>
  <si>
    <t>krabice přístrojová instalační KP 68/2</t>
  </si>
  <si>
    <t>ku</t>
  </si>
  <si>
    <t>sada</t>
  </si>
  <si>
    <t>41_</t>
  </si>
  <si>
    <t>64_</t>
  </si>
  <si>
    <t>766_</t>
  </si>
  <si>
    <t>776_</t>
  </si>
  <si>
    <t>781_</t>
  </si>
  <si>
    <t>SO 13_3_</t>
  </si>
  <si>
    <t>SO 13_4_</t>
  </si>
  <si>
    <t>SO 13_6_</t>
  </si>
  <si>
    <t>SO 13_9_</t>
  </si>
  <si>
    <t>SO 13_72_</t>
  </si>
  <si>
    <t>SO 13_73_</t>
  </si>
  <si>
    <t>SO 13_76_</t>
  </si>
  <si>
    <t>SO 13_77_</t>
  </si>
  <si>
    <t>SO 13_78_</t>
  </si>
  <si>
    <t>SO 13_</t>
  </si>
  <si>
    <t>Výkaz výměr (SO 13 - J2 - Stavební úpravy přízemí)</t>
  </si>
  <si>
    <t>(2,9*5+1,8+1,95+1,5+1,45+4,8+4,5+1,2+3,5)*3,21-0,9*1,97-0,8*1,97-0,7*1,97*8-0,9*2,2+(1,0*2,3)</t>
  </si>
  <si>
    <t>5,25*2+6,4*2+5,9*7*2+4,94*4*2</t>
  </si>
  <si>
    <t>0,15*3,7*2+0,15*3,0*2*2</t>
  </si>
  <si>
    <t>9,541+9,961+9,541*4+1,68+1,56</t>
  </si>
  <si>
    <t>611310110RT3</t>
  </si>
  <si>
    <t>612421231RT2</t>
  </si>
  <si>
    <t>612421331RT2</t>
  </si>
  <si>
    <t>962031132R00</t>
  </si>
  <si>
    <t>962031133R00</t>
  </si>
  <si>
    <t>965042231R00</t>
  </si>
  <si>
    <t>776511810R00</t>
  </si>
  <si>
    <t>968061125RA1</t>
  </si>
  <si>
    <t>968072455RA1</t>
  </si>
  <si>
    <t>971033631R00</t>
  </si>
  <si>
    <t>978013121R00</t>
  </si>
  <si>
    <t>978013141R00</t>
  </si>
  <si>
    <t>978071720R00</t>
  </si>
  <si>
    <t>979990110R00</t>
  </si>
  <si>
    <t>979990181R00</t>
  </si>
  <si>
    <t>72113</t>
  </si>
  <si>
    <t>72114</t>
  </si>
  <si>
    <t>72115</t>
  </si>
  <si>
    <t>721111</t>
  </si>
  <si>
    <t>721112</t>
  </si>
  <si>
    <t>721113</t>
  </si>
  <si>
    <t>721114</t>
  </si>
  <si>
    <t>721115</t>
  </si>
  <si>
    <t>721116</t>
  </si>
  <si>
    <t>721117</t>
  </si>
  <si>
    <t>721118</t>
  </si>
  <si>
    <t>721119</t>
  </si>
  <si>
    <t>7211110</t>
  </si>
  <si>
    <t>7211111</t>
  </si>
  <si>
    <t>72212</t>
  </si>
  <si>
    <t>72213</t>
  </si>
  <si>
    <t>72214</t>
  </si>
  <si>
    <t>72274</t>
  </si>
  <si>
    <t>72275</t>
  </si>
  <si>
    <t>72276</t>
  </si>
  <si>
    <t>72277</t>
  </si>
  <si>
    <t>72278</t>
  </si>
  <si>
    <t>72279</t>
  </si>
  <si>
    <t>722710</t>
  </si>
  <si>
    <t>722711</t>
  </si>
  <si>
    <t>73158</t>
  </si>
  <si>
    <t>73159</t>
  </si>
  <si>
    <t>73172</t>
  </si>
  <si>
    <t>73173</t>
  </si>
  <si>
    <t>KZS ETICS, strop, MV tl.100mm -skladba B4, body 1-5</t>
  </si>
  <si>
    <t>Oprava vápen.omítek stěn do 10 % pl. - štukových</t>
  </si>
  <si>
    <t>Oprava vápen.omítek stěn do 30 % pl. - štukových</t>
  </si>
  <si>
    <t>Bourání příček cihelných tl. 10 cm -dle pozn.2</t>
  </si>
  <si>
    <t>Bourání příček cihelných tl. 15 cm -dle pozn.2</t>
  </si>
  <si>
    <t>Bourání mazanin betonových tl. nad 10 cm, pl. 4 m2</t>
  </si>
  <si>
    <t>Bourání mazanin betonových tl. nad 10 cm, nad 4 m2</t>
  </si>
  <si>
    <t>Odstranění PVC lep.bez podložky -dle pozn.7</t>
  </si>
  <si>
    <t>Bourání dlažeb keramických tl.10 mm, nad 1 m2 -dle pozn.6</t>
  </si>
  <si>
    <t>Vyvěšení dřevěných dveřních křídel pl. do 2 m2 -dle pozn.1, vč.ekolog.likvidace</t>
  </si>
  <si>
    <t>Vybourání kovových dveřních zárubní pl. do 2 m2 -dle pozn.1, vč.ekolog.likvidace</t>
  </si>
  <si>
    <t>Prostup základem, zdivem šachtry (velikost prostupu dle PD) + oprava</t>
  </si>
  <si>
    <t>Vybourání otv. zeď cihel. pl.4 m2, tl.15 cm, MVC -dle pozn.2</t>
  </si>
  <si>
    <t>Otlučení omítek vnitřních stěn v rozsahu do 10 %</t>
  </si>
  <si>
    <t>Otlučení omítek vnitřních stěn v rozsahu do 30 %</t>
  </si>
  <si>
    <t>Otlučení omítek vnitřních stěn v rozsahu do 100 % -dle pozn.8</t>
  </si>
  <si>
    <t>Odsekání vnitřních obkladů stěn nad 2 m2 -dle pozn.4</t>
  </si>
  <si>
    <t>Demontáž stáv.podhledu -dle pozn.5</t>
  </si>
  <si>
    <t>Poplatek za skládku suti - sádrokartonové desky</t>
  </si>
  <si>
    <t>Poplatek za skládku suti - PVC podlahová krytina</t>
  </si>
  <si>
    <t>Demontáž - Svodné potrubí kameninové / plastové do DN 250 vč. trvarovek, včetně výkopů, oprav podlah a uvedění do původního stavu</t>
  </si>
  <si>
    <t>Demontáž - Odpadní a připojovací potrubí litinové/plastové do DN 200 vč. trvarovek</t>
  </si>
  <si>
    <t>Demontáž - Umyvadlo keramické 600 mm (normální) - odstranit vč. armatur a potrubí.</t>
  </si>
  <si>
    <t>Demontáž - Klozet keramický (normální) - odstranit vč. armatur a potrubí.</t>
  </si>
  <si>
    <t>Demontáž - Dřez smaltovaný jednoduchý - odstranit vč. armatur a potrubí.</t>
  </si>
  <si>
    <t>D+M - Ležatí potrubí PVC-KG DN 125</t>
  </si>
  <si>
    <t>D+M - Ležatí potrubí PVC-KG DN 160</t>
  </si>
  <si>
    <t>D+M - Ležatí potrubí PVC-KG DN 200</t>
  </si>
  <si>
    <t>D+M - Zpětná klapka DN 200</t>
  </si>
  <si>
    <t>D+M - VL - Výlevka keramická závěsná 425x500x450 mm</t>
  </si>
  <si>
    <t>Demontáž - Stávající nástěnná umyvadlová baterie - odstranit vč. armatur a potrubí.</t>
  </si>
  <si>
    <t>Demontáž - Stávající rohový nástěnný ventil pro WC + splachovací nádržka - odstranit vč. armatur a potrubí.</t>
  </si>
  <si>
    <t>Demontáž - Stávající nástěnná dřezová baterie - odstranit vč. armatur a potrubí.</t>
  </si>
  <si>
    <t>D+M - VL - Nástěnná páková baterie + podomítkový instalační modul pro závěsnou výlevku</t>
  </si>
  <si>
    <t>Demontáž nástěnného ventilátoru - odstranit včetně potrubí, závěsů, zařízení, elektro, MaR a příslušenství</t>
  </si>
  <si>
    <t>Demontáž - Stávající potrubí do DN 50, včetně konzol, potrubních armatur, tepelných izolací a připojovacích armatur</t>
  </si>
  <si>
    <t>Demontáž - Stávající deskové otopné těleso - odstranit bez náhrady vč. armatur a připojovacího potrubí.</t>
  </si>
  <si>
    <t>D+M - Otopné těleso deskové 22 - 9090 - E (Bílá RAL 9010)</t>
  </si>
  <si>
    <t>D+M - Otopné těleso deskové 33 - 7080 - E (Bílá RAL 9010)</t>
  </si>
  <si>
    <t>D+M - Připojovací armatura niklovaná rohová, pro tělesa s integrovanými ventily</t>
  </si>
  <si>
    <t>D+M - Vyregulování ventilů s termost ovládáním</t>
  </si>
  <si>
    <t>D+M - Kulový kohout závitový, chromovaný, DN 20</t>
  </si>
  <si>
    <t>D+M - Kulový kohout s vypouštěním závitový, chromovaný, DN 20</t>
  </si>
  <si>
    <t>Hydroizolační stěrka pod dlažbu vodorovná -skladba P1, P2</t>
  </si>
  <si>
    <t>Hydroizolační stěrka pod dlažbu svislá-vytažení -skladba P1, P2</t>
  </si>
  <si>
    <t>Obklad soklíků keram.rovných, tmel,výška do 10 cm -skladba P1, P2</t>
  </si>
  <si>
    <t>Montáž podlah keram.,protiskl.,tmel, 30x30 cm  -skladba P1, P2</t>
  </si>
  <si>
    <t>Obkládání parapetů do tmele šířky do 150 mm</t>
  </si>
  <si>
    <t>Jitič s chráničem 1/16A/ 0,03A</t>
  </si>
  <si>
    <t>SO 14_3_</t>
  </si>
  <si>
    <t>SO 14_6_</t>
  </si>
  <si>
    <t>SO 14_9_</t>
  </si>
  <si>
    <t>SO 14_72_</t>
  </si>
  <si>
    <t>SO 14_73_</t>
  </si>
  <si>
    <t>SO 14_76_</t>
  </si>
  <si>
    <t>SO 14_77_</t>
  </si>
  <si>
    <t>SO 14_78_</t>
  </si>
  <si>
    <t>SO 14_</t>
  </si>
  <si>
    <t>740</t>
  </si>
  <si>
    <t>742</t>
  </si>
  <si>
    <t>74280004R</t>
  </si>
  <si>
    <t>743</t>
  </si>
  <si>
    <t>743112119</t>
  </si>
  <si>
    <t>345710554</t>
  </si>
  <si>
    <t>743112115R</t>
  </si>
  <si>
    <t>345710510R</t>
  </si>
  <si>
    <t>743112115R1</t>
  </si>
  <si>
    <t>345710510R1</t>
  </si>
  <si>
    <t>743112115R2</t>
  </si>
  <si>
    <t>345710510R2</t>
  </si>
  <si>
    <t>743112115R3</t>
  </si>
  <si>
    <t>345710510R3</t>
  </si>
  <si>
    <t>743112115R4</t>
  </si>
  <si>
    <t>345710510R4</t>
  </si>
  <si>
    <t>743112115R5</t>
  </si>
  <si>
    <t>345710510R6</t>
  </si>
  <si>
    <t>749</t>
  </si>
  <si>
    <t>VRN1</t>
  </si>
  <si>
    <t>VRN9</t>
  </si>
  <si>
    <t>092105110D</t>
  </si>
  <si>
    <t>Ostatní konstrukce a práce, bourání</t>
  </si>
  <si>
    <t>Elektromontáže - zkoušky a revize</t>
  </si>
  <si>
    <t>Celková prohlídka zařízení hromosvodu vč. kontrolního měření a revize</t>
  </si>
  <si>
    <t>Elektromontáže - rozvodný systém</t>
  </si>
  <si>
    <t>Koordinace s ČEZ Distribuce, a.s. vytýčení</t>
  </si>
  <si>
    <t>Koordinace s CETIN vytýčení</t>
  </si>
  <si>
    <t>Elektromontáže - hrubá montáž</t>
  </si>
  <si>
    <t>Montáž trubkakorugovaná pr.50/41 uložená pevně</t>
  </si>
  <si>
    <t>Trubka korugovaná 50/41</t>
  </si>
  <si>
    <t>Páska FeZn 30x4 mm</t>
  </si>
  <si>
    <t>Drát FeZn / AlMgSi 10mm2</t>
  </si>
  <si>
    <t>Svorka křížová SK</t>
  </si>
  <si>
    <t>Svorka páska drát SR03</t>
  </si>
  <si>
    <t>Svorka universální SU</t>
  </si>
  <si>
    <t>Ochranný nátěr spojů</t>
  </si>
  <si>
    <t>Elektromontáže - ostatní práce a konstrukce</t>
  </si>
  <si>
    <t>Podružný, spojovací, připojovací, kotevní a upevňovací materiál, svorky, závěsy, veškeré příslušenství,  ………………</t>
  </si>
  <si>
    <t>Průzkumné, geodetické a projektové práce</t>
  </si>
  <si>
    <t>Ostatní náklady</t>
  </si>
  <si>
    <t>Kabelová rýha, zem.tř.III vč. záhozu a hutnění</t>
  </si>
  <si>
    <t>Demontáž a montáž zámkové dlažby (š.0,6m)</t>
  </si>
  <si>
    <t>RTS II / 2018</t>
  </si>
  <si>
    <t>9_</t>
  </si>
  <si>
    <t>740_</t>
  </si>
  <si>
    <t>742_</t>
  </si>
  <si>
    <t>743_</t>
  </si>
  <si>
    <t>749_</t>
  </si>
  <si>
    <t>VRN1_</t>
  </si>
  <si>
    <t>VRN9_</t>
  </si>
  <si>
    <t>SO 21M_9_</t>
  </si>
  <si>
    <t>SO 21M_74_</t>
  </si>
  <si>
    <t>SO 21M_</t>
  </si>
  <si>
    <t>Stavební rozpočet (VRN - Vedlejší rozpočtové náklady)</t>
  </si>
  <si>
    <t>0</t>
  </si>
  <si>
    <t>005 10-1010.R</t>
  </si>
  <si>
    <t>005 10-1020.R</t>
  </si>
  <si>
    <t>005 10-1030.R</t>
  </si>
  <si>
    <t>005 12-1020.R</t>
  </si>
  <si>
    <t>005 12-2010.R</t>
  </si>
  <si>
    <t>005 12-4010.R</t>
  </si>
  <si>
    <t>005 23-1010.R</t>
  </si>
  <si>
    <t>005-24-1010.R</t>
  </si>
  <si>
    <t>005 24-1020.R</t>
  </si>
  <si>
    <t>005 26-1010.R</t>
  </si>
  <si>
    <t>Všeobecné konstrukce a práce</t>
  </si>
  <si>
    <t>Kompletační činnost</t>
  </si>
  <si>
    <t xml:space="preserve">dle SoD čl. II odst.2.5.4.
</t>
  </si>
  <si>
    <t>Provoz dalšího subjektu</t>
  </si>
  <si>
    <t xml:space="preserve">dle SoD čl. II odst.2.5.8.
</t>
  </si>
  <si>
    <t>Fotodokumentace díla</t>
  </si>
  <si>
    <t xml:space="preserve">dle SoD čl. II odst.2.5.9.
</t>
  </si>
  <si>
    <t xml:space="preserve">dle SoD čl. II odst.2.5.2
</t>
  </si>
  <si>
    <t>Provozní a územní vlivy</t>
  </si>
  <si>
    <t>dle SoD čl. II odst.2.5.7.</t>
  </si>
  <si>
    <t>Koordinační činnost</t>
  </si>
  <si>
    <t xml:space="preserve">dle SoD čl. II odst.2.5.5.
</t>
  </si>
  <si>
    <t>Revize a zkoušky</t>
  </si>
  <si>
    <t xml:space="preserve">dle SoD čl. II odst.2.5.3.
</t>
  </si>
  <si>
    <t>Dokumentace skut.provedení stavby</t>
  </si>
  <si>
    <t xml:space="preserve">dle SoD čl. II odst.2.1.2. a 2.5.1.
</t>
  </si>
  <si>
    <t>Geodetické práce</t>
  </si>
  <si>
    <t xml:space="preserve">dle SOD čl. II odst.2.1.3. a 2.1.4.
</t>
  </si>
  <si>
    <t>Pojištění stavby</t>
  </si>
  <si>
    <t xml:space="preserve">dle SoD čl. II odst.2.5.6.
</t>
  </si>
  <si>
    <t>0_</t>
  </si>
  <si>
    <t>VRN_0_</t>
  </si>
  <si>
    <t>VRN_</t>
  </si>
  <si>
    <t>Výkaz výměr (VRN - Vedlejší rozpočtové náklady)</t>
  </si>
  <si>
    <t>Stavební rozpočet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</si>
  <si>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</si>
  <si>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</si>
  <si>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</si>
  <si>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</si>
  <si>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</si>
  <si>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</si>
  <si>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</si>
  <si>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</si>
  <si>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</si>
  <si>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</si>
  <si>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</si>
  <si>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</si>
  <si>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</si>
  <si>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</si>
  <si>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</si>
  <si>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</si>
  <si>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</si>
  <si>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</si>
  <si>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</si>
  <si>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</si>
  <si>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</si>
  <si>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</si>
  <si>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</si>
  <si>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</si>
  <si>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</si>
  <si>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</si>
  <si>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</si>
  <si>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</si>
  <si>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</si>
  <si>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</si>
  <si>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</si>
  <si>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</si>
  <si>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</si>
  <si>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</si>
  <si>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</si>
  <si>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</si>
  <si>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</si>
  <si>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</si>
  <si>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</si>
  <si>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</si>
  <si>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</si>
  <si>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</si>
  <si>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</si>
  <si>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</si>
  <si>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</si>
  <si>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</si>
  <si>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</si>
  <si>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</si>
  <si>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</si>
  <si>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</si>
  <si>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</si>
  <si>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</si>
  <si>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</si>
  <si>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</si>
  <si>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</si>
  <si>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</si>
  <si>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</si>
  <si>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</si>
  <si>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</si>
  <si>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</si>
  <si>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</si>
  <si>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</si>
  <si>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</si>
  <si>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</si>
  <si>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</si>
  <si>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</si>
  <si>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</si>
  <si>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</si>
  <si>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</si>
  <si>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</si>
  <si>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</si>
  <si>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</si>
  <si>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</si>
  <si>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</si>
  <si>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</si>
  <si>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</si>
  <si>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</si>
  <si>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</si>
  <si>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</si>
  <si>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</si>
  <si>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</si>
  <si>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</si>
  <si>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</si>
  <si>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</si>
  <si>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</si>
  <si>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</si>
  <si>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</si>
  <si>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</si>
  <si>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</si>
  <si>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</si>
  <si>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</si>
  <si>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</si>
  <si>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</si>
  <si>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</si>
  <si>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</si>
  <si>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</si>
  <si>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</si>
  <si>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</si>
  <si>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</si>
  <si>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</si>
  <si>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</si>
  <si>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</si>
  <si>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</si>
  <si>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</si>
  <si>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</si>
  <si>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</si>
  <si>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</si>
  <si>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</si>
  <si>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</si>
  <si>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</si>
  <si>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</si>
  <si>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</si>
  <si>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</si>
  <si>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</si>
  <si>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</si>
  <si>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</si>
  <si>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</si>
  <si>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</si>
  <si>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</si>
  <si>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</si>
  <si>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</si>
  <si>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</si>
  <si>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</si>
  <si>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</si>
  <si>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</si>
  <si>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</si>
  <si>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</si>
  <si>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</si>
  <si>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</si>
  <si>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</si>
  <si>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</si>
  <si>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</si>
  <si>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</si>
  <si>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</si>
  <si>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</si>
  <si>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</si>
  <si>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</si>
  <si>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</si>
  <si>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</si>
  <si>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</si>
  <si>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</si>
  <si>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</si>
  <si>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</si>
  <si>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</si>
  <si>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</si>
  <si>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</si>
  <si>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</si>
  <si>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</si>
  <si>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</si>
  <si>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</si>
  <si>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</si>
  <si>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</si>
  <si>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</si>
  <si>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</si>
  <si>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</si>
  <si>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</si>
  <si>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</si>
  <si>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</si>
  <si>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</si>
  <si>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</si>
  <si>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</si>
  <si>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</si>
  <si>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</si>
  <si>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</si>
  <si>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</si>
  <si>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</si>
  <si>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</si>
  <si>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</si>
  <si>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</si>
  <si>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</si>
  <si>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</si>
  <si>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</si>
  <si>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</si>
  <si>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</si>
  <si>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</si>
  <si>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</si>
  <si>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</si>
  <si>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</si>
  <si>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</si>
  <si>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</si>
  <si>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</si>
  <si>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</si>
  <si>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</si>
  <si>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</si>
  <si>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</si>
  <si>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</si>
  <si>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</si>
  <si>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</si>
  <si>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</si>
  <si>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</si>
  <si>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</si>
  <si>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</si>
  <si>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</si>
  <si>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</si>
  <si>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</si>
  <si>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</si>
  <si>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</si>
  <si>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</si>
  <si>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</si>
  <si>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</si>
  <si>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</si>
  <si>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</si>
  <si>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</si>
  <si>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</si>
  <si>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</si>
  <si>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</si>
  <si>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</si>
  <si>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</si>
  <si>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</si>
  <si>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</si>
  <si>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</si>
  <si>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</si>
  <si>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</si>
  <si>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</si>
  <si>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</si>
  <si>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</si>
  <si>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</si>
  <si>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</si>
  <si>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</si>
  <si>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</si>
  <si>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</si>
  <si>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</si>
  <si>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</si>
  <si>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</si>
  <si>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</si>
  <si>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</si>
  <si>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</si>
  <si>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</si>
  <si>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</si>
  <si>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</si>
  <si>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</si>
  <si>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</si>
  <si>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</si>
  <si>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</si>
  <si>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</si>
  <si>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</si>
  <si>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</si>
  <si>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</si>
  <si>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</si>
  <si>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</si>
  <si>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</si>
  <si>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</si>
  <si>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</si>
  <si>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</si>
  <si>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</si>
  <si>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</si>
  <si>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</si>
  <si>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</si>
  <si>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</si>
  <si>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</si>
  <si>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</si>
  <si>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</si>
  <si>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</si>
  <si>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</si>
  <si>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</si>
  <si>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</si>
  <si>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</si>
  <si>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</si>
  <si>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</si>
  <si>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</si>
  <si>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</si>
  <si>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</si>
  <si>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</si>
  <si>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</si>
  <si>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</si>
  <si>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</si>
  <si>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</si>
  <si>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</si>
  <si>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</si>
  <si>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</si>
  <si>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</si>
  <si>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</si>
  <si>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723</t>
  </si>
  <si>
    <t>724</t>
  </si>
  <si>
    <t>725</t>
  </si>
  <si>
    <t>726</t>
  </si>
  <si>
    <t>727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</si>
  <si>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</si>
  <si>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</si>
  <si>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</si>
  <si>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</si>
  <si>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</si>
  <si>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</si>
  <si>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</si>
  <si>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</si>
  <si>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</si>
  <si>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</si>
  <si>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741</t>
  </si>
  <si>
    <t>744</t>
  </si>
  <si>
    <t>745</t>
  </si>
  <si>
    <t>746</t>
  </si>
  <si>
    <t>747</t>
  </si>
  <si>
    <t>748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</si>
  <si>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</si>
  <si>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</si>
  <si>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</si>
  <si>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</si>
  <si>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</si>
  <si>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</si>
  <si>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</si>
  <si>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</si>
  <si>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</si>
  <si>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</si>
  <si>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</si>
  <si>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</si>
  <si>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</si>
  <si>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</si>
  <si>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</si>
  <si>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</si>
  <si>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768</t>
  </si>
  <si>
    <t>769</t>
  </si>
  <si>
    <t>770</t>
  </si>
  <si>
    <t>772</t>
  </si>
  <si>
    <t>773</t>
  </si>
  <si>
    <t>774</t>
  </si>
  <si>
    <t>775</t>
  </si>
  <si>
    <t>777</t>
  </si>
  <si>
    <t>778</t>
  </si>
  <si>
    <t>779</t>
  </si>
  <si>
    <t>780</t>
  </si>
  <si>
    <t>782</t>
  </si>
  <si>
    <t>783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</si>
  <si>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</si>
  <si>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</si>
  <si>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</si>
  <si>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</si>
  <si>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</si>
  <si>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</si>
  <si>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</si>
  <si>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</si>
  <si>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</si>
  <si>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</si>
  <si>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</si>
  <si>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</si>
  <si>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</si>
  <si>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</si>
  <si>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</si>
  <si>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</si>
  <si>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</si>
  <si>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</si>
  <si>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</si>
  <si>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</si>
  <si>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</si>
  <si>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</si>
  <si>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</si>
  <si>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</si>
  <si>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</si>
  <si>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</si>
  <si>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</si>
  <si>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</si>
  <si>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</si>
  <si>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</si>
  <si>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</si>
  <si>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</si>
  <si>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</si>
  <si>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</si>
  <si>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</si>
  <si>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</si>
  <si>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</si>
  <si>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</si>
  <si>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</si>
  <si>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</si>
  <si>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</si>
  <si>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</si>
  <si>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</si>
  <si>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</si>
  <si>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</si>
  <si>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</si>
  <si>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</si>
  <si>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</si>
  <si>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</si>
  <si>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</si>
  <si>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</si>
  <si>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</si>
  <si>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</si>
  <si>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</si>
  <si>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</si>
  <si>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</si>
  <si>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</si>
  <si>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</si>
  <si>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</si>
  <si>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</si>
  <si>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</si>
  <si>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</si>
  <si>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</si>
  <si>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</si>
  <si>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</si>
  <si>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</si>
  <si>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</si>
  <si>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</si>
  <si>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</si>
  <si>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</si>
  <si>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</si>
  <si>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</si>
  <si>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</si>
  <si>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</si>
  <si>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</si>
  <si>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</si>
  <si>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</si>
  <si>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</si>
  <si>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</si>
  <si>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</si>
  <si>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</si>
  <si>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</si>
  <si>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</si>
  <si>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</si>
  <si>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</si>
  <si>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</si>
  <si>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</si>
  <si>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</si>
  <si>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</si>
  <si>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</si>
  <si>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</si>
  <si>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</si>
  <si>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</si>
  <si>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</si>
  <si>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</si>
  <si>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</si>
  <si>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</si>
  <si>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</si>
  <si>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</si>
  <si>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</si>
  <si>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</si>
  <si>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</si>
  <si>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</si>
  <si>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</si>
  <si>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</si>
  <si>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</si>
  <si>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</si>
  <si>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</si>
  <si>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"Snížení energetické náročnosti bytových domů v ul.Komenského"-změna vnitřních prostorů</t>
  </si>
  <si>
    <t> </t>
  </si>
  <si>
    <t>17.02.2018</t>
  </si>
  <si>
    <t>Stavební rozpočet - práce</t>
  </si>
  <si>
    <t>Stavební rozpočet - materiál</t>
  </si>
  <si>
    <t>2*7</t>
  </si>
  <si>
    <t>4*3</t>
  </si>
  <si>
    <t>6,5+2,03+2,1+2,03+2,1+5,1+2,5+1,6+2,7+5,6+3,4+3,1</t>
  </si>
  <si>
    <t>151,5</t>
  </si>
  <si>
    <t>11,0*1,15</t>
  </si>
  <si>
    <t>13*3,21</t>
  </si>
  <si>
    <t>(1,3+1,6+0,4)*3,53</t>
  </si>
  <si>
    <t>(1,95+1,45)*1,2</t>
  </si>
  <si>
    <t>(1,0*1,2)+(0,9+1,5+1,1)*3,1+(1,6+1,8)*3,1</t>
  </si>
  <si>
    <t>(2,9*5+1,8+1,95+1,5+1,45+4,8+4,5+1,2+3,5)*3,1*2-0,9*1,97*2-0,8*1,97*2-0,7*1,97*8*2-0,9*2,2+1,0*2,3*2+(0,8+0,3+2*3,6+0,3*5+1,8+0,6+0,9)*3,1-3,6*2,2*2-1,8*2,6</t>
  </si>
  <si>
    <t>6,5+2,03+2,1+2,03+2,1+151,5+5,1+2,5+1,6+2,7+5,6+3,4+3,1</t>
  </si>
  <si>
    <t>(6,5+2,03+2,1+2,03+2,1+5,1+2,5+1,6+2,7+5,6+3,4+3,1)*2,6 + 151,5*3,0</t>
  </si>
  <si>
    <t>555,28*2</t>
  </si>
  <si>
    <t>0,9*2+3,9*3+2,7+1,5+1,2</t>
  </si>
  <si>
    <t>(4,5*3,0)*2</t>
  </si>
  <si>
    <t>(85,5+85,5)*0,2</t>
  </si>
  <si>
    <t>(85,5+85,5)*0,14</t>
  </si>
  <si>
    <t>4+4</t>
  </si>
  <si>
    <t>(2,13+3,0+3,9+4,56+3,9+1,1+2,7+16,31+2,7+4,39+3,9+,3+2,6+2,6+3*3)*3,1</t>
  </si>
  <si>
    <t>131,89*10</t>
  </si>
  <si>
    <t>131,89*4</t>
  </si>
  <si>
    <t>0,7*8+0,8*1+0,9*2+1,03</t>
  </si>
  <si>
    <t>9,23</t>
  </si>
  <si>
    <t>;ztratné 10%; 0,923</t>
  </si>
  <si>
    <t>6,03+4+8,3+6</t>
  </si>
  <si>
    <t>24,33/15</t>
  </si>
  <si>
    <t>;ztratné 15%; 0,2433</t>
  </si>
  <si>
    <t>24,33/3*2</t>
  </si>
  <si>
    <t>(6,03+4,1+4,9+4,1+5,0+8,5+5,6+4,7+4+8,3+6+6,4)*0,3</t>
  </si>
  <si>
    <t>38,76</t>
  </si>
  <si>
    <t>;ztratné 5%; 1,938</t>
  </si>
  <si>
    <t>4,1+4,9+4,1+5,0+8,5+5,6+4,7+6,4</t>
  </si>
  <si>
    <t>24,33+43,3</t>
  </si>
  <si>
    <t>151,5*1,15</t>
  </si>
  <si>
    <t>16,31+22,24+15,8+13,43+2,2+5,4+4,2+4,8</t>
  </si>
  <si>
    <t>84,38</t>
  </si>
  <si>
    <t>;ztratné 15%; 12,657</t>
  </si>
  <si>
    <t>11,65+4,08+22,59</t>
  </si>
  <si>
    <t>193,72+212,19</t>
  </si>
  <si>
    <t>1,95+1,45</t>
  </si>
  <si>
    <t>3,4*0,1*1,25</t>
  </si>
  <si>
    <t>0,9*2+1+1,6+1,5+1,8</t>
  </si>
  <si>
    <t>7,7*0,2*1,05</t>
  </si>
  <si>
    <t>4,3+5,1+4,3+5,1+8,5+6+4,7+6,4+2</t>
  </si>
  <si>
    <t>46,4*1,05</t>
  </si>
  <si>
    <t>(4,3+5,1+4,3+5,1+8,5+6+4,7+6,4)*2,1+2*0,8</t>
  </si>
  <si>
    <t>94,84*1,05</t>
  </si>
  <si>
    <t>94,84+0,34+1,54</t>
  </si>
  <si>
    <t>(8,4+4,2+8,4+4,2+4,2+4,2+4,2+4,2+2+46,4)*1,10</t>
  </si>
  <si>
    <t>(1,45+1,5+3,2+3,9+3,1+0,9+3,25)*1,10</t>
  </si>
  <si>
    <t>(9,85+9,9+8,4+11,4+12,3+11,5+8,4+8,35)*1,10</t>
  </si>
  <si>
    <t>8,4+4,2+8,4+4,2+4,2+4,2+4,2+4,2+2+46,4+1,45+1,5+3,2+3,9+3,1+0,9+3,25+9,85+9,9+8,4+11,4+12,3+11,5+8,4+8,35</t>
  </si>
  <si>
    <t>Rozvaděč RK - vystrojený dle PD</t>
  </si>
  <si>
    <r>
      <rPr>
        <sz val="10"/>
        <color indexed="8"/>
        <rFont val="Arial"/>
        <family val="2"/>
      </rPr>
      <t xml:space="preserve">Příloha č. 2 SoD / Příloha č. 2 ZD - </t>
    </r>
    <r>
      <rPr>
        <b/>
        <sz val="11"/>
        <color indexed="8"/>
        <rFont val="Arial"/>
        <family val="2"/>
      </rPr>
      <t>Položkový rozpočet</t>
    </r>
    <r>
      <rPr>
        <sz val="10"/>
        <color indexed="8"/>
        <rFont val="Arial"/>
        <family val="2"/>
      </rPr>
      <t xml:space="preserve">
</t>
    </r>
    <r>
      <rPr>
        <sz val="18"/>
        <color indexed="8"/>
        <rFont val="Arial"/>
        <family val="2"/>
      </rPr>
      <t>Krycí list rozpočtu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</si>
</sst>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sz val="10"/>
      <color indexed="59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7998476028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8"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3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6" fillId="0" borderId="7" xfId="0" applyNumberFormat="1" applyFont="1" applyFill="1" applyBorder="1" applyAlignment="1" applyProtection="1">
      <alignment horizontal="left" vertical="center"/>
      <protection/>
    </xf>
    <xf numFmtId="49" fontId="5" fillId="0" borderId="2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9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4" fillId="2" borderId="15" xfId="0" applyNumberFormat="1" applyFont="1" applyFill="1" applyBorder="1" applyAlignment="1" applyProtection="1">
      <alignment horizontal="righ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9" fillId="0" borderId="5" xfId="0" applyNumberFormat="1" applyFont="1" applyFill="1" applyBorder="1" applyAlignment="1" applyProtection="1">
      <alignment horizontal="right" vertical="center"/>
      <protection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0" fillId="3" borderId="7" xfId="0" applyNumberFormat="1" applyFont="1" applyFill="1" applyBorder="1" applyAlignment="1" applyProtection="1">
      <alignment horizontal="left" vertical="center"/>
      <protection/>
    </xf>
    <xf numFmtId="49" fontId="11" fillId="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4" fillId="3" borderId="7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14" fillId="3" borderId="7" xfId="0" applyNumberFormat="1" applyFont="1" applyFill="1" applyBorder="1" applyAlignment="1" applyProtection="1">
      <alignment horizontal="right" vertical="center"/>
      <protection/>
    </xf>
    <xf numFmtId="49" fontId="15" fillId="4" borderId="0" xfId="0" applyNumberFormat="1" applyFont="1" applyFill="1" applyBorder="1" applyAlignment="1" applyProtection="1">
      <alignment horizontal="right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1" xfId="0" applyNumberFormat="1" applyFont="1" applyFill="1" applyBorder="1" applyAlignment="1" applyProtection="1">
      <alignment horizontal="right" vertical="center"/>
      <protection/>
    </xf>
    <xf numFmtId="4" fontId="14" fillId="3" borderId="7" xfId="0" applyNumberFormat="1" applyFont="1" applyFill="1" applyBorder="1" applyAlignment="1" applyProtection="1">
      <alignment horizontal="right" vertical="center"/>
      <protection/>
    </xf>
    <xf numFmtId="4" fontId="15" fillId="4" borderId="0" xfId="0" applyNumberFormat="1" applyFont="1" applyFill="1" applyBorder="1" applyAlignment="1" applyProtection="1">
      <alignment horizontal="righ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7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12" fillId="0" borderId="7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7" xfId="0" applyNumberFormat="1" applyFont="1" applyFill="1" applyBorder="1" applyAlignment="1" applyProtection="1">
      <alignment horizontal="right" vertical="center"/>
      <protection/>
    </xf>
    <xf numFmtId="49" fontId="13" fillId="0" borderId="1" xfId="0" applyNumberFormat="1" applyFont="1" applyFill="1" applyBorder="1" applyAlignment="1" applyProtection="1">
      <alignment horizontal="left" vertical="center"/>
      <protection/>
    </xf>
    <xf numFmtId="49" fontId="13" fillId="0" borderId="1" xfId="0" applyNumberFormat="1" applyFont="1" applyFill="1" applyBorder="1" applyAlignment="1" applyProtection="1">
      <alignment horizontal="right" vertical="center"/>
      <protection/>
    </xf>
    <xf numFmtId="4" fontId="13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14" fillId="3" borderId="0" xfId="0" applyNumberFormat="1" applyFont="1" applyFill="1" applyBorder="1" applyAlignment="1" applyProtection="1">
      <alignment horizontal="left" vertical="center"/>
      <protection/>
    </xf>
    <xf numFmtId="49" fontId="14" fillId="3" borderId="0" xfId="0" applyNumberFormat="1" applyFont="1" applyFill="1" applyBorder="1" applyAlignment="1" applyProtection="1">
      <alignment horizontal="right" vertical="center"/>
      <protection/>
    </xf>
    <xf numFmtId="4" fontId="14" fillId="3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1" xfId="0" applyNumberFormat="1" applyFont="1" applyFill="1" applyBorder="1" applyAlignment="1" applyProtection="1">
      <alignment horizontal="left" vertical="top" wrapText="1"/>
      <protection/>
    </xf>
    <xf numFmtId="49" fontId="9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49" fontId="0" fillId="0" borderId="7" xfId="0" applyNumberFormat="1" applyFont="1" applyFill="1" applyBorder="1" applyAlignment="1" applyProtection="1">
      <alignment horizontal="left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9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4" fontId="12" fillId="5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9" fillId="0" borderId="21" xfId="0" applyNumberFormat="1" applyFont="1" applyFill="1" applyBorder="1" applyAlignment="1" applyProtection="1">
      <alignment horizontal="left" vertical="top"/>
      <protection/>
    </xf>
    <xf numFmtId="49" fontId="9" fillId="0" borderId="16" xfId="0" applyNumberFormat="1" applyFont="1" applyFill="1" applyBorder="1" applyAlignment="1" applyProtection="1">
      <alignment horizontal="left" vertical="top"/>
      <protection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23" xfId="0" applyNumberFormat="1" applyFont="1" applyFill="1" applyBorder="1" applyAlignment="1" applyProtection="1">
      <alignment horizontal="center" vertical="top"/>
      <protection/>
    </xf>
    <xf numFmtId="49" fontId="9" fillId="0" borderId="25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49" fontId="1" fillId="0" borderId="22" xfId="0" applyNumberFormat="1" applyFont="1" applyFill="1" applyBorder="1" applyAlignment="1" applyProtection="1">
      <alignment horizontal="left" vertical="top"/>
      <protection/>
    </xf>
    <xf numFmtId="49" fontId="1" fillId="0" borderId="17" xfId="0" applyNumberFormat="1" applyFont="1" applyFill="1" applyBorder="1" applyAlignment="1" applyProtection="1">
      <alignment horizontal="left" vertical="top"/>
      <protection/>
    </xf>
    <xf numFmtId="49" fontId="9" fillId="0" borderId="24" xfId="0" applyNumberFormat="1" applyFont="1" applyFill="1" applyBorder="1" applyAlignment="1" applyProtection="1">
      <alignment horizontal="center" vertical="top"/>
      <protection/>
    </xf>
    <xf numFmtId="49" fontId="9" fillId="0" borderId="18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20" xfId="0" applyNumberFormat="1" applyFont="1" applyFill="1" applyBorder="1" applyAlignment="1" applyProtection="1">
      <alignment horizontal="center" vertical="top"/>
      <protection/>
    </xf>
    <xf numFmtId="49" fontId="9" fillId="0" borderId="26" xfId="0" applyNumberFormat="1" applyFont="1" applyFill="1" applyBorder="1" applyAlignment="1" applyProtection="1">
      <alignment horizontal="center" vertical="top"/>
      <protection/>
    </xf>
    <xf numFmtId="49" fontId="15" fillId="4" borderId="0" xfId="0" applyNumberFormat="1" applyFont="1" applyFill="1" applyBorder="1" applyAlignment="1" applyProtection="1">
      <alignment horizontal="right" vertical="top"/>
      <protection/>
    </xf>
    <xf numFmtId="49" fontId="10" fillId="3" borderId="7" xfId="0" applyNumberFormat="1" applyFont="1" applyFill="1" applyBorder="1" applyAlignment="1" applyProtection="1">
      <alignment horizontal="left" vertical="top"/>
      <protection/>
    </xf>
    <xf numFmtId="49" fontId="14" fillId="3" borderId="7" xfId="0" applyNumberFormat="1" applyFont="1" applyFill="1" applyBorder="1" applyAlignment="1" applyProtection="1">
      <alignment horizontal="left" vertical="top"/>
      <protection/>
    </xf>
    <xf numFmtId="4" fontId="14" fillId="3" borderId="7" xfId="0" applyNumberFormat="1" applyFont="1" applyFill="1" applyBorder="1" applyAlignment="1" applyProtection="1">
      <alignment horizontal="right" vertical="top"/>
      <protection/>
    </xf>
    <xf numFmtId="49" fontId="14" fillId="3" borderId="7" xfId="0" applyNumberFormat="1" applyFont="1" applyFill="1" applyBorder="1" applyAlignment="1" applyProtection="1">
      <alignment horizontal="right" vertical="top"/>
      <protection/>
    </xf>
    <xf numFmtId="49" fontId="11" fillId="4" borderId="0" xfId="0" applyNumberFormat="1" applyFont="1" applyFill="1" applyBorder="1" applyAlignment="1" applyProtection="1">
      <alignment horizontal="left" vertical="top"/>
      <protection/>
    </xf>
    <xf numFmtId="49" fontId="15" fillId="4" borderId="0" xfId="0" applyNumberFormat="1" applyFont="1" applyFill="1" applyBorder="1" applyAlignment="1" applyProtection="1">
      <alignment horizontal="left" vertical="top"/>
      <protection/>
    </xf>
    <xf numFmtId="4" fontId="15" fillId="4" borderId="0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left" vertical="top"/>
      <protection/>
    </xf>
    <xf numFmtId="4" fontId="12" fillId="0" borderId="0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right" vertical="top"/>
      <protection/>
    </xf>
    <xf numFmtId="4" fontId="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49" fontId="13" fillId="0" borderId="0" xfId="0" applyNumberFormat="1" applyFont="1" applyFill="1" applyBorder="1" applyAlignment="1" applyProtection="1">
      <alignment horizontal="left" vertical="top"/>
      <protection/>
    </xf>
    <xf numFmtId="4" fontId="13" fillId="0" borderId="0" xfId="0" applyNumberFormat="1" applyFont="1" applyFill="1" applyBorder="1" applyAlignment="1" applyProtection="1">
      <alignment horizontal="right" vertical="top"/>
      <protection/>
    </xf>
    <xf numFmtId="49" fontId="13" fillId="0" borderId="0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1" xfId="0" applyNumberFormat="1" applyFont="1" applyFill="1" applyBorder="1" applyAlignment="1" applyProtection="1">
      <alignment horizontal="left" vertical="top"/>
      <protection/>
    </xf>
    <xf numFmtId="4" fontId="13" fillId="0" borderId="1" xfId="0" applyNumberFormat="1" applyFont="1" applyFill="1" applyBorder="1" applyAlignment="1" applyProtection="1">
      <alignment horizontal="right" vertical="top"/>
      <protection/>
    </xf>
    <xf numFmtId="49" fontId="13" fillId="0" borderId="1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left" vertical="top" wrapText="1"/>
      <protection/>
    </xf>
    <xf numFmtId="49" fontId="9" fillId="0" borderId="17" xfId="0" applyNumberFormat="1" applyFont="1" applyFill="1" applyBorder="1" applyAlignment="1" applyProtection="1">
      <alignment horizontal="left" vertical="top" wrapText="1"/>
      <protection/>
    </xf>
    <xf numFmtId="49" fontId="14" fillId="3" borderId="7" xfId="0" applyNumberFormat="1" applyFont="1" applyFill="1" applyBorder="1" applyAlignment="1" applyProtection="1">
      <alignment horizontal="left" vertical="top" wrapText="1"/>
      <protection/>
    </xf>
    <xf numFmtId="49" fontId="15" fillId="4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9" fillId="0" borderId="21" xfId="0" applyNumberFormat="1" applyFont="1" applyFill="1" applyBorder="1" applyAlignment="1" applyProtection="1">
      <alignment horizontal="left" vertical="center"/>
      <protection/>
    </xf>
    <xf numFmtId="49" fontId="19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49" fontId="19" fillId="0" borderId="23" xfId="0" applyNumberFormat="1" applyFont="1" applyFill="1" applyBorder="1" applyAlignment="1" applyProtection="1">
      <alignment horizontal="center" vertical="center"/>
      <protection/>
    </xf>
    <xf numFmtId="49" fontId="19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19" fillId="0" borderId="17" xfId="0" applyNumberFormat="1" applyFont="1" applyFill="1" applyBorder="1" applyAlignment="1" applyProtection="1">
      <alignment horizontal="left" vertical="center"/>
      <protection/>
    </xf>
    <xf numFmtId="49" fontId="19" fillId="0" borderId="24" xfId="0" applyNumberFormat="1" applyFont="1" applyFill="1" applyBorder="1" applyAlignment="1" applyProtection="1">
      <alignment horizontal="center" vertical="center"/>
      <protection/>
    </xf>
    <xf numFmtId="49" fontId="19" fillId="0" borderId="18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20" xfId="0" applyNumberFormat="1" applyFont="1" applyFill="1" applyBorder="1" applyAlignment="1" applyProtection="1">
      <alignment horizontal="center" vertical="center"/>
      <protection/>
    </xf>
    <xf numFmtId="49" fontId="19" fillId="0" borderId="26" xfId="0" applyNumberFormat="1" applyFont="1" applyFill="1" applyBorder="1" applyAlignment="1" applyProtection="1">
      <alignment horizontal="center" vertical="center"/>
      <protection/>
    </xf>
    <xf numFmtId="49" fontId="19" fillId="4" borderId="0" xfId="0" applyNumberFormat="1" applyFont="1" applyFill="1" applyBorder="1" applyAlignment="1" applyProtection="1">
      <alignment horizontal="right" vertical="center"/>
      <protection/>
    </xf>
    <xf numFmtId="49" fontId="0" fillId="3" borderId="7" xfId="0" applyNumberFormat="1" applyFont="1" applyFill="1" applyBorder="1" applyAlignment="1" applyProtection="1">
      <alignment horizontal="left" vertical="center"/>
      <protection/>
    </xf>
    <xf numFmtId="49" fontId="19" fillId="3" borderId="7" xfId="0" applyNumberFormat="1" applyFont="1" applyFill="1" applyBorder="1" applyAlignment="1" applyProtection="1">
      <alignment horizontal="left"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49" fontId="19" fillId="3" borderId="7" xfId="0" applyNumberFormat="1" applyFont="1" applyFill="1" applyBorder="1" applyAlignment="1" applyProtection="1">
      <alignment horizontal="right" vertical="center"/>
      <protection/>
    </xf>
    <xf numFmtId="49" fontId="0" fillId="4" borderId="0" xfId="0" applyNumberFormat="1" applyFont="1" applyFill="1" applyBorder="1" applyAlignment="1" applyProtection="1">
      <alignment horizontal="left" vertical="center"/>
      <protection/>
    </xf>
    <xf numFmtId="49" fontId="19" fillId="4" borderId="0" xfId="0" applyNumberFormat="1" applyFont="1" applyFill="1" applyBorder="1" applyAlignment="1" applyProtection="1">
      <alignment horizontal="left" vertical="center"/>
      <protection/>
    </xf>
    <xf numFmtId="4" fontId="19" fillId="4" borderId="0" xfId="0" applyNumberFormat="1" applyFont="1" applyFill="1" applyBorder="1" applyAlignment="1" applyProtection="1">
      <alignment horizontal="right" vertical="center"/>
      <protection/>
    </xf>
    <xf numFmtId="49" fontId="0" fillId="3" borderId="0" xfId="0" applyNumberFormat="1" applyFont="1" applyFill="1" applyBorder="1" applyAlignment="1" applyProtection="1">
      <alignment horizontal="left" vertical="center"/>
      <protection/>
    </xf>
    <xf numFmtId="49" fontId="19" fillId="3" borderId="0" xfId="0" applyNumberFormat="1" applyFont="1" applyFill="1" applyBorder="1" applyAlignment="1" applyProtection="1">
      <alignment horizontal="left" vertical="center"/>
      <protection/>
    </xf>
    <xf numFmtId="4" fontId="19" fillId="3" borderId="0" xfId="0" applyNumberFormat="1" applyFont="1" applyFill="1" applyBorder="1" applyAlignment="1" applyProtection="1">
      <alignment horizontal="right" vertical="center"/>
      <protection/>
    </xf>
    <xf numFmtId="49" fontId="19" fillId="3" borderId="0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" fontId="19" fillId="0" borderId="5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" fontId="12" fillId="5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Fill="1" applyAlignment="1" applyProtection="1">
      <alignment vertical="top"/>
      <protection/>
    </xf>
    <xf numFmtId="4" fontId="13" fillId="5" borderId="0" xfId="0" applyNumberFormat="1" applyFont="1" applyFill="1" applyBorder="1" applyAlignment="1" applyProtection="1">
      <alignment horizontal="right" vertical="top"/>
      <protection locked="0"/>
    </xf>
    <xf numFmtId="4" fontId="13" fillId="5" borderId="1" xfId="0" applyNumberFormat="1" applyFont="1" applyFill="1" applyBorder="1" applyAlignment="1" applyProtection="1">
      <alignment horizontal="right" vertical="top"/>
      <protection locked="0"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3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9" fontId="4" fillId="2" borderId="34" xfId="0" applyNumberFormat="1" applyFont="1" applyFill="1" applyBorder="1" applyAlignment="1" applyProtection="1">
      <alignment horizontal="left" vertical="center"/>
      <protection/>
    </xf>
    <xf numFmtId="0" fontId="4" fillId="2" borderId="33" xfId="0" applyNumberFormat="1" applyFont="1" applyFill="1" applyBorder="1" applyAlignment="1" applyProtection="1">
      <alignment horizontal="left" vertical="center"/>
      <protection/>
    </xf>
    <xf numFmtId="49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49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49" fontId="8" fillId="0" borderId="1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9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top"/>
      <protection/>
    </xf>
    <xf numFmtId="0" fontId="9" fillId="0" borderId="44" xfId="0" applyNumberFormat="1" applyFont="1" applyFill="1" applyBorder="1" applyAlignment="1" applyProtection="1">
      <alignment horizontal="center" vertical="top"/>
      <protection/>
    </xf>
    <xf numFmtId="0" fontId="9" fillId="0" borderId="45" xfId="0" applyNumberFormat="1" applyFont="1" applyFill="1" applyBorder="1" applyAlignment="1" applyProtection="1">
      <alignment horizontal="center" vertical="top"/>
      <protection/>
    </xf>
    <xf numFmtId="49" fontId="9" fillId="0" borderId="45" xfId="0" applyNumberFormat="1" applyFont="1" applyFill="1" applyBorder="1" applyAlignment="1" applyProtection="1">
      <alignment horizontal="center" vertical="top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1" xfId="0" applyNumberFormat="1" applyFont="1" applyFill="1" applyBorder="1" applyAlignment="1" applyProtection="1">
      <alignment horizont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5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8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8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Fill="1" applyBorder="1" applyAlignment="1" applyProtection="1">
      <alignment horizontal="left" vertical="center"/>
      <protection/>
    </xf>
    <xf numFmtId="0" fontId="19" fillId="0" borderId="5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Font="1" applyFill="1" applyBorder="1" applyAlignment="1" applyProtection="1">
      <alignment horizontal="left" vertical="center"/>
      <protection/>
    </xf>
    <xf numFmtId="0" fontId="0" fillId="0" borderId="30" xfId="0" applyNumberFormat="1" applyFont="1" applyFill="1" applyBorder="1" applyAlignment="1" applyProtection="1">
      <alignment horizontal="left" vertical="center"/>
      <protection/>
    </xf>
    <xf numFmtId="0" fontId="0" fillId="0" borderId="4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614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126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228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0</xdr:row>
      <xdr:rowOff>885825</xdr:rowOff>
    </xdr:to>
    <xdr:pic>
      <xdr:nvPicPr>
        <xdr:cNvPr id="1331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0</xdr:row>
      <xdr:rowOff>885825</xdr:rowOff>
    </xdr:to>
    <xdr:pic>
      <xdr:nvPicPr>
        <xdr:cNvPr id="1433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536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78"/>
      <c r="B1" s="1"/>
      <c r="C1" s="180" t="s">
        <v>2229</v>
      </c>
      <c r="D1" s="181"/>
      <c r="E1" s="181"/>
      <c r="F1" s="181"/>
      <c r="G1" s="181"/>
      <c r="H1" s="181"/>
      <c r="I1" s="181"/>
    </row>
    <row r="2" spans="1:10" ht="12.75">
      <c r="A2" s="182" t="s">
        <v>0</v>
      </c>
      <c r="B2" s="183"/>
      <c r="C2" s="186" t="str">
        <f>'Stavební rozpočet'!D2</f>
        <v>"Snížení energetické náročnosti bytových domů v ul.Komenského"-změna vnitřních prostorů</v>
      </c>
      <c r="D2" s="187"/>
      <c r="E2" s="189" t="s">
        <v>31</v>
      </c>
      <c r="F2" s="189"/>
      <c r="G2" s="183"/>
      <c r="H2" s="189" t="s">
        <v>51</v>
      </c>
      <c r="I2" s="190"/>
      <c r="J2" s="18"/>
    </row>
    <row r="3" spans="1:10" ht="38.45" customHeight="1">
      <c r="A3" s="184"/>
      <c r="B3" s="185"/>
      <c r="C3" s="188"/>
      <c r="D3" s="188"/>
      <c r="E3" s="185"/>
      <c r="F3" s="185"/>
      <c r="G3" s="185"/>
      <c r="H3" s="185"/>
      <c r="I3" s="191"/>
      <c r="J3" s="18"/>
    </row>
    <row r="4" spans="1:10" ht="12.75">
      <c r="A4" s="193" t="s">
        <v>1</v>
      </c>
      <c r="B4" s="185"/>
      <c r="C4" s="194"/>
      <c r="D4" s="185"/>
      <c r="E4" s="194" t="s">
        <v>32</v>
      </c>
      <c r="F4" s="194"/>
      <c r="G4" s="185"/>
      <c r="H4" s="194" t="s">
        <v>51</v>
      </c>
      <c r="I4" s="192"/>
      <c r="J4" s="18"/>
    </row>
    <row r="5" spans="1:10" ht="12.75">
      <c r="A5" s="184"/>
      <c r="B5" s="185"/>
      <c r="C5" s="185"/>
      <c r="D5" s="185"/>
      <c r="E5" s="185"/>
      <c r="F5" s="185"/>
      <c r="G5" s="185"/>
      <c r="H5" s="185"/>
      <c r="I5" s="191"/>
      <c r="J5" s="18"/>
    </row>
    <row r="6" spans="1:10" ht="12.75">
      <c r="A6" s="193" t="s">
        <v>2</v>
      </c>
      <c r="B6" s="185"/>
      <c r="C6" s="194"/>
      <c r="D6" s="185"/>
      <c r="E6" s="194" t="s">
        <v>33</v>
      </c>
      <c r="F6" s="194"/>
      <c r="G6" s="185"/>
      <c r="H6" s="194" t="s">
        <v>51</v>
      </c>
      <c r="I6" s="192"/>
      <c r="J6" s="18"/>
    </row>
    <row r="7" spans="1:10" ht="12.75">
      <c r="A7" s="184"/>
      <c r="B7" s="185"/>
      <c r="C7" s="185"/>
      <c r="D7" s="185"/>
      <c r="E7" s="185"/>
      <c r="F7" s="185"/>
      <c r="G7" s="185"/>
      <c r="H7" s="185"/>
      <c r="I7" s="191"/>
      <c r="J7" s="18"/>
    </row>
    <row r="8" spans="1:10" ht="12.75">
      <c r="A8" s="193" t="s">
        <v>3</v>
      </c>
      <c r="B8" s="185"/>
      <c r="C8" s="194"/>
      <c r="D8" s="185"/>
      <c r="E8" s="194" t="s">
        <v>34</v>
      </c>
      <c r="F8" s="194"/>
      <c r="G8" s="185"/>
      <c r="H8" s="197" t="s">
        <v>52</v>
      </c>
      <c r="I8" s="192" t="s">
        <v>55</v>
      </c>
      <c r="J8" s="18"/>
    </row>
    <row r="9" spans="1:10" ht="12.75">
      <c r="A9" s="184"/>
      <c r="B9" s="185"/>
      <c r="C9" s="185"/>
      <c r="D9" s="185"/>
      <c r="E9" s="185"/>
      <c r="F9" s="185"/>
      <c r="G9" s="185"/>
      <c r="H9" s="185"/>
      <c r="I9" s="191"/>
      <c r="J9" s="18"/>
    </row>
    <row r="10" spans="1:10" ht="12.75">
      <c r="A10" s="193" t="s">
        <v>4</v>
      </c>
      <c r="B10" s="185"/>
      <c r="C10" s="194"/>
      <c r="D10" s="185"/>
      <c r="E10" s="194" t="s">
        <v>35</v>
      </c>
      <c r="F10" s="194"/>
      <c r="G10" s="185"/>
      <c r="H10" s="197" t="s">
        <v>53</v>
      </c>
      <c r="I10" s="195"/>
      <c r="J10" s="18"/>
    </row>
    <row r="11" spans="1:10" ht="12.75">
      <c r="A11" s="198"/>
      <c r="B11" s="199"/>
      <c r="C11" s="199"/>
      <c r="D11" s="199"/>
      <c r="E11" s="199"/>
      <c r="F11" s="199"/>
      <c r="G11" s="199"/>
      <c r="H11" s="199"/>
      <c r="I11" s="196"/>
      <c r="J11" s="18"/>
    </row>
    <row r="12" spans="1:9" ht="23.45" customHeight="1">
      <c r="A12" s="200" t="s">
        <v>5</v>
      </c>
      <c r="B12" s="201"/>
      <c r="C12" s="201"/>
      <c r="D12" s="201"/>
      <c r="E12" s="201"/>
      <c r="F12" s="201"/>
      <c r="G12" s="201"/>
      <c r="H12" s="201"/>
      <c r="I12" s="201"/>
    </row>
    <row r="13" spans="1:10" ht="26.45" customHeight="1">
      <c r="A13" s="2" t="s">
        <v>6</v>
      </c>
      <c r="B13" s="202" t="s">
        <v>19</v>
      </c>
      <c r="C13" s="203"/>
      <c r="D13" s="2" t="s">
        <v>22</v>
      </c>
      <c r="E13" s="202" t="s">
        <v>36</v>
      </c>
      <c r="F13" s="203"/>
      <c r="G13" s="2" t="s">
        <v>37</v>
      </c>
      <c r="H13" s="202" t="s">
        <v>54</v>
      </c>
      <c r="I13" s="203"/>
      <c r="J13" s="18"/>
    </row>
    <row r="14" spans="1:10" ht="15.2" customHeight="1">
      <c r="A14" s="3" t="s">
        <v>7</v>
      </c>
      <c r="B14" s="8" t="s">
        <v>20</v>
      </c>
      <c r="C14" s="12">
        <f>SUM('Stavební rozpočet'!AB12:AB977)</f>
        <v>0</v>
      </c>
      <c r="D14" s="204" t="s">
        <v>23</v>
      </c>
      <c r="E14" s="205"/>
      <c r="F14" s="12">
        <v>0</v>
      </c>
      <c r="G14" s="204" t="s">
        <v>38</v>
      </c>
      <c r="H14" s="205"/>
      <c r="I14" s="12">
        <v>0</v>
      </c>
      <c r="J14" s="18"/>
    </row>
    <row r="15" spans="1:10" ht="15.2" customHeight="1">
      <c r="A15" s="4"/>
      <c r="B15" s="8" t="s">
        <v>21</v>
      </c>
      <c r="C15" s="12">
        <f>SUM('Stavební rozpočet'!AC12:AC977)</f>
        <v>0</v>
      </c>
      <c r="D15" s="204" t="s">
        <v>24</v>
      </c>
      <c r="E15" s="205"/>
      <c r="F15" s="12">
        <v>0</v>
      </c>
      <c r="G15" s="204" t="s">
        <v>39</v>
      </c>
      <c r="H15" s="205"/>
      <c r="I15" s="12">
        <v>0</v>
      </c>
      <c r="J15" s="18"/>
    </row>
    <row r="16" spans="1:10" ht="15.2" customHeight="1">
      <c r="A16" s="3" t="s">
        <v>8</v>
      </c>
      <c r="B16" s="8" t="s">
        <v>20</v>
      </c>
      <c r="C16" s="12">
        <f>SUM('Stavební rozpočet'!AD12:AD977)</f>
        <v>0</v>
      </c>
      <c r="D16" s="204" t="s">
        <v>25</v>
      </c>
      <c r="E16" s="205"/>
      <c r="F16" s="12">
        <v>0</v>
      </c>
      <c r="G16" s="204" t="s">
        <v>40</v>
      </c>
      <c r="H16" s="205"/>
      <c r="I16" s="12">
        <v>0</v>
      </c>
      <c r="J16" s="18"/>
    </row>
    <row r="17" spans="1:10" ht="15.2" customHeight="1">
      <c r="A17" s="4"/>
      <c r="B17" s="8" t="s">
        <v>21</v>
      </c>
      <c r="C17" s="12">
        <f>SUM('Stavební rozpočet'!AE12:AE977)</f>
        <v>0</v>
      </c>
      <c r="D17" s="204"/>
      <c r="E17" s="205"/>
      <c r="F17" s="13"/>
      <c r="G17" s="204" t="s">
        <v>41</v>
      </c>
      <c r="H17" s="205"/>
      <c r="I17" s="12">
        <v>0</v>
      </c>
      <c r="J17" s="18"/>
    </row>
    <row r="18" spans="1:10" ht="15.2" customHeight="1">
      <c r="A18" s="3" t="s">
        <v>9</v>
      </c>
      <c r="B18" s="8" t="s">
        <v>20</v>
      </c>
      <c r="C18" s="12">
        <f>SUM('Stavební rozpočet'!AF12:AF977)</f>
        <v>0</v>
      </c>
      <c r="D18" s="204"/>
      <c r="E18" s="205"/>
      <c r="F18" s="13"/>
      <c r="G18" s="204" t="s">
        <v>42</v>
      </c>
      <c r="H18" s="205"/>
      <c r="I18" s="12">
        <v>0</v>
      </c>
      <c r="J18" s="18"/>
    </row>
    <row r="19" spans="1:10" ht="15.2" customHeight="1">
      <c r="A19" s="4"/>
      <c r="B19" s="8" t="s">
        <v>21</v>
      </c>
      <c r="C19" s="12">
        <f>SUM('Stavební rozpočet'!AG12:AG977)</f>
        <v>0</v>
      </c>
      <c r="D19" s="204"/>
      <c r="E19" s="205"/>
      <c r="F19" s="13"/>
      <c r="G19" s="204" t="s">
        <v>43</v>
      </c>
      <c r="H19" s="205"/>
      <c r="I19" s="12">
        <v>0</v>
      </c>
      <c r="J19" s="18"/>
    </row>
    <row r="20" spans="1:10" ht="15.2" customHeight="1">
      <c r="A20" s="206" t="s">
        <v>10</v>
      </c>
      <c r="B20" s="207"/>
      <c r="C20" s="12">
        <f>SUM('Stavební rozpočet'!AH12:AH977)</f>
        <v>0</v>
      </c>
      <c r="D20" s="204"/>
      <c r="E20" s="205"/>
      <c r="F20" s="13"/>
      <c r="G20" s="204"/>
      <c r="H20" s="205"/>
      <c r="I20" s="13"/>
      <c r="J20" s="18"/>
    </row>
    <row r="21" spans="1:10" ht="15.2" customHeight="1">
      <c r="A21" s="206" t="s">
        <v>11</v>
      </c>
      <c r="B21" s="207"/>
      <c r="C21" s="12">
        <f>SUM('Stavební rozpočet'!Z12:Z977)</f>
        <v>0</v>
      </c>
      <c r="D21" s="204"/>
      <c r="E21" s="205"/>
      <c r="F21" s="13"/>
      <c r="G21" s="204"/>
      <c r="H21" s="205"/>
      <c r="I21" s="13"/>
      <c r="J21" s="18"/>
    </row>
    <row r="22" spans="1:10" ht="16.7" customHeight="1">
      <c r="A22" s="206" t="s">
        <v>12</v>
      </c>
      <c r="B22" s="207"/>
      <c r="C22" s="12">
        <f>SUM(C14:C21)</f>
        <v>0</v>
      </c>
      <c r="D22" s="206" t="s">
        <v>26</v>
      </c>
      <c r="E22" s="207"/>
      <c r="F22" s="12">
        <f>SUM(F14:F21)</f>
        <v>0</v>
      </c>
      <c r="G22" s="206" t="s">
        <v>44</v>
      </c>
      <c r="H22" s="207"/>
      <c r="I22" s="12">
        <f>SUM(I14:I21)</f>
        <v>0</v>
      </c>
      <c r="J22" s="18"/>
    </row>
    <row r="23" spans="1:10" ht="15.2" customHeight="1">
      <c r="A23" s="5"/>
      <c r="B23" s="5"/>
      <c r="C23" s="10"/>
      <c r="D23" s="206" t="s">
        <v>27</v>
      </c>
      <c r="E23" s="207"/>
      <c r="F23" s="14">
        <v>0</v>
      </c>
      <c r="G23" s="206" t="s">
        <v>45</v>
      </c>
      <c r="H23" s="207"/>
      <c r="I23" s="12">
        <v>0</v>
      </c>
      <c r="J23" s="18"/>
    </row>
    <row r="24" spans="4:10" ht="15.2" customHeight="1">
      <c r="D24" s="5"/>
      <c r="E24" s="5"/>
      <c r="F24" s="15"/>
      <c r="G24" s="206" t="s">
        <v>46</v>
      </c>
      <c r="H24" s="207"/>
      <c r="I24" s="12">
        <v>0</v>
      </c>
      <c r="J24" s="18"/>
    </row>
    <row r="25" spans="6:10" ht="15.2" customHeight="1">
      <c r="F25" s="16"/>
      <c r="G25" s="206" t="s">
        <v>47</v>
      </c>
      <c r="H25" s="207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.2" customHeight="1">
      <c r="A27" s="208" t="s">
        <v>13</v>
      </c>
      <c r="B27" s="209"/>
      <c r="C27" s="20">
        <f>SUM('Stavební rozpočet'!AJ12:AJ977)</f>
        <v>0</v>
      </c>
      <c r="D27" s="11"/>
      <c r="E27" s="1"/>
      <c r="F27" s="1"/>
      <c r="G27" s="1"/>
      <c r="H27" s="1"/>
      <c r="I27" s="1"/>
    </row>
    <row r="28" spans="1:10" ht="15.2" customHeight="1">
      <c r="A28" s="208" t="s">
        <v>14</v>
      </c>
      <c r="B28" s="209"/>
      <c r="C28" s="20">
        <f>SUM('Stavební rozpočet'!AK12:AK977)+(F22+I22+F23+I23+I24+I25)</f>
        <v>0</v>
      </c>
      <c r="D28" s="208" t="s">
        <v>28</v>
      </c>
      <c r="E28" s="209"/>
      <c r="F28" s="20">
        <f>ROUND(C28*(15/100),2)</f>
        <v>0</v>
      </c>
      <c r="G28" s="208" t="s">
        <v>48</v>
      </c>
      <c r="H28" s="209"/>
      <c r="I28" s="20">
        <f>SUM(C27:C29)</f>
        <v>0</v>
      </c>
      <c r="J28" s="18"/>
    </row>
    <row r="29" spans="1:10" ht="15.2" customHeight="1">
      <c r="A29" s="208" t="s">
        <v>15</v>
      </c>
      <c r="B29" s="209"/>
      <c r="C29" s="20">
        <f>SUM('Stavební rozpočet'!AL12:AL977)</f>
        <v>0</v>
      </c>
      <c r="D29" s="208" t="s">
        <v>29</v>
      </c>
      <c r="E29" s="209"/>
      <c r="F29" s="20">
        <f>ROUND(C29*(21/100),2)</f>
        <v>0</v>
      </c>
      <c r="G29" s="208" t="s">
        <v>49</v>
      </c>
      <c r="H29" s="209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45" customHeight="1">
      <c r="A31" s="210" t="s">
        <v>16</v>
      </c>
      <c r="B31" s="211"/>
      <c r="C31" s="212"/>
      <c r="D31" s="210" t="s">
        <v>30</v>
      </c>
      <c r="E31" s="211"/>
      <c r="F31" s="212"/>
      <c r="G31" s="210" t="s">
        <v>50</v>
      </c>
      <c r="H31" s="211"/>
      <c r="I31" s="212"/>
      <c r="J31" s="19"/>
    </row>
    <row r="32" spans="1:10" ht="14.45" customHeight="1">
      <c r="A32" s="213"/>
      <c r="B32" s="214"/>
      <c r="C32" s="215"/>
      <c r="D32" s="213"/>
      <c r="E32" s="214"/>
      <c r="F32" s="215"/>
      <c r="G32" s="213"/>
      <c r="H32" s="214"/>
      <c r="I32" s="215"/>
      <c r="J32" s="19"/>
    </row>
    <row r="33" spans="1:10" ht="14.45" customHeight="1">
      <c r="A33" s="213"/>
      <c r="B33" s="214"/>
      <c r="C33" s="215"/>
      <c r="D33" s="213"/>
      <c r="E33" s="214"/>
      <c r="F33" s="215"/>
      <c r="G33" s="213"/>
      <c r="H33" s="214"/>
      <c r="I33" s="215"/>
      <c r="J33" s="19"/>
    </row>
    <row r="34" spans="1:10" ht="14.45" customHeight="1">
      <c r="A34" s="213"/>
      <c r="B34" s="214"/>
      <c r="C34" s="215"/>
      <c r="D34" s="213"/>
      <c r="E34" s="214"/>
      <c r="F34" s="215"/>
      <c r="G34" s="213"/>
      <c r="H34" s="214"/>
      <c r="I34" s="215"/>
      <c r="J34" s="19"/>
    </row>
    <row r="35" spans="1:10" ht="14.45" customHeight="1">
      <c r="A35" s="216" t="s">
        <v>17</v>
      </c>
      <c r="B35" s="217"/>
      <c r="C35" s="218"/>
      <c r="D35" s="216" t="s">
        <v>17</v>
      </c>
      <c r="E35" s="217"/>
      <c r="F35" s="218"/>
      <c r="G35" s="216" t="s">
        <v>17</v>
      </c>
      <c r="H35" s="217"/>
      <c r="I35" s="218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94"/>
      <c r="B37" s="185"/>
      <c r="C37" s="185"/>
      <c r="D37" s="185"/>
      <c r="E37" s="185"/>
      <c r="F37" s="185"/>
      <c r="G37" s="185"/>
      <c r="H37" s="185"/>
      <c r="I37" s="185"/>
    </row>
  </sheetData>
  <sheetProtection algorithmName="SHA-512" hashValue="uvMn9+SxPqhfGamSjB2lcR+vNpB8FMiXAgekIAeeai4GcKFyfHCdj7d5ZmRyHpLHUzVEV4NYRQ7VWzDyLPmgpQ==" saltValue="Hpsd/zkX95Vmi3Ffg+f5gA==" spinCount="100000" sheet="1" objects="1" scenario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 topLeftCell="A1">
      <pane ySplit="11" topLeftCell="A12" activePane="bottomLeft" state="frozen"/>
      <selection pane="bottomLeft" activeCell="E36" sqref="E36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8" width="14.28125" style="0" customWidth="1"/>
    <col min="9" max="10" width="14.28125" style="0" hidden="1" customWidth="1"/>
    <col min="11" max="11" width="14.28125" style="0" customWidth="1"/>
    <col min="12" max="12" width="11.7109375" style="0" hidden="1" customWidth="1"/>
    <col min="13" max="16" width="12.140625" style="0" hidden="1" customWidth="1"/>
  </cols>
  <sheetData>
    <row r="1" spans="1:12" ht="72.95" customHeight="1">
      <c r="A1" s="219" t="s">
        <v>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3" ht="12.75">
      <c r="A2" s="182" t="s">
        <v>0</v>
      </c>
      <c r="B2" s="183"/>
      <c r="C2" s="183"/>
      <c r="D2" s="186" t="str">
        <f>'Stavební rozpočet'!D2</f>
        <v>"Snížení energetické náročnosti bytových domů v ul.Komenského"-změna vnitřních prostorů</v>
      </c>
      <c r="E2" s="189" t="s">
        <v>70</v>
      </c>
      <c r="F2" s="183"/>
      <c r="G2" s="189" t="str">
        <f>'Stavební rozpočet'!G2</f>
        <v xml:space="preserve"> </v>
      </c>
      <c r="H2" s="183"/>
      <c r="I2" s="189" t="s">
        <v>31</v>
      </c>
      <c r="J2" s="189"/>
      <c r="K2" s="183"/>
      <c r="L2" s="220"/>
      <c r="M2" s="18"/>
    </row>
    <row r="3" spans="1:13" ht="25.7" customHeight="1">
      <c r="A3" s="184"/>
      <c r="B3" s="185"/>
      <c r="C3" s="185"/>
      <c r="D3" s="188"/>
      <c r="E3" s="185"/>
      <c r="F3" s="185"/>
      <c r="G3" s="185"/>
      <c r="H3" s="185"/>
      <c r="I3" s="185"/>
      <c r="J3" s="185"/>
      <c r="K3" s="185"/>
      <c r="L3" s="191"/>
      <c r="M3" s="18"/>
    </row>
    <row r="4" spans="1:13" ht="12.75">
      <c r="A4" s="193" t="s">
        <v>1</v>
      </c>
      <c r="B4" s="185"/>
      <c r="C4" s="185"/>
      <c r="D4" s="194"/>
      <c r="E4" s="194" t="s">
        <v>3</v>
      </c>
      <c r="F4" s="185"/>
      <c r="G4" s="194" t="str">
        <f>'Stavební rozpočet'!G4</f>
        <v> </v>
      </c>
      <c r="H4" s="185"/>
      <c r="I4" s="194" t="s">
        <v>32</v>
      </c>
      <c r="J4" s="194"/>
      <c r="K4" s="185"/>
      <c r="L4" s="191"/>
      <c r="M4" s="18"/>
    </row>
    <row r="5" spans="1:13" ht="12.75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91"/>
      <c r="M5" s="18"/>
    </row>
    <row r="6" spans="1:13" ht="12.75">
      <c r="A6" s="193" t="s">
        <v>2</v>
      </c>
      <c r="B6" s="185"/>
      <c r="C6" s="185"/>
      <c r="D6" s="194"/>
      <c r="E6" s="194" t="s">
        <v>34</v>
      </c>
      <c r="F6" s="185"/>
      <c r="G6" s="194" t="str">
        <f>'Stavební rozpočet'!G6</f>
        <v> </v>
      </c>
      <c r="H6" s="185"/>
      <c r="I6" s="194" t="s">
        <v>33</v>
      </c>
      <c r="J6" s="194"/>
      <c r="K6" s="185"/>
      <c r="L6" s="191"/>
      <c r="M6" s="18"/>
    </row>
    <row r="7" spans="1:13" ht="12.75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91"/>
      <c r="M7" s="18"/>
    </row>
    <row r="8" spans="1:13" ht="12.75">
      <c r="A8" s="193" t="s">
        <v>4</v>
      </c>
      <c r="B8" s="185"/>
      <c r="C8" s="185"/>
      <c r="D8" s="194"/>
      <c r="E8" s="194" t="s">
        <v>71</v>
      </c>
      <c r="F8" s="185"/>
      <c r="G8" s="194"/>
      <c r="H8" s="185"/>
      <c r="I8" s="194" t="s">
        <v>35</v>
      </c>
      <c r="J8" s="194"/>
      <c r="K8" s="185"/>
      <c r="L8" s="191"/>
      <c r="M8" s="18"/>
    </row>
    <row r="9" spans="1:13" ht="12.75">
      <c r="A9" s="223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2"/>
      <c r="M9" s="18"/>
    </row>
    <row r="10" spans="1:13" ht="12.75">
      <c r="A10" s="21" t="s">
        <v>57</v>
      </c>
      <c r="B10" s="226" t="s">
        <v>57</v>
      </c>
      <c r="C10" s="227"/>
      <c r="D10" s="227"/>
      <c r="E10" s="227"/>
      <c r="F10" s="227"/>
      <c r="G10" s="227"/>
      <c r="H10" s="228"/>
      <c r="I10" s="229" t="s">
        <v>72</v>
      </c>
      <c r="J10" s="230"/>
      <c r="K10" s="231"/>
      <c r="L10" s="27" t="s">
        <v>76</v>
      </c>
      <c r="M10" s="19"/>
    </row>
    <row r="11" spans="1:13" ht="12.75">
      <c r="A11" s="22" t="s">
        <v>58</v>
      </c>
      <c r="B11" s="232" t="s">
        <v>64</v>
      </c>
      <c r="C11" s="233"/>
      <c r="D11" s="233"/>
      <c r="E11" s="233"/>
      <c r="F11" s="233"/>
      <c r="G11" s="233"/>
      <c r="H11" s="234"/>
      <c r="I11" s="25" t="s">
        <v>73</v>
      </c>
      <c r="J11" s="26" t="s">
        <v>21</v>
      </c>
      <c r="K11" s="26" t="s">
        <v>75</v>
      </c>
      <c r="L11" s="28" t="s">
        <v>75</v>
      </c>
      <c r="M11" s="19"/>
    </row>
    <row r="12" spans="1:16" ht="12.75">
      <c r="A12" s="17" t="s">
        <v>60</v>
      </c>
      <c r="B12" s="197" t="s">
        <v>66</v>
      </c>
      <c r="C12" s="185"/>
      <c r="D12" s="185"/>
      <c r="E12" s="185"/>
      <c r="F12" s="185"/>
      <c r="G12" s="185"/>
      <c r="H12" s="185"/>
      <c r="I12" s="29">
        <f>'Stavební rozpočet'!H197</f>
        <v>0</v>
      </c>
      <c r="J12" s="29">
        <f>'Stavební rozpočet'!I197</f>
        <v>0</v>
      </c>
      <c r="K12" s="29">
        <f>'Stavební rozpočet'!J197</f>
        <v>0</v>
      </c>
      <c r="L12" s="29">
        <f>'Stavební rozpočet'!L197</f>
        <v>340.71488860000005</v>
      </c>
      <c r="M12" s="29" t="s">
        <v>77</v>
      </c>
      <c r="N12" s="29">
        <f>IF(M12="F",0,K12)</f>
        <v>0</v>
      </c>
      <c r="O12" s="17" t="s">
        <v>60</v>
      </c>
      <c r="P12" s="29">
        <f>IF(M12="T",0,K12)</f>
        <v>0</v>
      </c>
    </row>
    <row r="13" spans="1:16" ht="12.75">
      <c r="A13" s="23" t="s">
        <v>63</v>
      </c>
      <c r="B13" s="224" t="s">
        <v>69</v>
      </c>
      <c r="C13" s="199"/>
      <c r="D13" s="199"/>
      <c r="E13" s="199"/>
      <c r="F13" s="199"/>
      <c r="G13" s="199"/>
      <c r="H13" s="199"/>
      <c r="I13" s="30">
        <f>'Stavební rozpočet'!H966</f>
        <v>0</v>
      </c>
      <c r="J13" s="30">
        <f>'Stavební rozpočet'!I966</f>
        <v>0</v>
      </c>
      <c r="K13" s="30">
        <f>'Stavební rozpočet'!J966</f>
        <v>0</v>
      </c>
      <c r="L13" s="30">
        <f>'Stavební rozpočet'!L966</f>
        <v>0</v>
      </c>
      <c r="M13" s="29" t="s">
        <v>77</v>
      </c>
      <c r="N13" s="29">
        <f>IF(M13="F",0,K13)</f>
        <v>0</v>
      </c>
      <c r="O13" s="17" t="s">
        <v>63</v>
      </c>
      <c r="P13" s="29">
        <f>IF(M13="T",0,K13)</f>
        <v>0</v>
      </c>
    </row>
    <row r="14" spans="1:12" ht="12.75">
      <c r="A14" s="5"/>
      <c r="B14" s="5"/>
      <c r="C14" s="5"/>
      <c r="D14" s="5"/>
      <c r="E14" s="5"/>
      <c r="F14" s="5"/>
      <c r="G14" s="5"/>
      <c r="H14" s="5"/>
      <c r="I14" s="225" t="s">
        <v>74</v>
      </c>
      <c r="J14" s="187"/>
      <c r="K14" s="31">
        <f>SUM(P12:P13)</f>
        <v>0</v>
      </c>
      <c r="L14" s="5"/>
    </row>
    <row r="15" ht="11.25" customHeight="1">
      <c r="A15" s="24" t="s">
        <v>18</v>
      </c>
    </row>
    <row r="16" spans="1:11" ht="12.75">
      <c r="A16" s="194"/>
      <c r="B16" s="185"/>
      <c r="C16" s="185"/>
      <c r="D16" s="185"/>
      <c r="E16" s="185"/>
      <c r="F16" s="185"/>
      <c r="G16" s="185"/>
      <c r="H16" s="185"/>
      <c r="I16" s="185"/>
      <c r="J16" s="185"/>
      <c r="K16" s="185"/>
    </row>
  </sheetData>
  <mergeCells count="32">
    <mergeCell ref="B13:H13"/>
    <mergeCell ref="I14:J14"/>
    <mergeCell ref="A16:K16"/>
    <mergeCell ref="B10:H10"/>
    <mergeCell ref="I10:K10"/>
    <mergeCell ref="B11:H11"/>
    <mergeCell ref="B12:H12"/>
    <mergeCell ref="J8:L9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4:L5"/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14"/>
  <sheetViews>
    <sheetView workbookViewId="0" topLeftCell="A1">
      <pane ySplit="11" topLeftCell="A12" activePane="bottomLeft" state="frozen"/>
      <selection pane="bottomLeft" activeCell="Q479" sqref="Q479"/>
    </sheetView>
  </sheetViews>
  <sheetFormatPr defaultColWidth="11.57421875" defaultRowHeight="12.75"/>
  <cols>
    <col min="1" max="1" width="3.7109375" style="173" customWidth="1"/>
    <col min="2" max="2" width="7.57421875" style="173" customWidth="1"/>
    <col min="3" max="3" width="14.28125" style="173" customWidth="1"/>
    <col min="4" max="4" width="114.8515625" style="179" customWidth="1"/>
    <col min="5" max="5" width="7.421875" style="173" customWidth="1"/>
    <col min="6" max="6" width="12.421875" style="173" customWidth="1"/>
    <col min="7" max="7" width="14.8515625" style="173" customWidth="1"/>
    <col min="8" max="9" width="14.28125" style="173" hidden="1" customWidth="1"/>
    <col min="10" max="10" width="16.57421875" style="173" customWidth="1"/>
    <col min="11" max="12" width="11.7109375" style="173" hidden="1" customWidth="1"/>
    <col min="13" max="13" width="12.00390625" style="173" customWidth="1"/>
    <col min="14" max="24" width="11.57421875" style="173" customWidth="1"/>
    <col min="25" max="62" width="12.140625" style="173" hidden="1" customWidth="1"/>
    <col min="63" max="16384" width="11.57421875" style="173" customWidth="1"/>
  </cols>
  <sheetData>
    <row r="1" spans="1:13" ht="72.95" customHeight="1">
      <c r="A1" s="219" t="s">
        <v>663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4" ht="12.75">
      <c r="A2" s="182" t="s">
        <v>0</v>
      </c>
      <c r="B2" s="183"/>
      <c r="C2" s="183"/>
      <c r="D2" s="186" t="str">
        <f>'Stavební rozpočet'!D2</f>
        <v>"Snížení energetické náročnosti bytových domů v ul.Komenského"-změna vnitřních prostorů</v>
      </c>
      <c r="E2" s="236" t="s">
        <v>70</v>
      </c>
      <c r="F2" s="183"/>
      <c r="G2" s="189" t="str">
        <f>'Stavební rozpočet'!G2</f>
        <v xml:space="preserve"> </v>
      </c>
      <c r="H2" s="189" t="s">
        <v>31</v>
      </c>
      <c r="I2" s="189"/>
      <c r="J2" s="183"/>
      <c r="K2" s="183"/>
      <c r="L2" s="183"/>
      <c r="M2" s="220"/>
      <c r="N2" s="18"/>
    </row>
    <row r="3" spans="1:14" ht="12.75">
      <c r="A3" s="184"/>
      <c r="B3" s="185"/>
      <c r="C3" s="185"/>
      <c r="D3" s="235"/>
      <c r="E3" s="185"/>
      <c r="F3" s="185"/>
      <c r="G3" s="185"/>
      <c r="H3" s="185"/>
      <c r="I3" s="185"/>
      <c r="J3" s="185"/>
      <c r="K3" s="185"/>
      <c r="L3" s="185"/>
      <c r="M3" s="191"/>
      <c r="N3" s="18"/>
    </row>
    <row r="4" spans="1:14" ht="12.75">
      <c r="A4" s="193" t="s">
        <v>1</v>
      </c>
      <c r="B4" s="185"/>
      <c r="C4" s="185"/>
      <c r="D4" s="194"/>
      <c r="E4" s="197" t="s">
        <v>3</v>
      </c>
      <c r="F4" s="185"/>
      <c r="G4" s="194" t="str">
        <f>'Stavební rozpočet'!G4</f>
        <v> </v>
      </c>
      <c r="H4" s="194" t="s">
        <v>32</v>
      </c>
      <c r="I4" s="194"/>
      <c r="J4" s="185"/>
      <c r="K4" s="185"/>
      <c r="L4" s="185"/>
      <c r="M4" s="191"/>
      <c r="N4" s="18"/>
    </row>
    <row r="5" spans="1:14" ht="12.75">
      <c r="A5" s="184"/>
      <c r="B5" s="185"/>
      <c r="C5" s="185"/>
      <c r="D5" s="194"/>
      <c r="E5" s="185"/>
      <c r="F5" s="185"/>
      <c r="G5" s="185"/>
      <c r="H5" s="185"/>
      <c r="I5" s="185"/>
      <c r="J5" s="185"/>
      <c r="K5" s="185"/>
      <c r="L5" s="185"/>
      <c r="M5" s="191"/>
      <c r="N5" s="18"/>
    </row>
    <row r="6" spans="1:14" ht="12.75">
      <c r="A6" s="193" t="s">
        <v>2</v>
      </c>
      <c r="B6" s="185"/>
      <c r="C6" s="185"/>
      <c r="D6" s="194"/>
      <c r="E6" s="197" t="s">
        <v>34</v>
      </c>
      <c r="F6" s="185"/>
      <c r="G6" s="194" t="str">
        <f>'Stavební rozpočet'!G6</f>
        <v> </v>
      </c>
      <c r="H6" s="194" t="s">
        <v>33</v>
      </c>
      <c r="I6" s="194"/>
      <c r="J6" s="185"/>
      <c r="K6" s="185"/>
      <c r="L6" s="185"/>
      <c r="M6" s="191"/>
      <c r="N6" s="18"/>
    </row>
    <row r="7" spans="1:14" ht="12.75">
      <c r="A7" s="184"/>
      <c r="B7" s="185"/>
      <c r="C7" s="185"/>
      <c r="D7" s="194"/>
      <c r="E7" s="185"/>
      <c r="F7" s="185"/>
      <c r="G7" s="185"/>
      <c r="H7" s="185"/>
      <c r="I7" s="185"/>
      <c r="J7" s="185"/>
      <c r="K7" s="185"/>
      <c r="L7" s="185"/>
      <c r="M7" s="191"/>
      <c r="N7" s="18"/>
    </row>
    <row r="8" spans="1:14" ht="12.75">
      <c r="A8" s="193" t="s">
        <v>4</v>
      </c>
      <c r="B8" s="185"/>
      <c r="C8" s="185"/>
      <c r="D8" s="194"/>
      <c r="E8" s="197" t="s">
        <v>71</v>
      </c>
      <c r="F8" s="185"/>
      <c r="G8" s="194"/>
      <c r="H8" s="194" t="s">
        <v>35</v>
      </c>
      <c r="I8" s="194"/>
      <c r="J8" s="185"/>
      <c r="K8" s="185"/>
      <c r="L8" s="185"/>
      <c r="M8" s="191"/>
      <c r="N8" s="18"/>
    </row>
    <row r="9" spans="1:14" ht="13.5" thickBot="1">
      <c r="A9" s="223"/>
      <c r="B9" s="221"/>
      <c r="C9" s="221"/>
      <c r="D9" s="241"/>
      <c r="E9" s="221"/>
      <c r="F9" s="221"/>
      <c r="G9" s="221"/>
      <c r="H9" s="221"/>
      <c r="I9" s="221"/>
      <c r="J9" s="221"/>
      <c r="K9" s="221"/>
      <c r="L9" s="221"/>
      <c r="M9" s="222"/>
      <c r="N9" s="18"/>
    </row>
    <row r="10" spans="1:14" s="174" customFormat="1" ht="12.75">
      <c r="A10" s="100" t="s">
        <v>78</v>
      </c>
      <c r="B10" s="101" t="s">
        <v>58</v>
      </c>
      <c r="C10" s="101" t="s">
        <v>245</v>
      </c>
      <c r="D10" s="133" t="s">
        <v>418</v>
      </c>
      <c r="E10" s="101" t="s">
        <v>605</v>
      </c>
      <c r="F10" s="102" t="s">
        <v>617</v>
      </c>
      <c r="G10" s="103" t="s">
        <v>618</v>
      </c>
      <c r="H10" s="237" t="s">
        <v>72</v>
      </c>
      <c r="I10" s="238"/>
      <c r="J10" s="239"/>
      <c r="K10" s="237" t="s">
        <v>76</v>
      </c>
      <c r="L10" s="240"/>
      <c r="M10" s="104" t="s">
        <v>620</v>
      </c>
      <c r="N10" s="105"/>
    </row>
    <row r="11" spans="1:62" s="174" customFormat="1" ht="13.5" thickBot="1">
      <c r="A11" s="106" t="s">
        <v>57</v>
      </c>
      <c r="B11" s="107" t="s">
        <v>57</v>
      </c>
      <c r="C11" s="107" t="s">
        <v>57</v>
      </c>
      <c r="D11" s="134" t="s">
        <v>419</v>
      </c>
      <c r="E11" s="107" t="s">
        <v>57</v>
      </c>
      <c r="F11" s="107" t="s">
        <v>57</v>
      </c>
      <c r="G11" s="108" t="s">
        <v>619</v>
      </c>
      <c r="H11" s="109" t="s">
        <v>73</v>
      </c>
      <c r="I11" s="110" t="s">
        <v>21</v>
      </c>
      <c r="J11" s="111" t="s">
        <v>75</v>
      </c>
      <c r="K11" s="109" t="s">
        <v>618</v>
      </c>
      <c r="L11" s="111" t="s">
        <v>75</v>
      </c>
      <c r="M11" s="112" t="s">
        <v>621</v>
      </c>
      <c r="N11" s="105"/>
      <c r="Z11" s="113" t="s">
        <v>623</v>
      </c>
      <c r="AA11" s="113" t="s">
        <v>624</v>
      </c>
      <c r="AB11" s="113" t="s">
        <v>625</v>
      </c>
      <c r="AC11" s="113" t="s">
        <v>626</v>
      </c>
      <c r="AD11" s="113" t="s">
        <v>627</v>
      </c>
      <c r="AE11" s="113" t="s">
        <v>628</v>
      </c>
      <c r="AF11" s="113" t="s">
        <v>629</v>
      </c>
      <c r="AG11" s="113" t="s">
        <v>630</v>
      </c>
      <c r="AH11" s="113" t="s">
        <v>631</v>
      </c>
      <c r="BH11" s="113" t="s">
        <v>659</v>
      </c>
      <c r="BI11" s="113" t="s">
        <v>660</v>
      </c>
      <c r="BJ11" s="113" t="s">
        <v>661</v>
      </c>
    </row>
    <row r="12" spans="1:13" s="174" customFormat="1" ht="12.75">
      <c r="A12" s="114"/>
      <c r="B12" s="115" t="s">
        <v>60</v>
      </c>
      <c r="C12" s="115"/>
      <c r="D12" s="135" t="s">
        <v>66</v>
      </c>
      <c r="E12" s="114" t="s">
        <v>57</v>
      </c>
      <c r="F12" s="114" t="s">
        <v>57</v>
      </c>
      <c r="G12" s="114" t="s">
        <v>57</v>
      </c>
      <c r="H12" s="116">
        <f>H13+H19+H33+H38+H53+H59+H62+H67+H72+H84+H91+H93+H153+H201+H251+H316+H330+H338+H353+H362+H382+H387</f>
        <v>0</v>
      </c>
      <c r="I12" s="116">
        <f>I13+I19+I33+I38+I53+I59+I62+I67+I72+I84+I91+I93+I153+I201+I251+I316+I330+I338+I353+I362+I382+I387</f>
        <v>0</v>
      </c>
      <c r="J12" s="116">
        <f>J13+J19+J33+J38+J53+J59+J62+J67+J72+J84+J91+J93+J153+J201+J251+J316+J330+J338+J353+J362+J382+J387</f>
        <v>0</v>
      </c>
      <c r="K12" s="117"/>
      <c r="L12" s="116">
        <f>L13+L19+L33+L38+L53+L59+L62+L67+L72+L84+L91+L93+L153+L201+L251+L316+L330+L338+L353+L362+L382+L387</f>
        <v>340.71488860000005</v>
      </c>
      <c r="M12" s="117"/>
    </row>
    <row r="13" spans="1:47" s="174" customFormat="1" ht="12.75">
      <c r="A13" s="118"/>
      <c r="B13" s="119" t="s">
        <v>60</v>
      </c>
      <c r="C13" s="119" t="s">
        <v>109</v>
      </c>
      <c r="D13" s="136" t="s">
        <v>420</v>
      </c>
      <c r="E13" s="118" t="s">
        <v>57</v>
      </c>
      <c r="F13" s="118" t="s">
        <v>57</v>
      </c>
      <c r="G13" s="118" t="s">
        <v>57</v>
      </c>
      <c r="H13" s="120">
        <f>SUM(H14:H17)</f>
        <v>0</v>
      </c>
      <c r="I13" s="120">
        <f>SUM(I14:I17)</f>
        <v>0</v>
      </c>
      <c r="J13" s="120">
        <f>SUM(J14:J17)</f>
        <v>0</v>
      </c>
      <c r="K13" s="113"/>
      <c r="L13" s="120">
        <f>SUM(L14:L17)</f>
        <v>1.05887</v>
      </c>
      <c r="M13" s="113"/>
      <c r="AI13" s="113" t="s">
        <v>60</v>
      </c>
      <c r="AS13" s="120">
        <f>SUM(AJ14:AJ17)</f>
        <v>0</v>
      </c>
      <c r="AT13" s="120">
        <f>SUM(AK14:AK17)</f>
        <v>0</v>
      </c>
      <c r="AU13" s="120">
        <f>SUM(AL14:AL17)</f>
        <v>0</v>
      </c>
    </row>
    <row r="14" spans="1:62" s="174" customFormat="1" ht="12.75">
      <c r="A14" s="121" t="s">
        <v>79</v>
      </c>
      <c r="B14" s="121" t="s">
        <v>60</v>
      </c>
      <c r="C14" s="121" t="s">
        <v>944</v>
      </c>
      <c r="D14" s="129" t="s">
        <v>1225</v>
      </c>
      <c r="E14" s="121" t="s">
        <v>606</v>
      </c>
      <c r="F14" s="122">
        <f>'Stavební rozpočet'!F199</f>
        <v>14</v>
      </c>
      <c r="G14" s="172"/>
      <c r="H14" s="122">
        <f>F14*AO14</f>
        <v>0</v>
      </c>
      <c r="I14" s="122">
        <f>F14*AP14</f>
        <v>0</v>
      </c>
      <c r="J14" s="122">
        <f>F14*G14</f>
        <v>0</v>
      </c>
      <c r="K14" s="122">
        <f>'Stavební rozpočet'!K199</f>
        <v>0.03637</v>
      </c>
      <c r="L14" s="122">
        <f>F14*K14</f>
        <v>0.50918</v>
      </c>
      <c r="M14" s="123" t="s">
        <v>622</v>
      </c>
      <c r="Z14" s="124">
        <f>IF(AQ14="5",BJ14,0)</f>
        <v>0</v>
      </c>
      <c r="AB14" s="124">
        <f>IF(AQ14="1",BH14,0)</f>
        <v>0</v>
      </c>
      <c r="AC14" s="124">
        <f>IF(AQ14="1",BI14,0)</f>
        <v>0</v>
      </c>
      <c r="AD14" s="124">
        <f>IF(AQ14="7",BH14,0)</f>
        <v>0</v>
      </c>
      <c r="AE14" s="124">
        <f>IF(AQ14="7",BI14,0)</f>
        <v>0</v>
      </c>
      <c r="AF14" s="124">
        <f>IF(AQ14="2",BH14,0)</f>
        <v>0</v>
      </c>
      <c r="AG14" s="124">
        <f>IF(AQ14="2",BI14,0)</f>
        <v>0</v>
      </c>
      <c r="AH14" s="124">
        <f>IF(AQ14="0",BJ14,0)</f>
        <v>0</v>
      </c>
      <c r="AI14" s="113" t="s">
        <v>60</v>
      </c>
      <c r="AJ14" s="122">
        <f>IF(AN14=0,J14,0)</f>
        <v>0</v>
      </c>
      <c r="AK14" s="122">
        <f>IF(AN14=15,J14,0)</f>
        <v>0</v>
      </c>
      <c r="AL14" s="122">
        <f>IF(AN14=21,J14,0)</f>
        <v>0</v>
      </c>
      <c r="AN14" s="124">
        <v>15</v>
      </c>
      <c r="AO14" s="124">
        <f>G14*0.695173674588665</f>
        <v>0</v>
      </c>
      <c r="AP14" s="124">
        <f>G14*(1-0.695173674588665)</f>
        <v>0</v>
      </c>
      <c r="AQ14" s="123" t="s">
        <v>79</v>
      </c>
      <c r="AV14" s="124">
        <f>AW14+AX14</f>
        <v>0</v>
      </c>
      <c r="AW14" s="124">
        <f>F14*AO14</f>
        <v>0</v>
      </c>
      <c r="AX14" s="124">
        <f>F14*AP14</f>
        <v>0</v>
      </c>
      <c r="AY14" s="125" t="s">
        <v>632</v>
      </c>
      <c r="AZ14" s="125" t="s">
        <v>1533</v>
      </c>
      <c r="BA14" s="113" t="s">
        <v>1542</v>
      </c>
      <c r="BC14" s="124">
        <f>AW14+AX14</f>
        <v>0</v>
      </c>
      <c r="BD14" s="124">
        <f>G14/(100-BE14)*100</f>
        <v>0</v>
      </c>
      <c r="BE14" s="124">
        <v>0</v>
      </c>
      <c r="BF14" s="124">
        <f>L14</f>
        <v>0.50918</v>
      </c>
      <c r="BH14" s="122">
        <f>F14*AO14</f>
        <v>0</v>
      </c>
      <c r="BI14" s="122">
        <f>F14*AP14</f>
        <v>0</v>
      </c>
      <c r="BJ14" s="122">
        <f>F14*G14</f>
        <v>0</v>
      </c>
    </row>
    <row r="15" spans="1:62" s="174" customFormat="1" ht="12.75">
      <c r="A15" s="121" t="s">
        <v>80</v>
      </c>
      <c r="B15" s="121" t="s">
        <v>60</v>
      </c>
      <c r="C15" s="121" t="s">
        <v>246</v>
      </c>
      <c r="D15" s="129" t="s">
        <v>421</v>
      </c>
      <c r="E15" s="121" t="s">
        <v>606</v>
      </c>
      <c r="F15" s="122">
        <f>'Stavební rozpočet'!F200</f>
        <v>12</v>
      </c>
      <c r="G15" s="172"/>
      <c r="H15" s="122">
        <f>F15*AO15</f>
        <v>0</v>
      </c>
      <c r="I15" s="122">
        <f>F15*AP15</f>
        <v>0</v>
      </c>
      <c r="J15" s="122">
        <f>F15*G15</f>
        <v>0</v>
      </c>
      <c r="K15" s="122">
        <f>'Stavební rozpočet'!K200</f>
        <v>0.04529</v>
      </c>
      <c r="L15" s="122">
        <f>F15*K15</f>
        <v>0.54348</v>
      </c>
      <c r="M15" s="123" t="s">
        <v>622</v>
      </c>
      <c r="Z15" s="124">
        <f>IF(AQ15="5",BJ15,0)</f>
        <v>0</v>
      </c>
      <c r="AB15" s="124">
        <f>IF(AQ15="1",BH15,0)</f>
        <v>0</v>
      </c>
      <c r="AC15" s="124">
        <f>IF(AQ15="1",BI15,0)</f>
        <v>0</v>
      </c>
      <c r="AD15" s="124">
        <f>IF(AQ15="7",BH15,0)</f>
        <v>0</v>
      </c>
      <c r="AE15" s="124">
        <f>IF(AQ15="7",BI15,0)</f>
        <v>0</v>
      </c>
      <c r="AF15" s="124">
        <f>IF(AQ15="2",BH15,0)</f>
        <v>0</v>
      </c>
      <c r="AG15" s="124">
        <f>IF(AQ15="2",BI15,0)</f>
        <v>0</v>
      </c>
      <c r="AH15" s="124">
        <f>IF(AQ15="0",BJ15,0)</f>
        <v>0</v>
      </c>
      <c r="AI15" s="113" t="s">
        <v>60</v>
      </c>
      <c r="AJ15" s="122">
        <f>IF(AN15=0,J15,0)</f>
        <v>0</v>
      </c>
      <c r="AK15" s="122">
        <f>IF(AN15=15,J15,0)</f>
        <v>0</v>
      </c>
      <c r="AL15" s="122">
        <f>IF(AN15=21,J15,0)</f>
        <v>0</v>
      </c>
      <c r="AN15" s="124">
        <v>15</v>
      </c>
      <c r="AO15" s="124">
        <f>G15*0.746607669616519</f>
        <v>0</v>
      </c>
      <c r="AP15" s="124">
        <f>G15*(1-0.746607669616519)</f>
        <v>0</v>
      </c>
      <c r="AQ15" s="123" t="s">
        <v>79</v>
      </c>
      <c r="AV15" s="124">
        <f>AW15+AX15</f>
        <v>0</v>
      </c>
      <c r="AW15" s="124">
        <f>F15*AO15</f>
        <v>0</v>
      </c>
      <c r="AX15" s="124">
        <f>F15*AP15</f>
        <v>0</v>
      </c>
      <c r="AY15" s="125" t="s">
        <v>632</v>
      </c>
      <c r="AZ15" s="125" t="s">
        <v>1533</v>
      </c>
      <c r="BA15" s="113" t="s">
        <v>1542</v>
      </c>
      <c r="BC15" s="124">
        <f>AW15+AX15</f>
        <v>0</v>
      </c>
      <c r="BD15" s="124">
        <f>G15/(100-BE15)*100</f>
        <v>0</v>
      </c>
      <c r="BE15" s="124">
        <v>0</v>
      </c>
      <c r="BF15" s="124">
        <f>L15</f>
        <v>0.54348</v>
      </c>
      <c r="BH15" s="122">
        <f>F15*AO15</f>
        <v>0</v>
      </c>
      <c r="BI15" s="122">
        <f>F15*AP15</f>
        <v>0</v>
      </c>
      <c r="BJ15" s="122">
        <f>F15*G15</f>
        <v>0</v>
      </c>
    </row>
    <row r="16" spans="1:62" s="174" customFormat="1" ht="12.75" hidden="1">
      <c r="A16" s="121" t="s">
        <v>81</v>
      </c>
      <c r="B16" s="121" t="s">
        <v>60</v>
      </c>
      <c r="C16" s="121" t="s">
        <v>247</v>
      </c>
      <c r="D16" s="129" t="s">
        <v>422</v>
      </c>
      <c r="E16" s="121" t="s">
        <v>606</v>
      </c>
      <c r="F16" s="122">
        <f>'Stavební rozpočet'!F201</f>
        <v>0</v>
      </c>
      <c r="G16" s="172"/>
      <c r="H16" s="122">
        <f>F16*AO16</f>
        <v>0</v>
      </c>
      <c r="I16" s="122">
        <f>F16*AP16</f>
        <v>0</v>
      </c>
      <c r="J16" s="122">
        <f>F16*G16</f>
        <v>0</v>
      </c>
      <c r="K16" s="122">
        <f>'Stavební rozpočet'!K201</f>
        <v>0.06314</v>
      </c>
      <c r="L16" s="122">
        <f>F16*K16</f>
        <v>0</v>
      </c>
      <c r="M16" s="123" t="s">
        <v>622</v>
      </c>
      <c r="Z16" s="124">
        <f>IF(AQ16="5",BJ16,0)</f>
        <v>0</v>
      </c>
      <c r="AB16" s="124">
        <f>IF(AQ16="1",BH16,0)</f>
        <v>0</v>
      </c>
      <c r="AC16" s="124">
        <f>IF(AQ16="1",BI16,0)</f>
        <v>0</v>
      </c>
      <c r="AD16" s="124">
        <f>IF(AQ16="7",BH16,0)</f>
        <v>0</v>
      </c>
      <c r="AE16" s="124">
        <f>IF(AQ16="7",BI16,0)</f>
        <v>0</v>
      </c>
      <c r="AF16" s="124">
        <f>IF(AQ16="2",BH16,0)</f>
        <v>0</v>
      </c>
      <c r="AG16" s="124">
        <f>IF(AQ16="2",BI16,0)</f>
        <v>0</v>
      </c>
      <c r="AH16" s="124">
        <f>IF(AQ16="0",BJ16,0)</f>
        <v>0</v>
      </c>
      <c r="AI16" s="113" t="s">
        <v>60</v>
      </c>
      <c r="AJ16" s="122">
        <f>IF(AN16=0,J16,0)</f>
        <v>0</v>
      </c>
      <c r="AK16" s="122">
        <f>IF(AN16=15,J16,0)</f>
        <v>0</v>
      </c>
      <c r="AL16" s="122">
        <f>IF(AN16=21,J16,0)</f>
        <v>0</v>
      </c>
      <c r="AN16" s="124">
        <v>15</v>
      </c>
      <c r="AO16" s="124">
        <f>G16*0.809549738219895</f>
        <v>0</v>
      </c>
      <c r="AP16" s="124">
        <f>G16*(1-0.809549738219895)</f>
        <v>0</v>
      </c>
      <c r="AQ16" s="123" t="s">
        <v>79</v>
      </c>
      <c r="AV16" s="124">
        <f>AW16+AX16</f>
        <v>0</v>
      </c>
      <c r="AW16" s="124">
        <f>F16*AO16</f>
        <v>0</v>
      </c>
      <c r="AX16" s="124">
        <f>F16*AP16</f>
        <v>0</v>
      </c>
      <c r="AY16" s="125" t="s">
        <v>632</v>
      </c>
      <c r="AZ16" s="125" t="s">
        <v>1533</v>
      </c>
      <c r="BA16" s="113" t="s">
        <v>1542</v>
      </c>
      <c r="BC16" s="124">
        <f>AW16+AX16</f>
        <v>0</v>
      </c>
      <c r="BD16" s="124">
        <f>G16/(100-BE16)*100</f>
        <v>0</v>
      </c>
      <c r="BE16" s="124">
        <v>0</v>
      </c>
      <c r="BF16" s="124">
        <f>L16</f>
        <v>0</v>
      </c>
      <c r="BH16" s="122">
        <f>F16*AO16</f>
        <v>0</v>
      </c>
      <c r="BI16" s="122">
        <f>F16*AP16</f>
        <v>0</v>
      </c>
      <c r="BJ16" s="122">
        <f>F16*G16</f>
        <v>0</v>
      </c>
    </row>
    <row r="17" spans="1:62" s="174" customFormat="1" ht="12.75">
      <c r="A17" s="121" t="s">
        <v>82</v>
      </c>
      <c r="B17" s="121" t="s">
        <v>60</v>
      </c>
      <c r="C17" s="121" t="s">
        <v>248</v>
      </c>
      <c r="D17" s="129" t="s">
        <v>423</v>
      </c>
      <c r="E17" s="121" t="s">
        <v>607</v>
      </c>
      <c r="F17" s="122">
        <f>'Stavební rozpočet'!F202</f>
        <v>5.4</v>
      </c>
      <c r="G17" s="172"/>
      <c r="H17" s="122">
        <f>F17*AO17</f>
        <v>0</v>
      </c>
      <c r="I17" s="122">
        <f>F17*AP17</f>
        <v>0</v>
      </c>
      <c r="J17" s="122">
        <f>F17*G17</f>
        <v>0</v>
      </c>
      <c r="K17" s="122">
        <f>'Stavební rozpočet'!K202</f>
        <v>0.00115</v>
      </c>
      <c r="L17" s="122">
        <f>F17*K17</f>
        <v>0.00621</v>
      </c>
      <c r="M17" s="123" t="s">
        <v>622</v>
      </c>
      <c r="Z17" s="124">
        <f>IF(AQ17="5",BJ17,0)</f>
        <v>0</v>
      </c>
      <c r="AB17" s="124">
        <f>IF(AQ17="1",BH17,0)</f>
        <v>0</v>
      </c>
      <c r="AC17" s="124">
        <f>IF(AQ17="1",BI17,0)</f>
        <v>0</v>
      </c>
      <c r="AD17" s="124">
        <f>IF(AQ17="7",BH17,0)</f>
        <v>0</v>
      </c>
      <c r="AE17" s="124">
        <f>IF(AQ17="7",BI17,0)</f>
        <v>0</v>
      </c>
      <c r="AF17" s="124">
        <f>IF(AQ17="2",BH17,0)</f>
        <v>0</v>
      </c>
      <c r="AG17" s="124">
        <f>IF(AQ17="2",BI17,0)</f>
        <v>0</v>
      </c>
      <c r="AH17" s="124">
        <f>IF(AQ17="0",BJ17,0)</f>
        <v>0</v>
      </c>
      <c r="AI17" s="113" t="s">
        <v>60</v>
      </c>
      <c r="AJ17" s="122">
        <f>IF(AN17=0,J17,0)</f>
        <v>0</v>
      </c>
      <c r="AK17" s="122">
        <f>IF(AN17=15,J17,0)</f>
        <v>0</v>
      </c>
      <c r="AL17" s="122">
        <f>IF(AN17=21,J17,0)</f>
        <v>0</v>
      </c>
      <c r="AN17" s="124">
        <v>15</v>
      </c>
      <c r="AO17" s="124">
        <f>G17*0.776526315789474</f>
        <v>0</v>
      </c>
      <c r="AP17" s="124">
        <f>G17*(1-0.776526315789474)</f>
        <v>0</v>
      </c>
      <c r="AQ17" s="123" t="s">
        <v>79</v>
      </c>
      <c r="AV17" s="124">
        <f>AW17+AX17</f>
        <v>0</v>
      </c>
      <c r="AW17" s="124">
        <f>F17*AO17</f>
        <v>0</v>
      </c>
      <c r="AX17" s="124">
        <f>F17*AP17</f>
        <v>0</v>
      </c>
      <c r="AY17" s="125" t="s">
        <v>632</v>
      </c>
      <c r="AZ17" s="125" t="s">
        <v>1533</v>
      </c>
      <c r="BA17" s="113" t="s">
        <v>1542</v>
      </c>
      <c r="BC17" s="124">
        <f>AW17+AX17</f>
        <v>0</v>
      </c>
      <c r="BD17" s="124">
        <f>G17/(100-BE17)*100</f>
        <v>0</v>
      </c>
      <c r="BE17" s="124">
        <v>0</v>
      </c>
      <c r="BF17" s="124">
        <f>L17</f>
        <v>0.00621</v>
      </c>
      <c r="BH17" s="122">
        <f>F17*AO17</f>
        <v>0</v>
      </c>
      <c r="BI17" s="122">
        <f>F17*AP17</f>
        <v>0</v>
      </c>
      <c r="BJ17" s="122">
        <f>F17*G17</f>
        <v>0</v>
      </c>
    </row>
    <row r="18" spans="4:7" s="174" customFormat="1" ht="12.75">
      <c r="D18" s="79" t="s">
        <v>424</v>
      </c>
      <c r="G18" s="175"/>
    </row>
    <row r="19" spans="1:47" s="174" customFormat="1" ht="12.75">
      <c r="A19" s="118"/>
      <c r="B19" s="119" t="s">
        <v>60</v>
      </c>
      <c r="C19" s="119" t="s">
        <v>112</v>
      </c>
      <c r="D19" s="136" t="s">
        <v>425</v>
      </c>
      <c r="E19" s="118" t="s">
        <v>57</v>
      </c>
      <c r="F19" s="118" t="s">
        <v>57</v>
      </c>
      <c r="G19" s="118"/>
      <c r="H19" s="120">
        <f>SUM(H20:H32)</f>
        <v>0</v>
      </c>
      <c r="I19" s="120">
        <f>SUM(I20:I32)</f>
        <v>0</v>
      </c>
      <c r="J19" s="120">
        <f>SUM(J20:J32)</f>
        <v>0</v>
      </c>
      <c r="K19" s="113"/>
      <c r="L19" s="120">
        <f>SUM(L20:L32)</f>
        <v>12.758306200000002</v>
      </c>
      <c r="M19" s="113"/>
      <c r="AI19" s="113" t="s">
        <v>60</v>
      </c>
      <c r="AS19" s="120">
        <f>SUM(AJ20:AJ32)</f>
        <v>0</v>
      </c>
      <c r="AT19" s="120">
        <f>SUM(AK20:AK32)</f>
        <v>0</v>
      </c>
      <c r="AU19" s="120">
        <f>SUM(AL20:AL32)</f>
        <v>0</v>
      </c>
    </row>
    <row r="20" spans="1:62" s="174" customFormat="1" ht="12.75">
      <c r="A20" s="121" t="s">
        <v>83</v>
      </c>
      <c r="B20" s="121" t="s">
        <v>60</v>
      </c>
      <c r="C20" s="121" t="s">
        <v>249</v>
      </c>
      <c r="D20" s="129" t="s">
        <v>426</v>
      </c>
      <c r="E20" s="121" t="s">
        <v>608</v>
      </c>
      <c r="F20" s="122">
        <f>'Stavební rozpočet'!F204</f>
        <v>98.93</v>
      </c>
      <c r="G20" s="172"/>
      <c r="H20" s="122">
        <f>F20*AO20</f>
        <v>0</v>
      </c>
      <c r="I20" s="122">
        <f>F20*AP20</f>
        <v>0</v>
      </c>
      <c r="J20" s="122">
        <f>F20*G20</f>
        <v>0</v>
      </c>
      <c r="K20" s="122">
        <f>'Stavební rozpočet'!K204</f>
        <v>0.11666</v>
      </c>
      <c r="L20" s="122">
        <f>F20*K20</f>
        <v>11.541173800000001</v>
      </c>
      <c r="M20" s="123" t="s">
        <v>622</v>
      </c>
      <c r="Z20" s="124">
        <f>IF(AQ20="5",BJ20,0)</f>
        <v>0</v>
      </c>
      <c r="AB20" s="124">
        <f>IF(AQ20="1",BH20,0)</f>
        <v>0</v>
      </c>
      <c r="AC20" s="124">
        <f>IF(AQ20="1",BI20,0)</f>
        <v>0</v>
      </c>
      <c r="AD20" s="124">
        <f>IF(AQ20="7",BH20,0)</f>
        <v>0</v>
      </c>
      <c r="AE20" s="124">
        <f>IF(AQ20="7",BI20,0)</f>
        <v>0</v>
      </c>
      <c r="AF20" s="124">
        <f>IF(AQ20="2",BH20,0)</f>
        <v>0</v>
      </c>
      <c r="AG20" s="124">
        <f>IF(AQ20="2",BI20,0)</f>
        <v>0</v>
      </c>
      <c r="AH20" s="124">
        <f>IF(AQ20="0",BJ20,0)</f>
        <v>0</v>
      </c>
      <c r="AI20" s="113" t="s">
        <v>60</v>
      </c>
      <c r="AJ20" s="122">
        <f>IF(AN20=0,J20,0)</f>
        <v>0</v>
      </c>
      <c r="AK20" s="122">
        <f>IF(AN20=15,J20,0)</f>
        <v>0</v>
      </c>
      <c r="AL20" s="122">
        <f>IF(AN20=21,J20,0)</f>
        <v>0</v>
      </c>
      <c r="AN20" s="124">
        <v>15</v>
      </c>
      <c r="AO20" s="124">
        <f>G20*0.640748171487873</f>
        <v>0</v>
      </c>
      <c r="AP20" s="124">
        <f>G20*(1-0.640748171487873)</f>
        <v>0</v>
      </c>
      <c r="AQ20" s="123" t="s">
        <v>79</v>
      </c>
      <c r="AV20" s="124">
        <f>AW20+AX20</f>
        <v>0</v>
      </c>
      <c r="AW20" s="124">
        <f>F20*AO20</f>
        <v>0</v>
      </c>
      <c r="AX20" s="124">
        <f>F20*AP20</f>
        <v>0</v>
      </c>
      <c r="AY20" s="125" t="s">
        <v>633</v>
      </c>
      <c r="AZ20" s="125" t="s">
        <v>1533</v>
      </c>
      <c r="BA20" s="113" t="s">
        <v>1542</v>
      </c>
      <c r="BC20" s="124">
        <f>AW20+AX20</f>
        <v>0</v>
      </c>
      <c r="BD20" s="124">
        <f>G20/(100-BE20)*100</f>
        <v>0</v>
      </c>
      <c r="BE20" s="124">
        <v>0</v>
      </c>
      <c r="BF20" s="124">
        <f>L20</f>
        <v>11.541173800000001</v>
      </c>
      <c r="BH20" s="122">
        <f>F20*AO20</f>
        <v>0</v>
      </c>
      <c r="BI20" s="122">
        <f>F20*AP20</f>
        <v>0</v>
      </c>
      <c r="BJ20" s="122">
        <f>F20*G20</f>
        <v>0</v>
      </c>
    </row>
    <row r="21" spans="1:62" s="174" customFormat="1" ht="12.75" hidden="1">
      <c r="A21" s="121" t="s">
        <v>84</v>
      </c>
      <c r="B21" s="121" t="s">
        <v>60</v>
      </c>
      <c r="C21" s="121" t="s">
        <v>250</v>
      </c>
      <c r="D21" s="129" t="s">
        <v>427</v>
      </c>
      <c r="E21" s="121" t="s">
        <v>608</v>
      </c>
      <c r="F21" s="122">
        <f>'Stavební rozpočet'!F205</f>
        <v>0</v>
      </c>
      <c r="G21" s="172"/>
      <c r="H21" s="122">
        <f>F21*AO21</f>
        <v>0</v>
      </c>
      <c r="I21" s="122">
        <f>F21*AP21</f>
        <v>0</v>
      </c>
      <c r="J21" s="122">
        <f>F21*G21</f>
        <v>0</v>
      </c>
      <c r="K21" s="122">
        <f>'Stavební rozpočet'!K205</f>
        <v>0.0286</v>
      </c>
      <c r="L21" s="122">
        <f>F21*K21</f>
        <v>0</v>
      </c>
      <c r="M21" s="123" t="s">
        <v>622</v>
      </c>
      <c r="Z21" s="124">
        <f>IF(AQ21="5",BJ21,0)</f>
        <v>0</v>
      </c>
      <c r="AB21" s="124">
        <f>IF(AQ21="1",BH21,0)</f>
        <v>0</v>
      </c>
      <c r="AC21" s="124">
        <f>IF(AQ21="1",BI21,0)</f>
        <v>0</v>
      </c>
      <c r="AD21" s="124">
        <f>IF(AQ21="7",BH21,0)</f>
        <v>0</v>
      </c>
      <c r="AE21" s="124">
        <f>IF(AQ21="7",BI21,0)</f>
        <v>0</v>
      </c>
      <c r="AF21" s="124">
        <f>IF(AQ21="2",BH21,0)</f>
        <v>0</v>
      </c>
      <c r="AG21" s="124">
        <f>IF(AQ21="2",BI21,0)</f>
        <v>0</v>
      </c>
      <c r="AH21" s="124">
        <f>IF(AQ21="0",BJ21,0)</f>
        <v>0</v>
      </c>
      <c r="AI21" s="113" t="s">
        <v>60</v>
      </c>
      <c r="AJ21" s="122">
        <f>IF(AN21=0,J21,0)</f>
        <v>0</v>
      </c>
      <c r="AK21" s="122">
        <f>IF(AN21=15,J21,0)</f>
        <v>0</v>
      </c>
      <c r="AL21" s="122">
        <f>IF(AN21=21,J21,0)</f>
        <v>0</v>
      </c>
      <c r="AN21" s="124">
        <v>15</v>
      </c>
      <c r="AO21" s="124">
        <f>G21*0.356243902439024</f>
        <v>0</v>
      </c>
      <c r="AP21" s="124">
        <f>G21*(1-0.356243902439024)</f>
        <v>0</v>
      </c>
      <c r="AQ21" s="123" t="s">
        <v>79</v>
      </c>
      <c r="AV21" s="124">
        <f>AW21+AX21</f>
        <v>0</v>
      </c>
      <c r="AW21" s="124">
        <f>F21*AO21</f>
        <v>0</v>
      </c>
      <c r="AX21" s="124">
        <f>F21*AP21</f>
        <v>0</v>
      </c>
      <c r="AY21" s="125" t="s">
        <v>633</v>
      </c>
      <c r="AZ21" s="125" t="s">
        <v>1533</v>
      </c>
      <c r="BA21" s="113" t="s">
        <v>1542</v>
      </c>
      <c r="BC21" s="124">
        <f>AW21+AX21</f>
        <v>0</v>
      </c>
      <c r="BD21" s="124">
        <f>G21/(100-BE21)*100</f>
        <v>0</v>
      </c>
      <c r="BE21" s="124">
        <v>0</v>
      </c>
      <c r="BF21" s="124">
        <f>L21</f>
        <v>0</v>
      </c>
      <c r="BH21" s="122">
        <f>F21*AO21</f>
        <v>0</v>
      </c>
      <c r="BI21" s="122">
        <f>F21*AP21</f>
        <v>0</v>
      </c>
      <c r="BJ21" s="122">
        <f>F21*G21</f>
        <v>0</v>
      </c>
    </row>
    <row r="22" spans="4:7" s="174" customFormat="1" ht="12.75" hidden="1">
      <c r="D22" s="79" t="s">
        <v>428</v>
      </c>
      <c r="G22" s="175"/>
    </row>
    <row r="23" spans="1:62" s="174" customFormat="1" ht="12.75" hidden="1">
      <c r="A23" s="121" t="s">
        <v>85</v>
      </c>
      <c r="B23" s="121" t="s">
        <v>60</v>
      </c>
      <c r="C23" s="121" t="s">
        <v>945</v>
      </c>
      <c r="D23" s="129" t="s">
        <v>1226</v>
      </c>
      <c r="E23" s="121" t="s">
        <v>608</v>
      </c>
      <c r="F23" s="122">
        <f>'Stavební rozpočet'!F206</f>
        <v>0</v>
      </c>
      <c r="G23" s="172"/>
      <c r="H23" s="122">
        <f>F23*AO23</f>
        <v>0</v>
      </c>
      <c r="I23" s="122">
        <f>F23*AP23</f>
        <v>0</v>
      </c>
      <c r="J23" s="122">
        <f>F23*G23</f>
        <v>0</v>
      </c>
      <c r="K23" s="122">
        <f>'Stavební rozpočet'!K206</f>
        <v>0.0286</v>
      </c>
      <c r="L23" s="122">
        <f>F23*K23</f>
        <v>0</v>
      </c>
      <c r="M23" s="123" t="s">
        <v>622</v>
      </c>
      <c r="Z23" s="124">
        <f>IF(AQ23="5",BJ23,0)</f>
        <v>0</v>
      </c>
      <c r="AB23" s="124">
        <f>IF(AQ23="1",BH23,0)</f>
        <v>0</v>
      </c>
      <c r="AC23" s="124">
        <f>IF(AQ23="1",BI23,0)</f>
        <v>0</v>
      </c>
      <c r="AD23" s="124">
        <f>IF(AQ23="7",BH23,0)</f>
        <v>0</v>
      </c>
      <c r="AE23" s="124">
        <f>IF(AQ23="7",BI23,0)</f>
        <v>0</v>
      </c>
      <c r="AF23" s="124">
        <f>IF(AQ23="2",BH23,0)</f>
        <v>0</v>
      </c>
      <c r="AG23" s="124">
        <f>IF(AQ23="2",BI23,0)</f>
        <v>0</v>
      </c>
      <c r="AH23" s="124">
        <f>IF(AQ23="0",BJ23,0)</f>
        <v>0</v>
      </c>
      <c r="AI23" s="113" t="s">
        <v>60</v>
      </c>
      <c r="AJ23" s="122">
        <f>IF(AN23=0,J23,0)</f>
        <v>0</v>
      </c>
      <c r="AK23" s="122">
        <f>IF(AN23=15,J23,0)</f>
        <v>0</v>
      </c>
      <c r="AL23" s="122">
        <f>IF(AN23=21,J23,0)</f>
        <v>0</v>
      </c>
      <c r="AN23" s="124">
        <v>15</v>
      </c>
      <c r="AO23" s="124">
        <f>G23*0.356249008723236</f>
        <v>0</v>
      </c>
      <c r="AP23" s="124">
        <f>G23*(1-0.356249008723236)</f>
        <v>0</v>
      </c>
      <c r="AQ23" s="123" t="s">
        <v>79</v>
      </c>
      <c r="AV23" s="124">
        <f>AW23+AX23</f>
        <v>0</v>
      </c>
      <c r="AW23" s="124">
        <f>F23*AO23</f>
        <v>0</v>
      </c>
      <c r="AX23" s="124">
        <f>F23*AP23</f>
        <v>0</v>
      </c>
      <c r="AY23" s="125" t="s">
        <v>633</v>
      </c>
      <c r="AZ23" s="125" t="s">
        <v>1533</v>
      </c>
      <c r="BA23" s="113" t="s">
        <v>1542</v>
      </c>
      <c r="BC23" s="124">
        <f>AW23+AX23</f>
        <v>0</v>
      </c>
      <c r="BD23" s="124">
        <f>G23/(100-BE23)*100</f>
        <v>0</v>
      </c>
      <c r="BE23" s="124">
        <v>0</v>
      </c>
      <c r="BF23" s="124">
        <f>L23</f>
        <v>0</v>
      </c>
      <c r="BH23" s="122">
        <f>F23*AO23</f>
        <v>0</v>
      </c>
      <c r="BI23" s="122">
        <f>F23*AP23</f>
        <v>0</v>
      </c>
      <c r="BJ23" s="122">
        <f>F23*G23</f>
        <v>0</v>
      </c>
    </row>
    <row r="24" spans="4:7" s="174" customFormat="1" ht="12.75" hidden="1">
      <c r="D24" s="79" t="s">
        <v>428</v>
      </c>
      <c r="G24" s="175"/>
    </row>
    <row r="25" spans="1:62" s="174" customFormat="1" ht="12.75" hidden="1">
      <c r="A25" s="121" t="s">
        <v>86</v>
      </c>
      <c r="B25" s="121" t="s">
        <v>60</v>
      </c>
      <c r="C25" s="121" t="s">
        <v>251</v>
      </c>
      <c r="D25" s="129" t="s">
        <v>429</v>
      </c>
      <c r="E25" s="121" t="s">
        <v>606</v>
      </c>
      <c r="F25" s="122">
        <f>'Stavební rozpočet'!F207</f>
        <v>0</v>
      </c>
      <c r="G25" s="172"/>
      <c r="H25" s="122">
        <f>F25*AO25</f>
        <v>0</v>
      </c>
      <c r="I25" s="122">
        <f>F25*AP25</f>
        <v>0</v>
      </c>
      <c r="J25" s="122">
        <f>F25*G25</f>
        <v>0</v>
      </c>
      <c r="K25" s="122">
        <f>'Stavební rozpočet'!K207</f>
        <v>0.0016</v>
      </c>
      <c r="L25" s="122">
        <f>F25*K25</f>
        <v>0</v>
      </c>
      <c r="M25" s="123" t="s">
        <v>622</v>
      </c>
      <c r="Z25" s="124">
        <f>IF(AQ25="5",BJ25,0)</f>
        <v>0</v>
      </c>
      <c r="AB25" s="124">
        <f>IF(AQ25="1",BH25,0)</f>
        <v>0</v>
      </c>
      <c r="AC25" s="124">
        <f>IF(AQ25="1",BI25,0)</f>
        <v>0</v>
      </c>
      <c r="AD25" s="124">
        <f>IF(AQ25="7",BH25,0)</f>
        <v>0</v>
      </c>
      <c r="AE25" s="124">
        <f>IF(AQ25="7",BI25,0)</f>
        <v>0</v>
      </c>
      <c r="AF25" s="124">
        <f>IF(AQ25="2",BH25,0)</f>
        <v>0</v>
      </c>
      <c r="AG25" s="124">
        <f>IF(AQ25="2",BI25,0)</f>
        <v>0</v>
      </c>
      <c r="AH25" s="124">
        <f>IF(AQ25="0",BJ25,0)</f>
        <v>0</v>
      </c>
      <c r="AI25" s="113" t="s">
        <v>60</v>
      </c>
      <c r="AJ25" s="122">
        <f>IF(AN25=0,J25,0)</f>
        <v>0</v>
      </c>
      <c r="AK25" s="122">
        <f>IF(AN25=15,J25,0)</f>
        <v>0</v>
      </c>
      <c r="AL25" s="122">
        <f>IF(AN25=21,J25,0)</f>
        <v>0</v>
      </c>
      <c r="AN25" s="124">
        <v>15</v>
      </c>
      <c r="AO25" s="124">
        <f>G25*0.608391103408434</f>
        <v>0</v>
      </c>
      <c r="AP25" s="124">
        <f>G25*(1-0.608391103408434)</f>
        <v>0</v>
      </c>
      <c r="AQ25" s="123" t="s">
        <v>79</v>
      </c>
      <c r="AV25" s="124">
        <f>AW25+AX25</f>
        <v>0</v>
      </c>
      <c r="AW25" s="124">
        <f>F25*AO25</f>
        <v>0</v>
      </c>
      <c r="AX25" s="124">
        <f>F25*AP25</f>
        <v>0</v>
      </c>
      <c r="AY25" s="125" t="s">
        <v>633</v>
      </c>
      <c r="AZ25" s="125" t="s">
        <v>1533</v>
      </c>
      <c r="BA25" s="113" t="s">
        <v>1542</v>
      </c>
      <c r="BC25" s="124">
        <f>AW25+AX25</f>
        <v>0</v>
      </c>
      <c r="BD25" s="124">
        <f>G25/(100-BE25)*100</f>
        <v>0</v>
      </c>
      <c r="BE25" s="124">
        <v>0</v>
      </c>
      <c r="BF25" s="124">
        <f>L25</f>
        <v>0</v>
      </c>
      <c r="BH25" s="122">
        <f>F25*AO25</f>
        <v>0</v>
      </c>
      <c r="BI25" s="122">
        <f>F25*AP25</f>
        <v>0</v>
      </c>
      <c r="BJ25" s="122">
        <f>F25*G25</f>
        <v>0</v>
      </c>
    </row>
    <row r="26" spans="4:7" s="174" customFormat="1" ht="12.75" hidden="1">
      <c r="D26" s="79" t="s">
        <v>430</v>
      </c>
      <c r="G26" s="175"/>
    </row>
    <row r="27" spans="1:62" s="174" customFormat="1" ht="12.75">
      <c r="A27" s="121" t="s">
        <v>87</v>
      </c>
      <c r="B27" s="121" t="s">
        <v>60</v>
      </c>
      <c r="C27" s="121" t="s">
        <v>252</v>
      </c>
      <c r="D27" s="129" t="s">
        <v>431</v>
      </c>
      <c r="E27" s="121" t="s">
        <v>609</v>
      </c>
      <c r="F27" s="122">
        <f>'Stavební rozpočet'!F208</f>
        <v>41.73</v>
      </c>
      <c r="G27" s="172"/>
      <c r="H27" s="122">
        <f>F27*AO27</f>
        <v>0</v>
      </c>
      <c r="I27" s="122">
        <f>F27*AP27</f>
        <v>0</v>
      </c>
      <c r="J27" s="122">
        <f>F27*G27</f>
        <v>0</v>
      </c>
      <c r="K27" s="122">
        <f>'Stavební rozpočet'!K208</f>
        <v>0.00102</v>
      </c>
      <c r="L27" s="122">
        <f>F27*K27</f>
        <v>0.0425646</v>
      </c>
      <c r="M27" s="123" t="s">
        <v>622</v>
      </c>
      <c r="Z27" s="124">
        <f>IF(AQ27="5",BJ27,0)</f>
        <v>0</v>
      </c>
      <c r="AB27" s="124">
        <f>IF(AQ27="1",BH27,0)</f>
        <v>0</v>
      </c>
      <c r="AC27" s="124">
        <f>IF(AQ27="1",BI27,0)</f>
        <v>0</v>
      </c>
      <c r="AD27" s="124">
        <f>IF(AQ27="7",BH27,0)</f>
        <v>0</v>
      </c>
      <c r="AE27" s="124">
        <f>IF(AQ27="7",BI27,0)</f>
        <v>0</v>
      </c>
      <c r="AF27" s="124">
        <f>IF(AQ27="2",BH27,0)</f>
        <v>0</v>
      </c>
      <c r="AG27" s="124">
        <f>IF(AQ27="2",BI27,0)</f>
        <v>0</v>
      </c>
      <c r="AH27" s="124">
        <f>IF(AQ27="0",BJ27,0)</f>
        <v>0</v>
      </c>
      <c r="AI27" s="113" t="s">
        <v>60</v>
      </c>
      <c r="AJ27" s="122">
        <f>IF(AN27=0,J27,0)</f>
        <v>0</v>
      </c>
      <c r="AK27" s="122">
        <f>IF(AN27=15,J27,0)</f>
        <v>0</v>
      </c>
      <c r="AL27" s="122">
        <f>IF(AN27=21,J27,0)</f>
        <v>0</v>
      </c>
      <c r="AN27" s="124">
        <v>15</v>
      </c>
      <c r="AO27" s="124">
        <f>G27*0.142925170068027</f>
        <v>0</v>
      </c>
      <c r="AP27" s="124">
        <f>G27*(1-0.142925170068027)</f>
        <v>0</v>
      </c>
      <c r="AQ27" s="123" t="s">
        <v>79</v>
      </c>
      <c r="AV27" s="124">
        <f>AW27+AX27</f>
        <v>0</v>
      </c>
      <c r="AW27" s="124">
        <f>F27*AO27</f>
        <v>0</v>
      </c>
      <c r="AX27" s="124">
        <f>F27*AP27</f>
        <v>0</v>
      </c>
      <c r="AY27" s="125" t="s">
        <v>633</v>
      </c>
      <c r="AZ27" s="125" t="s">
        <v>1533</v>
      </c>
      <c r="BA27" s="113" t="s">
        <v>1542</v>
      </c>
      <c r="BC27" s="124">
        <f>AW27+AX27</f>
        <v>0</v>
      </c>
      <c r="BD27" s="124">
        <f>G27/(100-BE27)*100</f>
        <v>0</v>
      </c>
      <c r="BE27" s="124">
        <v>0</v>
      </c>
      <c r="BF27" s="124">
        <f>L27</f>
        <v>0.0425646</v>
      </c>
      <c r="BH27" s="122">
        <f>F27*AO27</f>
        <v>0</v>
      </c>
      <c r="BI27" s="122">
        <f>F27*AP27</f>
        <v>0</v>
      </c>
      <c r="BJ27" s="122">
        <f>F27*G27</f>
        <v>0</v>
      </c>
    </row>
    <row r="28" spans="1:62" s="174" customFormat="1" ht="12.75">
      <c r="A28" s="121" t="s">
        <v>88</v>
      </c>
      <c r="B28" s="121" t="s">
        <v>60</v>
      </c>
      <c r="C28" s="121" t="s">
        <v>253</v>
      </c>
      <c r="D28" s="129" t="s">
        <v>432</v>
      </c>
      <c r="E28" s="121" t="s">
        <v>608</v>
      </c>
      <c r="F28" s="122">
        <f>'Stavební rozpočet'!F209</f>
        <v>11.65</v>
      </c>
      <c r="G28" s="172"/>
      <c r="H28" s="122">
        <f>F28*AO28</f>
        <v>0</v>
      </c>
      <c r="I28" s="122">
        <f>F28*AP28</f>
        <v>0</v>
      </c>
      <c r="J28" s="122">
        <f>F28*G28</f>
        <v>0</v>
      </c>
      <c r="K28" s="122">
        <f>'Stavební rozpočet'!K209</f>
        <v>0.01275</v>
      </c>
      <c r="L28" s="122">
        <f>F28*K28</f>
        <v>0.1485375</v>
      </c>
      <c r="M28" s="123" t="s">
        <v>622</v>
      </c>
      <c r="Z28" s="124">
        <f>IF(AQ28="5",BJ28,0)</f>
        <v>0</v>
      </c>
      <c r="AB28" s="124">
        <f>IF(AQ28="1",BH28,0)</f>
        <v>0</v>
      </c>
      <c r="AC28" s="124">
        <f>IF(AQ28="1",BI28,0)</f>
        <v>0</v>
      </c>
      <c r="AD28" s="124">
        <f>IF(AQ28="7",BH28,0)</f>
        <v>0</v>
      </c>
      <c r="AE28" s="124">
        <f>IF(AQ28="7",BI28,0)</f>
        <v>0</v>
      </c>
      <c r="AF28" s="124">
        <f>IF(AQ28="2",BH28,0)</f>
        <v>0</v>
      </c>
      <c r="AG28" s="124">
        <f>IF(AQ28="2",BI28,0)</f>
        <v>0</v>
      </c>
      <c r="AH28" s="124">
        <f>IF(AQ28="0",BJ28,0)</f>
        <v>0</v>
      </c>
      <c r="AI28" s="113" t="s">
        <v>60</v>
      </c>
      <c r="AJ28" s="122">
        <f>IF(AN28=0,J28,0)</f>
        <v>0</v>
      </c>
      <c r="AK28" s="122">
        <f>IF(AN28=15,J28,0)</f>
        <v>0</v>
      </c>
      <c r="AL28" s="122">
        <f>IF(AN28=21,J28,0)</f>
        <v>0</v>
      </c>
      <c r="AN28" s="124">
        <v>15</v>
      </c>
      <c r="AO28" s="124">
        <f>G28*0.358758912665686</f>
        <v>0</v>
      </c>
      <c r="AP28" s="124">
        <f>G28*(1-0.358758912665686)</f>
        <v>0</v>
      </c>
      <c r="AQ28" s="123" t="s">
        <v>79</v>
      </c>
      <c r="AV28" s="124">
        <f>AW28+AX28</f>
        <v>0</v>
      </c>
      <c r="AW28" s="124">
        <f>F28*AO28</f>
        <v>0</v>
      </c>
      <c r="AX28" s="124">
        <f>F28*AP28</f>
        <v>0</v>
      </c>
      <c r="AY28" s="125" t="s">
        <v>633</v>
      </c>
      <c r="AZ28" s="125" t="s">
        <v>1533</v>
      </c>
      <c r="BA28" s="113" t="s">
        <v>1542</v>
      </c>
      <c r="BC28" s="124">
        <f>AW28+AX28</f>
        <v>0</v>
      </c>
      <c r="BD28" s="124">
        <f>G28/(100-BE28)*100</f>
        <v>0</v>
      </c>
      <c r="BE28" s="124">
        <v>0</v>
      </c>
      <c r="BF28" s="124">
        <f>L28</f>
        <v>0.1485375</v>
      </c>
      <c r="BH28" s="122">
        <f>F28*AO28</f>
        <v>0</v>
      </c>
      <c r="BI28" s="122">
        <f>F28*AP28</f>
        <v>0</v>
      </c>
      <c r="BJ28" s="122">
        <f>F28*G28</f>
        <v>0</v>
      </c>
    </row>
    <row r="29" spans="4:7" s="174" customFormat="1" ht="12.75">
      <c r="D29" s="79" t="s">
        <v>433</v>
      </c>
      <c r="G29" s="175"/>
    </row>
    <row r="30" spans="1:62" s="174" customFormat="1" ht="12.75">
      <c r="A30" s="121" t="s">
        <v>89</v>
      </c>
      <c r="B30" s="121" t="s">
        <v>60</v>
      </c>
      <c r="C30" s="121" t="s">
        <v>946</v>
      </c>
      <c r="D30" s="129" t="s">
        <v>1227</v>
      </c>
      <c r="E30" s="121" t="s">
        <v>608</v>
      </c>
      <c r="F30" s="122">
        <f>'Stavební rozpočet'!F210</f>
        <v>4.08</v>
      </c>
      <c r="G30" s="172"/>
      <c r="H30" s="122">
        <f>F30*AO30</f>
        <v>0</v>
      </c>
      <c r="I30" s="122">
        <f>F30*AP30</f>
        <v>0</v>
      </c>
      <c r="J30" s="122">
        <f>F30*G30</f>
        <v>0</v>
      </c>
      <c r="K30" s="122">
        <f>'Stavební rozpočet'!K210</f>
        <v>0.03416</v>
      </c>
      <c r="L30" s="122">
        <f>F30*K30</f>
        <v>0.13937280000000002</v>
      </c>
      <c r="M30" s="123" t="s">
        <v>622</v>
      </c>
      <c r="Z30" s="124">
        <f>IF(AQ30="5",BJ30,0)</f>
        <v>0</v>
      </c>
      <c r="AB30" s="124">
        <f>IF(AQ30="1",BH30,0)</f>
        <v>0</v>
      </c>
      <c r="AC30" s="124">
        <f>IF(AQ30="1",BI30,0)</f>
        <v>0</v>
      </c>
      <c r="AD30" s="124">
        <f>IF(AQ30="7",BH30,0)</f>
        <v>0</v>
      </c>
      <c r="AE30" s="124">
        <f>IF(AQ30="7",BI30,0)</f>
        <v>0</v>
      </c>
      <c r="AF30" s="124">
        <f>IF(AQ30="2",BH30,0)</f>
        <v>0</v>
      </c>
      <c r="AG30" s="124">
        <f>IF(AQ30="2",BI30,0)</f>
        <v>0</v>
      </c>
      <c r="AH30" s="124">
        <f>IF(AQ30="0",BJ30,0)</f>
        <v>0</v>
      </c>
      <c r="AI30" s="113" t="s">
        <v>60</v>
      </c>
      <c r="AJ30" s="122">
        <f>IF(AN30=0,J30,0)</f>
        <v>0</v>
      </c>
      <c r="AK30" s="122">
        <f>IF(AN30=15,J30,0)</f>
        <v>0</v>
      </c>
      <c r="AL30" s="122">
        <f>IF(AN30=21,J30,0)</f>
        <v>0</v>
      </c>
      <c r="AN30" s="124">
        <v>15</v>
      </c>
      <c r="AO30" s="124">
        <f>G30*0.466944444444444</f>
        <v>0</v>
      </c>
      <c r="AP30" s="124">
        <f>G30*(1-0.466944444444444)</f>
        <v>0</v>
      </c>
      <c r="AQ30" s="123" t="s">
        <v>79</v>
      </c>
      <c r="AV30" s="124">
        <f>AW30+AX30</f>
        <v>0</v>
      </c>
      <c r="AW30" s="124">
        <f>F30*AO30</f>
        <v>0</v>
      </c>
      <c r="AX30" s="124">
        <f>F30*AP30</f>
        <v>0</v>
      </c>
      <c r="AY30" s="125" t="s">
        <v>633</v>
      </c>
      <c r="AZ30" s="125" t="s">
        <v>1533</v>
      </c>
      <c r="BA30" s="113" t="s">
        <v>1542</v>
      </c>
      <c r="BC30" s="124">
        <f>AW30+AX30</f>
        <v>0</v>
      </c>
      <c r="BD30" s="124">
        <f>G30/(100-BE30)*100</f>
        <v>0</v>
      </c>
      <c r="BE30" s="124">
        <v>0</v>
      </c>
      <c r="BF30" s="124">
        <f>L30</f>
        <v>0.13937280000000002</v>
      </c>
      <c r="BH30" s="122">
        <f>F30*AO30</f>
        <v>0</v>
      </c>
      <c r="BI30" s="122">
        <f>F30*AP30</f>
        <v>0</v>
      </c>
      <c r="BJ30" s="122">
        <f>F30*G30</f>
        <v>0</v>
      </c>
    </row>
    <row r="31" spans="1:62" s="174" customFormat="1" ht="12.75" hidden="1">
      <c r="A31" s="121" t="s">
        <v>90</v>
      </c>
      <c r="B31" s="121" t="s">
        <v>60</v>
      </c>
      <c r="C31" s="121" t="s">
        <v>947</v>
      </c>
      <c r="D31" s="129" t="s">
        <v>1228</v>
      </c>
      <c r="E31" s="121" t="s">
        <v>608</v>
      </c>
      <c r="F31" s="122">
        <f>'Stavební rozpočet'!F211</f>
        <v>0</v>
      </c>
      <c r="G31" s="172"/>
      <c r="H31" s="122">
        <f>F31*AO31</f>
        <v>0</v>
      </c>
      <c r="I31" s="122">
        <f>F31*AP31</f>
        <v>0</v>
      </c>
      <c r="J31" s="122">
        <f>F31*G31</f>
        <v>0</v>
      </c>
      <c r="K31" s="122">
        <f>'Stavební rozpočet'!K211</f>
        <v>0.03925</v>
      </c>
      <c r="L31" s="122">
        <f>F31*K31</f>
        <v>0</v>
      </c>
      <c r="M31" s="123" t="s">
        <v>622</v>
      </c>
      <c r="Z31" s="124">
        <f>IF(AQ31="5",BJ31,0)</f>
        <v>0</v>
      </c>
      <c r="AB31" s="124">
        <f>IF(AQ31="1",BH31,0)</f>
        <v>0</v>
      </c>
      <c r="AC31" s="124">
        <f>IF(AQ31="1",BI31,0)</f>
        <v>0</v>
      </c>
      <c r="AD31" s="124">
        <f>IF(AQ31="7",BH31,0)</f>
        <v>0</v>
      </c>
      <c r="AE31" s="124">
        <f>IF(AQ31="7",BI31,0)</f>
        <v>0</v>
      </c>
      <c r="AF31" s="124">
        <f>IF(AQ31="2",BH31,0)</f>
        <v>0</v>
      </c>
      <c r="AG31" s="124">
        <f>IF(AQ31="2",BI31,0)</f>
        <v>0</v>
      </c>
      <c r="AH31" s="124">
        <f>IF(AQ31="0",BJ31,0)</f>
        <v>0</v>
      </c>
      <c r="AI31" s="113" t="s">
        <v>60</v>
      </c>
      <c r="AJ31" s="122">
        <f>IF(AN31=0,J31,0)</f>
        <v>0</v>
      </c>
      <c r="AK31" s="122">
        <f>IF(AN31=15,J31,0)</f>
        <v>0</v>
      </c>
      <c r="AL31" s="122">
        <f>IF(AN31=21,J31,0)</f>
        <v>0</v>
      </c>
      <c r="AN31" s="124">
        <v>15</v>
      </c>
      <c r="AO31" s="124">
        <f>G31*0.51812013262395</f>
        <v>0</v>
      </c>
      <c r="AP31" s="124">
        <f>G31*(1-0.51812013262395)</f>
        <v>0</v>
      </c>
      <c r="AQ31" s="123" t="s">
        <v>79</v>
      </c>
      <c r="AV31" s="124">
        <f>AW31+AX31</f>
        <v>0</v>
      </c>
      <c r="AW31" s="124">
        <f>F31*AO31</f>
        <v>0</v>
      </c>
      <c r="AX31" s="124">
        <f>F31*AP31</f>
        <v>0</v>
      </c>
      <c r="AY31" s="125" t="s">
        <v>633</v>
      </c>
      <c r="AZ31" s="125" t="s">
        <v>1533</v>
      </c>
      <c r="BA31" s="113" t="s">
        <v>1542</v>
      </c>
      <c r="BC31" s="124">
        <f>AW31+AX31</f>
        <v>0</v>
      </c>
      <c r="BD31" s="124">
        <f>G31/(100-BE31)*100</f>
        <v>0</v>
      </c>
      <c r="BE31" s="124">
        <v>0</v>
      </c>
      <c r="BF31" s="124">
        <f>L31</f>
        <v>0</v>
      </c>
      <c r="BH31" s="122">
        <f>F31*AO31</f>
        <v>0</v>
      </c>
      <c r="BI31" s="122">
        <f>F31*AP31</f>
        <v>0</v>
      </c>
      <c r="BJ31" s="122">
        <f>F31*G31</f>
        <v>0</v>
      </c>
    </row>
    <row r="32" spans="1:62" s="174" customFormat="1" ht="12.75">
      <c r="A32" s="121" t="s">
        <v>91</v>
      </c>
      <c r="B32" s="121" t="s">
        <v>60</v>
      </c>
      <c r="C32" s="121" t="s">
        <v>948</v>
      </c>
      <c r="D32" s="129" t="s">
        <v>1229</v>
      </c>
      <c r="E32" s="121" t="s">
        <v>608</v>
      </c>
      <c r="F32" s="122">
        <f>'Stavební rozpočet'!F212</f>
        <v>22.59</v>
      </c>
      <c r="G32" s="172"/>
      <c r="H32" s="122">
        <f>F32*AO32</f>
        <v>0</v>
      </c>
      <c r="I32" s="122">
        <f>F32*AP32</f>
        <v>0</v>
      </c>
      <c r="J32" s="122">
        <f>F32*G32</f>
        <v>0</v>
      </c>
      <c r="K32" s="122">
        <f>'Stavební rozpočet'!K212</f>
        <v>0.03925</v>
      </c>
      <c r="L32" s="122">
        <f>F32*K32</f>
        <v>0.8866575</v>
      </c>
      <c r="M32" s="123" t="s">
        <v>622</v>
      </c>
      <c r="Z32" s="124">
        <f>IF(AQ32="5",BJ32,0)</f>
        <v>0</v>
      </c>
      <c r="AB32" s="124">
        <f>IF(AQ32="1",BH32,0)</f>
        <v>0</v>
      </c>
      <c r="AC32" s="124">
        <f>IF(AQ32="1",BI32,0)</f>
        <v>0</v>
      </c>
      <c r="AD32" s="124">
        <f>IF(AQ32="7",BH32,0)</f>
        <v>0</v>
      </c>
      <c r="AE32" s="124">
        <f>IF(AQ32="7",BI32,0)</f>
        <v>0</v>
      </c>
      <c r="AF32" s="124">
        <f>IF(AQ32="2",BH32,0)</f>
        <v>0</v>
      </c>
      <c r="AG32" s="124">
        <f>IF(AQ32="2",BI32,0)</f>
        <v>0</v>
      </c>
      <c r="AH32" s="124">
        <f>IF(AQ32="0",BJ32,0)</f>
        <v>0</v>
      </c>
      <c r="AI32" s="113" t="s">
        <v>60</v>
      </c>
      <c r="AJ32" s="122">
        <f>IF(AN32=0,J32,0)</f>
        <v>0</v>
      </c>
      <c r="AK32" s="122">
        <f>IF(AN32=15,J32,0)</f>
        <v>0</v>
      </c>
      <c r="AL32" s="122">
        <f>IF(AN32=21,J32,0)</f>
        <v>0</v>
      </c>
      <c r="AN32" s="124">
        <v>15</v>
      </c>
      <c r="AO32" s="124">
        <f>G32*0.518122238586156</f>
        <v>0</v>
      </c>
      <c r="AP32" s="124">
        <f>G32*(1-0.518122238586156)</f>
        <v>0</v>
      </c>
      <c r="AQ32" s="123" t="s">
        <v>79</v>
      </c>
      <c r="AV32" s="124">
        <f>AW32+AX32</f>
        <v>0</v>
      </c>
      <c r="AW32" s="124">
        <f>F32*AO32</f>
        <v>0</v>
      </c>
      <c r="AX32" s="124">
        <f>F32*AP32</f>
        <v>0</v>
      </c>
      <c r="AY32" s="125" t="s">
        <v>633</v>
      </c>
      <c r="AZ32" s="125" t="s">
        <v>1533</v>
      </c>
      <c r="BA32" s="113" t="s">
        <v>1542</v>
      </c>
      <c r="BC32" s="124">
        <f>AW32+AX32</f>
        <v>0</v>
      </c>
      <c r="BD32" s="124">
        <f>G32/(100-BE32)*100</f>
        <v>0</v>
      </c>
      <c r="BE32" s="124">
        <v>0</v>
      </c>
      <c r="BF32" s="124">
        <f>L32</f>
        <v>0.8866575</v>
      </c>
      <c r="BH32" s="122">
        <f>F32*AO32</f>
        <v>0</v>
      </c>
      <c r="BI32" s="122">
        <f>F32*AP32</f>
        <v>0</v>
      </c>
      <c r="BJ32" s="122">
        <f>F32*G32</f>
        <v>0</v>
      </c>
    </row>
    <row r="33" spans="1:47" s="174" customFormat="1" ht="12.75">
      <c r="A33" s="118"/>
      <c r="B33" s="119" t="s">
        <v>60</v>
      </c>
      <c r="C33" s="119" t="s">
        <v>119</v>
      </c>
      <c r="D33" s="136" t="s">
        <v>1230</v>
      </c>
      <c r="E33" s="118" t="s">
        <v>57</v>
      </c>
      <c r="F33" s="118" t="s">
        <v>57</v>
      </c>
      <c r="G33" s="118"/>
      <c r="H33" s="120">
        <f>SUM(H34:H36)</f>
        <v>0</v>
      </c>
      <c r="I33" s="120">
        <f>SUM(I34:I36)</f>
        <v>0</v>
      </c>
      <c r="J33" s="120">
        <f>SUM(J34:J36)</f>
        <v>0</v>
      </c>
      <c r="K33" s="113"/>
      <c r="L33" s="120">
        <f>SUM(L34:L36)</f>
        <v>6.590085</v>
      </c>
      <c r="M33" s="113"/>
      <c r="AI33" s="113" t="s">
        <v>60</v>
      </c>
      <c r="AS33" s="120">
        <f>SUM(AJ34:AJ36)</f>
        <v>0</v>
      </c>
      <c r="AT33" s="120">
        <f>SUM(AK34:AK36)</f>
        <v>0</v>
      </c>
      <c r="AU33" s="120">
        <f>SUM(AL34:AL36)</f>
        <v>0</v>
      </c>
    </row>
    <row r="34" spans="1:62" s="174" customFormat="1" ht="12.75">
      <c r="A34" s="121" t="s">
        <v>92</v>
      </c>
      <c r="B34" s="121" t="s">
        <v>60</v>
      </c>
      <c r="C34" s="121" t="s">
        <v>949</v>
      </c>
      <c r="D34" s="129" t="s">
        <v>1231</v>
      </c>
      <c r="E34" s="121" t="s">
        <v>608</v>
      </c>
      <c r="F34" s="122">
        <f>'Stavební rozpočet'!F214</f>
        <v>38.76</v>
      </c>
      <c r="G34" s="172"/>
      <c r="H34" s="122">
        <f>F34*AO34</f>
        <v>0</v>
      </c>
      <c r="I34" s="122">
        <f>F34*AP34</f>
        <v>0</v>
      </c>
      <c r="J34" s="122">
        <f>F34*G34</f>
        <v>0</v>
      </c>
      <c r="K34" s="122">
        <f>'Stavební rozpočet'!K214</f>
        <v>0.07</v>
      </c>
      <c r="L34" s="122">
        <f>F34*K34</f>
        <v>2.7132</v>
      </c>
      <c r="M34" s="123" t="s">
        <v>622</v>
      </c>
      <c r="Z34" s="124">
        <f>IF(AQ34="5",BJ34,0)</f>
        <v>0</v>
      </c>
      <c r="AB34" s="124">
        <f>IF(AQ34="1",BH34,0)</f>
        <v>0</v>
      </c>
      <c r="AC34" s="124">
        <f>IF(AQ34="1",BI34,0)</f>
        <v>0</v>
      </c>
      <c r="AD34" s="124">
        <f>IF(AQ34="7",BH34,0)</f>
        <v>0</v>
      </c>
      <c r="AE34" s="124">
        <f>IF(AQ34="7",BI34,0)</f>
        <v>0</v>
      </c>
      <c r="AF34" s="124">
        <f>IF(AQ34="2",BH34,0)</f>
        <v>0</v>
      </c>
      <c r="AG34" s="124">
        <f>IF(AQ34="2",BI34,0)</f>
        <v>0</v>
      </c>
      <c r="AH34" s="124">
        <f>IF(AQ34="0",BJ34,0)</f>
        <v>0</v>
      </c>
      <c r="AI34" s="113" t="s">
        <v>60</v>
      </c>
      <c r="AJ34" s="122">
        <f>IF(AN34=0,J34,0)</f>
        <v>0</v>
      </c>
      <c r="AK34" s="122">
        <f>IF(AN34=15,J34,0)</f>
        <v>0</v>
      </c>
      <c r="AL34" s="122">
        <f>IF(AN34=21,J34,0)</f>
        <v>0</v>
      </c>
      <c r="AN34" s="124">
        <v>15</v>
      </c>
      <c r="AO34" s="124">
        <f>G34*0.731594613749114</f>
        <v>0</v>
      </c>
      <c r="AP34" s="124">
        <f>G34*(1-0.731594613749114)</f>
        <v>0</v>
      </c>
      <c r="AQ34" s="123" t="s">
        <v>79</v>
      </c>
      <c r="AV34" s="124">
        <f>AW34+AX34</f>
        <v>0</v>
      </c>
      <c r="AW34" s="124">
        <f>F34*AO34</f>
        <v>0</v>
      </c>
      <c r="AX34" s="124">
        <f>F34*AP34</f>
        <v>0</v>
      </c>
      <c r="AY34" s="125" t="s">
        <v>1528</v>
      </c>
      <c r="AZ34" s="125" t="s">
        <v>1534</v>
      </c>
      <c r="BA34" s="113" t="s">
        <v>1542</v>
      </c>
      <c r="BC34" s="124">
        <f>AW34+AX34</f>
        <v>0</v>
      </c>
      <c r="BD34" s="124">
        <f>G34/(100-BE34)*100</f>
        <v>0</v>
      </c>
      <c r="BE34" s="124">
        <v>0</v>
      </c>
      <c r="BF34" s="124">
        <f>L34</f>
        <v>2.7132</v>
      </c>
      <c r="BH34" s="122">
        <f>F34*AO34</f>
        <v>0</v>
      </c>
      <c r="BI34" s="122">
        <f>F34*AP34</f>
        <v>0</v>
      </c>
      <c r="BJ34" s="122">
        <f>F34*G34</f>
        <v>0</v>
      </c>
    </row>
    <row r="35" spans="4:7" s="174" customFormat="1" ht="12.75">
      <c r="D35" s="79" t="s">
        <v>1232</v>
      </c>
      <c r="G35" s="175"/>
    </row>
    <row r="36" spans="1:62" s="174" customFormat="1" ht="12.75">
      <c r="A36" s="121" t="s">
        <v>93</v>
      </c>
      <c r="B36" s="121" t="s">
        <v>60</v>
      </c>
      <c r="C36" s="121" t="s">
        <v>950</v>
      </c>
      <c r="D36" s="129" t="s">
        <v>1233</v>
      </c>
      <c r="E36" s="121" t="s">
        <v>608</v>
      </c>
      <c r="F36" s="122">
        <f>'Stavební rozpočet'!F215</f>
        <v>151.5</v>
      </c>
      <c r="G36" s="172"/>
      <c r="H36" s="122">
        <f>F36*AO36</f>
        <v>0</v>
      </c>
      <c r="I36" s="122">
        <f>F36*AP36</f>
        <v>0</v>
      </c>
      <c r="J36" s="122">
        <f>F36*G36</f>
        <v>0</v>
      </c>
      <c r="K36" s="122">
        <f>'Stavební rozpočet'!K215</f>
        <v>0.02559</v>
      </c>
      <c r="L36" s="122">
        <f>F36*K36</f>
        <v>3.876885</v>
      </c>
      <c r="M36" s="123" t="s">
        <v>622</v>
      </c>
      <c r="Z36" s="124">
        <f>IF(AQ36="5",BJ36,0)</f>
        <v>0</v>
      </c>
      <c r="AB36" s="124">
        <f>IF(AQ36="1",BH36,0)</f>
        <v>0</v>
      </c>
      <c r="AC36" s="124">
        <f>IF(AQ36="1",BI36,0)</f>
        <v>0</v>
      </c>
      <c r="AD36" s="124">
        <f>IF(AQ36="7",BH36,0)</f>
        <v>0</v>
      </c>
      <c r="AE36" s="124">
        <f>IF(AQ36="7",BI36,0)</f>
        <v>0</v>
      </c>
      <c r="AF36" s="124">
        <f>IF(AQ36="2",BH36,0)</f>
        <v>0</v>
      </c>
      <c r="AG36" s="124">
        <f>IF(AQ36="2",BI36,0)</f>
        <v>0</v>
      </c>
      <c r="AH36" s="124">
        <f>IF(AQ36="0",BJ36,0)</f>
        <v>0</v>
      </c>
      <c r="AI36" s="113" t="s">
        <v>60</v>
      </c>
      <c r="AJ36" s="122">
        <f>IF(AN36=0,J36,0)</f>
        <v>0</v>
      </c>
      <c r="AK36" s="122">
        <f>IF(AN36=15,J36,0)</f>
        <v>0</v>
      </c>
      <c r="AL36" s="122">
        <f>IF(AN36=21,J36,0)</f>
        <v>0</v>
      </c>
      <c r="AN36" s="124">
        <v>15</v>
      </c>
      <c r="AO36" s="124">
        <f>G36*0.785892448512586</f>
        <v>0</v>
      </c>
      <c r="AP36" s="124">
        <f>G36*(1-0.785892448512586)</f>
        <v>0</v>
      </c>
      <c r="AQ36" s="123" t="s">
        <v>79</v>
      </c>
      <c r="AV36" s="124">
        <f>AW36+AX36</f>
        <v>0</v>
      </c>
      <c r="AW36" s="124">
        <f>F36*AO36</f>
        <v>0</v>
      </c>
      <c r="AX36" s="124">
        <f>F36*AP36</f>
        <v>0</v>
      </c>
      <c r="AY36" s="125" t="s">
        <v>1528</v>
      </c>
      <c r="AZ36" s="125" t="s">
        <v>1534</v>
      </c>
      <c r="BA36" s="113" t="s">
        <v>1542</v>
      </c>
      <c r="BC36" s="124">
        <f>AW36+AX36</f>
        <v>0</v>
      </c>
      <c r="BD36" s="124">
        <f>G36/(100-BE36)*100</f>
        <v>0</v>
      </c>
      <c r="BE36" s="124">
        <v>0</v>
      </c>
      <c r="BF36" s="124">
        <f>L36</f>
        <v>3.876885</v>
      </c>
      <c r="BH36" s="122">
        <f>F36*AO36</f>
        <v>0</v>
      </c>
      <c r="BI36" s="122">
        <f>F36*AP36</f>
        <v>0</v>
      </c>
      <c r="BJ36" s="122">
        <f>F36*G36</f>
        <v>0</v>
      </c>
    </row>
    <row r="37" spans="4:7" s="174" customFormat="1" ht="12.75">
      <c r="D37" s="79" t="s">
        <v>1232</v>
      </c>
      <c r="G37" s="175"/>
    </row>
    <row r="38" spans="1:47" s="174" customFormat="1" ht="12.75">
      <c r="A38" s="118"/>
      <c r="B38" s="119" t="s">
        <v>60</v>
      </c>
      <c r="C38" s="119" t="s">
        <v>139</v>
      </c>
      <c r="D38" s="136" t="s">
        <v>434</v>
      </c>
      <c r="E38" s="118" t="s">
        <v>57</v>
      </c>
      <c r="F38" s="118" t="s">
        <v>57</v>
      </c>
      <c r="G38" s="118"/>
      <c r="H38" s="120">
        <f>SUM(H39:H51)</f>
        <v>0</v>
      </c>
      <c r="I38" s="120">
        <f>SUM(I39:I51)</f>
        <v>0</v>
      </c>
      <c r="J38" s="120">
        <f>SUM(J39:J51)</f>
        <v>0</v>
      </c>
      <c r="K38" s="113"/>
      <c r="L38" s="120">
        <f>SUM(L39:L51)</f>
        <v>24.439868500000003</v>
      </c>
      <c r="M38" s="113"/>
      <c r="AI38" s="113" t="s">
        <v>60</v>
      </c>
      <c r="AS38" s="120">
        <f>SUM(AJ39:AJ51)</f>
        <v>0</v>
      </c>
      <c r="AT38" s="120">
        <f>SUM(AK39:AK51)</f>
        <v>0</v>
      </c>
      <c r="AU38" s="120">
        <f>SUM(AL39:AL51)</f>
        <v>0</v>
      </c>
    </row>
    <row r="39" spans="1:62" s="174" customFormat="1" ht="12.75">
      <c r="A39" s="121" t="s">
        <v>94</v>
      </c>
      <c r="B39" s="121" t="s">
        <v>60</v>
      </c>
      <c r="C39" s="121" t="s">
        <v>254</v>
      </c>
      <c r="D39" s="129" t="s">
        <v>435</v>
      </c>
      <c r="E39" s="121" t="s">
        <v>608</v>
      </c>
      <c r="F39" s="122">
        <f>'Stavební rozpočet'!F217</f>
        <v>12.65</v>
      </c>
      <c r="G39" s="172"/>
      <c r="H39" s="122">
        <f>F39*AO39</f>
        <v>0</v>
      </c>
      <c r="I39" s="122">
        <f>F39*AP39</f>
        <v>0</v>
      </c>
      <c r="J39" s="122">
        <f>F39*G39</f>
        <v>0</v>
      </c>
      <c r="K39" s="122">
        <f>'Stavební rozpočet'!K217</f>
        <v>0.0192</v>
      </c>
      <c r="L39" s="122">
        <f>F39*K39</f>
        <v>0.24287999999999998</v>
      </c>
      <c r="M39" s="123" t="s">
        <v>622</v>
      </c>
      <c r="Z39" s="124">
        <f>IF(AQ39="5",BJ39,0)</f>
        <v>0</v>
      </c>
      <c r="AB39" s="124">
        <f>IF(AQ39="1",BH39,0)</f>
        <v>0</v>
      </c>
      <c r="AC39" s="124">
        <f>IF(AQ39="1",BI39,0)</f>
        <v>0</v>
      </c>
      <c r="AD39" s="124">
        <f>IF(AQ39="7",BH39,0)</f>
        <v>0</v>
      </c>
      <c r="AE39" s="124">
        <f>IF(AQ39="7",BI39,0)</f>
        <v>0</v>
      </c>
      <c r="AF39" s="124">
        <f>IF(AQ39="2",BH39,0)</f>
        <v>0</v>
      </c>
      <c r="AG39" s="124">
        <f>IF(AQ39="2",BI39,0)</f>
        <v>0</v>
      </c>
      <c r="AH39" s="124">
        <f>IF(AQ39="0",BJ39,0)</f>
        <v>0</v>
      </c>
      <c r="AI39" s="113" t="s">
        <v>60</v>
      </c>
      <c r="AJ39" s="122">
        <f>IF(AN39=0,J39,0)</f>
        <v>0</v>
      </c>
      <c r="AK39" s="122">
        <f>IF(AN39=15,J39,0)</f>
        <v>0</v>
      </c>
      <c r="AL39" s="122">
        <f>IF(AN39=21,J39,0)</f>
        <v>0</v>
      </c>
      <c r="AN39" s="124">
        <v>15</v>
      </c>
      <c r="AO39" s="124">
        <f>G39*0.230757790368272</f>
        <v>0</v>
      </c>
      <c r="AP39" s="124">
        <f>G39*(1-0.230757790368272)</f>
        <v>0</v>
      </c>
      <c r="AQ39" s="123" t="s">
        <v>79</v>
      </c>
      <c r="AV39" s="124">
        <f>AW39+AX39</f>
        <v>0</v>
      </c>
      <c r="AW39" s="124">
        <f>F39*AO39</f>
        <v>0</v>
      </c>
      <c r="AX39" s="124">
        <f>F39*AP39</f>
        <v>0</v>
      </c>
      <c r="AY39" s="125" t="s">
        <v>634</v>
      </c>
      <c r="AZ39" s="125" t="s">
        <v>1535</v>
      </c>
      <c r="BA39" s="113" t="s">
        <v>1542</v>
      </c>
      <c r="BC39" s="124">
        <f>AW39+AX39</f>
        <v>0</v>
      </c>
      <c r="BD39" s="124">
        <f>G39/(100-BE39)*100</f>
        <v>0</v>
      </c>
      <c r="BE39" s="124">
        <v>0</v>
      </c>
      <c r="BF39" s="124">
        <f>L39</f>
        <v>0.24287999999999998</v>
      </c>
      <c r="BH39" s="122">
        <f>F39*AO39</f>
        <v>0</v>
      </c>
      <c r="BI39" s="122">
        <f>F39*AP39</f>
        <v>0</v>
      </c>
      <c r="BJ39" s="122">
        <f>F39*G39</f>
        <v>0</v>
      </c>
    </row>
    <row r="40" spans="4:7" s="174" customFormat="1" ht="12.75">
      <c r="D40" s="79" t="s">
        <v>436</v>
      </c>
      <c r="G40" s="175"/>
    </row>
    <row r="41" spans="1:62" s="174" customFormat="1" ht="12.75">
      <c r="A41" s="121" t="s">
        <v>95</v>
      </c>
      <c r="B41" s="121" t="s">
        <v>60</v>
      </c>
      <c r="C41" s="121" t="s">
        <v>255</v>
      </c>
      <c r="D41" s="129" t="s">
        <v>437</v>
      </c>
      <c r="E41" s="121" t="s">
        <v>609</v>
      </c>
      <c r="F41" s="122">
        <f>'Stavební rozpočet'!F218</f>
        <v>145.42</v>
      </c>
      <c r="G41" s="172"/>
      <c r="H41" s="122">
        <f>F41*AO41</f>
        <v>0</v>
      </c>
      <c r="I41" s="122">
        <f>F41*AP41</f>
        <v>0</v>
      </c>
      <c r="J41" s="122">
        <f>F41*G41</f>
        <v>0</v>
      </c>
      <c r="K41" s="122">
        <f>'Stavební rozpočet'!K218</f>
        <v>0.00238</v>
      </c>
      <c r="L41" s="122">
        <f>F41*K41</f>
        <v>0.3460996</v>
      </c>
      <c r="M41" s="123" t="s">
        <v>622</v>
      </c>
      <c r="Z41" s="124">
        <f>IF(AQ41="5",BJ41,0)</f>
        <v>0</v>
      </c>
      <c r="AB41" s="124">
        <f>IF(AQ41="1",BH41,0)</f>
        <v>0</v>
      </c>
      <c r="AC41" s="124">
        <f>IF(AQ41="1",BI41,0)</f>
        <v>0</v>
      </c>
      <c r="AD41" s="124">
        <f>IF(AQ41="7",BH41,0)</f>
        <v>0</v>
      </c>
      <c r="AE41" s="124">
        <f>IF(AQ41="7",BI41,0)</f>
        <v>0</v>
      </c>
      <c r="AF41" s="124">
        <f>IF(AQ41="2",BH41,0)</f>
        <v>0</v>
      </c>
      <c r="AG41" s="124">
        <f>IF(AQ41="2",BI41,0)</f>
        <v>0</v>
      </c>
      <c r="AH41" s="124">
        <f>IF(AQ41="0",BJ41,0)</f>
        <v>0</v>
      </c>
      <c r="AI41" s="113" t="s">
        <v>60</v>
      </c>
      <c r="AJ41" s="122">
        <f>IF(AN41=0,J41,0)</f>
        <v>0</v>
      </c>
      <c r="AK41" s="122">
        <f>IF(AN41=15,J41,0)</f>
        <v>0</v>
      </c>
      <c r="AL41" s="122">
        <f>IF(AN41=21,J41,0)</f>
        <v>0</v>
      </c>
      <c r="AN41" s="124">
        <v>15</v>
      </c>
      <c r="AO41" s="124">
        <f>G41*0.110518101098427</f>
        <v>0</v>
      </c>
      <c r="AP41" s="124">
        <f>G41*(1-0.110518101098427)</f>
        <v>0</v>
      </c>
      <c r="AQ41" s="123" t="s">
        <v>79</v>
      </c>
      <c r="AV41" s="124">
        <f>AW41+AX41</f>
        <v>0</v>
      </c>
      <c r="AW41" s="124">
        <f>F41*AO41</f>
        <v>0</v>
      </c>
      <c r="AX41" s="124">
        <f>F41*AP41</f>
        <v>0</v>
      </c>
      <c r="AY41" s="125" t="s">
        <v>634</v>
      </c>
      <c r="AZ41" s="125" t="s">
        <v>1535</v>
      </c>
      <c r="BA41" s="113" t="s">
        <v>1542</v>
      </c>
      <c r="BC41" s="124">
        <f>AW41+AX41</f>
        <v>0</v>
      </c>
      <c r="BD41" s="124">
        <f>G41/(100-BE41)*100</f>
        <v>0</v>
      </c>
      <c r="BE41" s="124">
        <v>0</v>
      </c>
      <c r="BF41" s="124">
        <f>L41</f>
        <v>0.3460996</v>
      </c>
      <c r="BH41" s="122">
        <f>F41*AO41</f>
        <v>0</v>
      </c>
      <c r="BI41" s="122">
        <f>F41*AP41</f>
        <v>0</v>
      </c>
      <c r="BJ41" s="122">
        <f>F41*G41</f>
        <v>0</v>
      </c>
    </row>
    <row r="42" spans="4:7" s="174" customFormat="1" ht="12.75">
      <c r="D42" s="79" t="s">
        <v>438</v>
      </c>
      <c r="G42" s="175"/>
    </row>
    <row r="43" spans="1:62" s="174" customFormat="1" ht="12.75">
      <c r="A43" s="121" t="s">
        <v>96</v>
      </c>
      <c r="B43" s="121" t="s">
        <v>60</v>
      </c>
      <c r="C43" s="121" t="s">
        <v>256</v>
      </c>
      <c r="D43" s="129" t="s">
        <v>439</v>
      </c>
      <c r="E43" s="121" t="s">
        <v>608</v>
      </c>
      <c r="F43" s="122">
        <f>'Stavební rozpočet'!F219</f>
        <v>193.72</v>
      </c>
      <c r="G43" s="172"/>
      <c r="H43" s="122">
        <f>F43*AO43</f>
        <v>0</v>
      </c>
      <c r="I43" s="122">
        <f>F43*AP43</f>
        <v>0</v>
      </c>
      <c r="J43" s="122">
        <f>F43*G43</f>
        <v>0</v>
      </c>
      <c r="K43" s="122">
        <f>'Stavební rozpočet'!K219</f>
        <v>0.01554</v>
      </c>
      <c r="L43" s="122">
        <f>F43*K43</f>
        <v>3.0104088</v>
      </c>
      <c r="M43" s="123" t="s">
        <v>622</v>
      </c>
      <c r="Z43" s="124">
        <f>IF(AQ43="5",BJ43,0)</f>
        <v>0</v>
      </c>
      <c r="AB43" s="124">
        <f>IF(AQ43="1",BH43,0)</f>
        <v>0</v>
      </c>
      <c r="AC43" s="124">
        <f>IF(AQ43="1",BI43,0)</f>
        <v>0</v>
      </c>
      <c r="AD43" s="124">
        <f>IF(AQ43="7",BH43,0)</f>
        <v>0</v>
      </c>
      <c r="AE43" s="124">
        <f>IF(AQ43="7",BI43,0)</f>
        <v>0</v>
      </c>
      <c r="AF43" s="124">
        <f>IF(AQ43="2",BH43,0)</f>
        <v>0</v>
      </c>
      <c r="AG43" s="124">
        <f>IF(AQ43="2",BI43,0)</f>
        <v>0</v>
      </c>
      <c r="AH43" s="124">
        <f>IF(AQ43="0",BJ43,0)</f>
        <v>0</v>
      </c>
      <c r="AI43" s="113" t="s">
        <v>60</v>
      </c>
      <c r="AJ43" s="122">
        <f>IF(AN43=0,J43,0)</f>
        <v>0</v>
      </c>
      <c r="AK43" s="122">
        <f>IF(AN43=15,J43,0)</f>
        <v>0</v>
      </c>
      <c r="AL43" s="122">
        <f>IF(AN43=21,J43,0)</f>
        <v>0</v>
      </c>
      <c r="AN43" s="124">
        <v>15</v>
      </c>
      <c r="AO43" s="124">
        <f>G43*0.272799310709713</f>
        <v>0</v>
      </c>
      <c r="AP43" s="124">
        <f>G43*(1-0.272799310709713)</f>
        <v>0</v>
      </c>
      <c r="AQ43" s="123" t="s">
        <v>79</v>
      </c>
      <c r="AV43" s="124">
        <f>AW43+AX43</f>
        <v>0</v>
      </c>
      <c r="AW43" s="124">
        <f>F43*AO43</f>
        <v>0</v>
      </c>
      <c r="AX43" s="124">
        <f>F43*AP43</f>
        <v>0</v>
      </c>
      <c r="AY43" s="125" t="s">
        <v>634</v>
      </c>
      <c r="AZ43" s="125" t="s">
        <v>1535</v>
      </c>
      <c r="BA43" s="113" t="s">
        <v>1542</v>
      </c>
      <c r="BC43" s="124">
        <f>AW43+AX43</f>
        <v>0</v>
      </c>
      <c r="BD43" s="124">
        <f>G43/(100-BE43)*100</f>
        <v>0</v>
      </c>
      <c r="BE43" s="124">
        <v>0</v>
      </c>
      <c r="BF43" s="124">
        <f>L43</f>
        <v>3.0104088</v>
      </c>
      <c r="BH43" s="122">
        <f>F43*AO43</f>
        <v>0</v>
      </c>
      <c r="BI43" s="122">
        <f>F43*AP43</f>
        <v>0</v>
      </c>
      <c r="BJ43" s="122">
        <f>F43*G43</f>
        <v>0</v>
      </c>
    </row>
    <row r="44" spans="1:62" s="174" customFormat="1" ht="12.75">
      <c r="A44" s="121" t="s">
        <v>97</v>
      </c>
      <c r="B44" s="121" t="s">
        <v>60</v>
      </c>
      <c r="C44" s="121" t="s">
        <v>257</v>
      </c>
      <c r="D44" s="129" t="s">
        <v>440</v>
      </c>
      <c r="E44" s="121" t="s">
        <v>608</v>
      </c>
      <c r="F44" s="122">
        <f>'Stavební rozpočet'!F220</f>
        <v>193.72</v>
      </c>
      <c r="G44" s="172"/>
      <c r="H44" s="122">
        <f>F44*AO44</f>
        <v>0</v>
      </c>
      <c r="I44" s="122">
        <f>F44*AP44</f>
        <v>0</v>
      </c>
      <c r="J44" s="122">
        <f>F44*G44</f>
        <v>0</v>
      </c>
      <c r="K44" s="122">
        <f>'Stavební rozpočet'!K220</f>
        <v>0.06002</v>
      </c>
      <c r="L44" s="122">
        <f>F44*K44</f>
        <v>11.6270744</v>
      </c>
      <c r="M44" s="123" t="s">
        <v>622</v>
      </c>
      <c r="Z44" s="124">
        <f>IF(AQ44="5",BJ44,0)</f>
        <v>0</v>
      </c>
      <c r="AB44" s="124">
        <f>IF(AQ44="1",BH44,0)</f>
        <v>0</v>
      </c>
      <c r="AC44" s="124">
        <f>IF(AQ44="1",BI44,0)</f>
        <v>0</v>
      </c>
      <c r="AD44" s="124">
        <f>IF(AQ44="7",BH44,0)</f>
        <v>0</v>
      </c>
      <c r="AE44" s="124">
        <f>IF(AQ44="7",BI44,0)</f>
        <v>0</v>
      </c>
      <c r="AF44" s="124">
        <f>IF(AQ44="2",BH44,0)</f>
        <v>0</v>
      </c>
      <c r="AG44" s="124">
        <f>IF(AQ44="2",BI44,0)</f>
        <v>0</v>
      </c>
      <c r="AH44" s="124">
        <f>IF(AQ44="0",BJ44,0)</f>
        <v>0</v>
      </c>
      <c r="AI44" s="113" t="s">
        <v>60</v>
      </c>
      <c r="AJ44" s="122">
        <f>IF(AN44=0,J44,0)</f>
        <v>0</v>
      </c>
      <c r="AK44" s="122">
        <f>IF(AN44=15,J44,0)</f>
        <v>0</v>
      </c>
      <c r="AL44" s="122">
        <f>IF(AN44=21,J44,0)</f>
        <v>0</v>
      </c>
      <c r="AN44" s="124">
        <v>15</v>
      </c>
      <c r="AO44" s="124">
        <f>G44*0.157507125986478</f>
        <v>0</v>
      </c>
      <c r="AP44" s="124">
        <f>G44*(1-0.157507125986478)</f>
        <v>0</v>
      </c>
      <c r="AQ44" s="123" t="s">
        <v>79</v>
      </c>
      <c r="AV44" s="124">
        <f>AW44+AX44</f>
        <v>0</v>
      </c>
      <c r="AW44" s="124">
        <f>F44*AO44</f>
        <v>0</v>
      </c>
      <c r="AX44" s="124">
        <f>F44*AP44</f>
        <v>0</v>
      </c>
      <c r="AY44" s="125" t="s">
        <v>634</v>
      </c>
      <c r="AZ44" s="125" t="s">
        <v>1535</v>
      </c>
      <c r="BA44" s="113" t="s">
        <v>1542</v>
      </c>
      <c r="BC44" s="124">
        <f>AW44+AX44</f>
        <v>0</v>
      </c>
      <c r="BD44" s="124">
        <f>G44/(100-BE44)*100</f>
        <v>0</v>
      </c>
      <c r="BE44" s="124">
        <v>0</v>
      </c>
      <c r="BF44" s="124">
        <f>L44</f>
        <v>11.6270744</v>
      </c>
      <c r="BH44" s="122">
        <f>F44*AO44</f>
        <v>0</v>
      </c>
      <c r="BI44" s="122">
        <f>F44*AP44</f>
        <v>0</v>
      </c>
      <c r="BJ44" s="122">
        <f>F44*G44</f>
        <v>0</v>
      </c>
    </row>
    <row r="45" spans="4:7" s="174" customFormat="1" ht="12.75">
      <c r="D45" s="79" t="s">
        <v>441</v>
      </c>
      <c r="G45" s="175"/>
    </row>
    <row r="46" spans="1:62" s="174" customFormat="1" ht="12.75">
      <c r="A46" s="121" t="s">
        <v>98</v>
      </c>
      <c r="B46" s="121" t="s">
        <v>60</v>
      </c>
      <c r="C46" s="121" t="s">
        <v>258</v>
      </c>
      <c r="D46" s="129" t="s">
        <v>442</v>
      </c>
      <c r="E46" s="121" t="s">
        <v>608</v>
      </c>
      <c r="F46" s="122">
        <f>'Stavební rozpočet'!F221</f>
        <v>212.19</v>
      </c>
      <c r="G46" s="172"/>
      <c r="H46" s="122">
        <f>F46*AO46</f>
        <v>0</v>
      </c>
      <c r="I46" s="122">
        <f>F46*AP46</f>
        <v>0</v>
      </c>
      <c r="J46" s="122">
        <f>F46*G46</f>
        <v>0</v>
      </c>
      <c r="K46" s="122">
        <f>'Stavební rozpočet'!K221</f>
        <v>0.01119</v>
      </c>
      <c r="L46" s="122">
        <f>F46*K46</f>
        <v>2.3744061</v>
      </c>
      <c r="M46" s="123" t="s">
        <v>622</v>
      </c>
      <c r="Z46" s="124">
        <f>IF(AQ46="5",BJ46,0)</f>
        <v>0</v>
      </c>
      <c r="AB46" s="124">
        <f>IF(AQ46="1",BH46,0)</f>
        <v>0</v>
      </c>
      <c r="AC46" s="124">
        <f>IF(AQ46="1",BI46,0)</f>
        <v>0</v>
      </c>
      <c r="AD46" s="124">
        <f>IF(AQ46="7",BH46,0)</f>
        <v>0</v>
      </c>
      <c r="AE46" s="124">
        <f>IF(AQ46="7",BI46,0)</f>
        <v>0</v>
      </c>
      <c r="AF46" s="124">
        <f>IF(AQ46="2",BH46,0)</f>
        <v>0</v>
      </c>
      <c r="AG46" s="124">
        <f>IF(AQ46="2",BI46,0)</f>
        <v>0</v>
      </c>
      <c r="AH46" s="124">
        <f>IF(AQ46="0",BJ46,0)</f>
        <v>0</v>
      </c>
      <c r="AI46" s="113" t="s">
        <v>60</v>
      </c>
      <c r="AJ46" s="122">
        <f>IF(AN46=0,J46,0)</f>
        <v>0</v>
      </c>
      <c r="AK46" s="122">
        <f>IF(AN46=15,J46,0)</f>
        <v>0</v>
      </c>
      <c r="AL46" s="122">
        <f>IF(AN46=21,J46,0)</f>
        <v>0</v>
      </c>
      <c r="AN46" s="124">
        <v>15</v>
      </c>
      <c r="AO46" s="124">
        <f>G46*0.206189594346569</f>
        <v>0</v>
      </c>
      <c r="AP46" s="124">
        <f>G46*(1-0.206189594346569)</f>
        <v>0</v>
      </c>
      <c r="AQ46" s="123" t="s">
        <v>79</v>
      </c>
      <c r="AV46" s="124">
        <f>AW46+AX46</f>
        <v>0</v>
      </c>
      <c r="AW46" s="124">
        <f>F46*AO46</f>
        <v>0</v>
      </c>
      <c r="AX46" s="124">
        <f>F46*AP46</f>
        <v>0</v>
      </c>
      <c r="AY46" s="125" t="s">
        <v>634</v>
      </c>
      <c r="AZ46" s="125" t="s">
        <v>1535</v>
      </c>
      <c r="BA46" s="113" t="s">
        <v>1542</v>
      </c>
      <c r="BC46" s="124">
        <f>AW46+AX46</f>
        <v>0</v>
      </c>
      <c r="BD46" s="124">
        <f>G46/(100-BE46)*100</f>
        <v>0</v>
      </c>
      <c r="BE46" s="124">
        <v>0</v>
      </c>
      <c r="BF46" s="124">
        <f>L46</f>
        <v>2.3744061</v>
      </c>
      <c r="BH46" s="122">
        <f>F46*AO46</f>
        <v>0</v>
      </c>
      <c r="BI46" s="122">
        <f>F46*AP46</f>
        <v>0</v>
      </c>
      <c r="BJ46" s="122">
        <f>F46*G46</f>
        <v>0</v>
      </c>
    </row>
    <row r="47" spans="1:62" s="174" customFormat="1" ht="12.75">
      <c r="A47" s="121" t="s">
        <v>99</v>
      </c>
      <c r="B47" s="121" t="s">
        <v>60</v>
      </c>
      <c r="C47" s="121" t="s">
        <v>259</v>
      </c>
      <c r="D47" s="129" t="s">
        <v>443</v>
      </c>
      <c r="E47" s="121" t="s">
        <v>608</v>
      </c>
      <c r="F47" s="122">
        <f>'Stavební rozpočet'!F222</f>
        <v>212.19</v>
      </c>
      <c r="G47" s="172"/>
      <c r="H47" s="122">
        <f>F47*AO47</f>
        <v>0</v>
      </c>
      <c r="I47" s="122">
        <f>F47*AP47</f>
        <v>0</v>
      </c>
      <c r="J47" s="122">
        <f>F47*G47</f>
        <v>0</v>
      </c>
      <c r="K47" s="122">
        <f>'Stavební rozpočet'!K222</f>
        <v>0.02888</v>
      </c>
      <c r="L47" s="122">
        <f>F47*K47</f>
        <v>6.1280472</v>
      </c>
      <c r="M47" s="123" t="s">
        <v>622</v>
      </c>
      <c r="Z47" s="124">
        <f>IF(AQ47="5",BJ47,0)</f>
        <v>0</v>
      </c>
      <c r="AB47" s="124">
        <f>IF(AQ47="1",BH47,0)</f>
        <v>0</v>
      </c>
      <c r="AC47" s="124">
        <f>IF(AQ47="1",BI47,0)</f>
        <v>0</v>
      </c>
      <c r="AD47" s="124">
        <f>IF(AQ47="7",BH47,0)</f>
        <v>0</v>
      </c>
      <c r="AE47" s="124">
        <f>IF(AQ47="7",BI47,0)</f>
        <v>0</v>
      </c>
      <c r="AF47" s="124">
        <f>IF(AQ47="2",BH47,0)</f>
        <v>0</v>
      </c>
      <c r="AG47" s="124">
        <f>IF(AQ47="2",BI47,0)</f>
        <v>0</v>
      </c>
      <c r="AH47" s="124">
        <f>IF(AQ47="0",BJ47,0)</f>
        <v>0</v>
      </c>
      <c r="AI47" s="113" t="s">
        <v>60</v>
      </c>
      <c r="AJ47" s="122">
        <f>IF(AN47=0,J47,0)</f>
        <v>0</v>
      </c>
      <c r="AK47" s="122">
        <f>IF(AN47=15,J47,0)</f>
        <v>0</v>
      </c>
      <c r="AL47" s="122">
        <f>IF(AN47=21,J47,0)</f>
        <v>0</v>
      </c>
      <c r="AN47" s="124">
        <v>15</v>
      </c>
      <c r="AO47" s="124">
        <f>G47*0.324471674648514</f>
        <v>0</v>
      </c>
      <c r="AP47" s="124">
        <f>G47*(1-0.324471674648514)</f>
        <v>0</v>
      </c>
      <c r="AQ47" s="123" t="s">
        <v>79</v>
      </c>
      <c r="AV47" s="124">
        <f>AW47+AX47</f>
        <v>0</v>
      </c>
      <c r="AW47" s="124">
        <f>F47*AO47</f>
        <v>0</v>
      </c>
      <c r="AX47" s="124">
        <f>F47*AP47</f>
        <v>0</v>
      </c>
      <c r="AY47" s="125" t="s">
        <v>634</v>
      </c>
      <c r="AZ47" s="125" t="s">
        <v>1535</v>
      </c>
      <c r="BA47" s="113" t="s">
        <v>1542</v>
      </c>
      <c r="BC47" s="124">
        <f>AW47+AX47</f>
        <v>0</v>
      </c>
      <c r="BD47" s="124">
        <f>G47/(100-BE47)*100</f>
        <v>0</v>
      </c>
      <c r="BE47" s="124">
        <v>0</v>
      </c>
      <c r="BF47" s="124">
        <f>L47</f>
        <v>6.1280472</v>
      </c>
      <c r="BH47" s="122">
        <f>F47*AO47</f>
        <v>0</v>
      </c>
      <c r="BI47" s="122">
        <f>F47*AP47</f>
        <v>0</v>
      </c>
      <c r="BJ47" s="122">
        <f>F47*G47</f>
        <v>0</v>
      </c>
    </row>
    <row r="48" spans="4:7" s="174" customFormat="1" ht="12.75">
      <c r="D48" s="79" t="s">
        <v>444</v>
      </c>
      <c r="G48" s="175"/>
    </row>
    <row r="49" spans="1:62" s="174" customFormat="1" ht="12.75">
      <c r="A49" s="121" t="s">
        <v>100</v>
      </c>
      <c r="B49" s="121" t="s">
        <v>60</v>
      </c>
      <c r="C49" s="121" t="s">
        <v>260</v>
      </c>
      <c r="D49" s="129" t="s">
        <v>445</v>
      </c>
      <c r="E49" s="121" t="s">
        <v>608</v>
      </c>
      <c r="F49" s="122">
        <f>'Stavební rozpočet'!F223</f>
        <v>193.72</v>
      </c>
      <c r="G49" s="172"/>
      <c r="H49" s="122">
        <f>F49*AO49</f>
        <v>0</v>
      </c>
      <c r="I49" s="122">
        <f>F49*AP49</f>
        <v>0</v>
      </c>
      <c r="J49" s="122">
        <f>F49*G49</f>
        <v>0</v>
      </c>
      <c r="K49" s="122">
        <f>'Stavební rozpočet'!K223</f>
        <v>0.00367</v>
      </c>
      <c r="L49" s="122">
        <f>F49*K49</f>
        <v>0.7109524</v>
      </c>
      <c r="M49" s="123" t="s">
        <v>622</v>
      </c>
      <c r="Z49" s="124">
        <f>IF(AQ49="5",BJ49,0)</f>
        <v>0</v>
      </c>
      <c r="AB49" s="124">
        <f>IF(AQ49="1",BH49,0)</f>
        <v>0</v>
      </c>
      <c r="AC49" s="124">
        <f>IF(AQ49="1",BI49,0)</f>
        <v>0</v>
      </c>
      <c r="AD49" s="124">
        <f>IF(AQ49="7",BH49,0)</f>
        <v>0</v>
      </c>
      <c r="AE49" s="124">
        <f>IF(AQ49="7",BI49,0)</f>
        <v>0</v>
      </c>
      <c r="AF49" s="124">
        <f>IF(AQ49="2",BH49,0)</f>
        <v>0</v>
      </c>
      <c r="AG49" s="124">
        <f>IF(AQ49="2",BI49,0)</f>
        <v>0</v>
      </c>
      <c r="AH49" s="124">
        <f>IF(AQ49="0",BJ49,0)</f>
        <v>0</v>
      </c>
      <c r="AI49" s="113" t="s">
        <v>60</v>
      </c>
      <c r="AJ49" s="122">
        <f>IF(AN49=0,J49,0)</f>
        <v>0</v>
      </c>
      <c r="AK49" s="122">
        <f>IF(AN49=15,J49,0)</f>
        <v>0</v>
      </c>
      <c r="AL49" s="122">
        <f>IF(AN49=21,J49,0)</f>
        <v>0</v>
      </c>
      <c r="AN49" s="124">
        <v>15</v>
      </c>
      <c r="AO49" s="124">
        <f>G49*0.283412072634951</f>
        <v>0</v>
      </c>
      <c r="AP49" s="124">
        <f>G49*(1-0.283412072634951)</f>
        <v>0</v>
      </c>
      <c r="AQ49" s="123" t="s">
        <v>79</v>
      </c>
      <c r="AV49" s="124">
        <f>AW49+AX49</f>
        <v>0</v>
      </c>
      <c r="AW49" s="124">
        <f>F49*AO49</f>
        <v>0</v>
      </c>
      <c r="AX49" s="124">
        <f>F49*AP49</f>
        <v>0</v>
      </c>
      <c r="AY49" s="125" t="s">
        <v>634</v>
      </c>
      <c r="AZ49" s="125" t="s">
        <v>1535</v>
      </c>
      <c r="BA49" s="113" t="s">
        <v>1542</v>
      </c>
      <c r="BC49" s="124">
        <f>AW49+AX49</f>
        <v>0</v>
      </c>
      <c r="BD49" s="124">
        <f>G49/(100-BE49)*100</f>
        <v>0</v>
      </c>
      <c r="BE49" s="124">
        <v>0</v>
      </c>
      <c r="BF49" s="124">
        <f>L49</f>
        <v>0.7109524</v>
      </c>
      <c r="BH49" s="122">
        <f>F49*AO49</f>
        <v>0</v>
      </c>
      <c r="BI49" s="122">
        <f>F49*AP49</f>
        <v>0</v>
      </c>
      <c r="BJ49" s="122">
        <f>F49*G49</f>
        <v>0</v>
      </c>
    </row>
    <row r="50" spans="4:7" s="174" customFormat="1" ht="12.75">
      <c r="D50" s="79" t="s">
        <v>446</v>
      </c>
      <c r="G50" s="175"/>
    </row>
    <row r="51" spans="1:62" s="174" customFormat="1" ht="12.75" hidden="1">
      <c r="A51" s="121" t="s">
        <v>101</v>
      </c>
      <c r="B51" s="121" t="s">
        <v>60</v>
      </c>
      <c r="C51" s="121" t="s">
        <v>261</v>
      </c>
      <c r="D51" s="129" t="s">
        <v>447</v>
      </c>
      <c r="E51" s="121" t="s">
        <v>609</v>
      </c>
      <c r="F51" s="122">
        <f>'Stavební rozpočet'!F224</f>
        <v>0</v>
      </c>
      <c r="G51" s="172"/>
      <c r="H51" s="122">
        <f>F51*AO51</f>
        <v>0</v>
      </c>
      <c r="I51" s="122">
        <f>F51*AP51</f>
        <v>0</v>
      </c>
      <c r="J51" s="122">
        <f>F51*G51</f>
        <v>0</v>
      </c>
      <c r="K51" s="122">
        <f>'Stavební rozpočet'!K224</f>
        <v>0.00215</v>
      </c>
      <c r="L51" s="122">
        <f>F51*K51</f>
        <v>0</v>
      </c>
      <c r="M51" s="123" t="s">
        <v>622</v>
      </c>
      <c r="Z51" s="124">
        <f>IF(AQ51="5",BJ51,0)</f>
        <v>0</v>
      </c>
      <c r="AB51" s="124">
        <f>IF(AQ51="1",BH51,0)</f>
        <v>0</v>
      </c>
      <c r="AC51" s="124">
        <f>IF(AQ51="1",BI51,0)</f>
        <v>0</v>
      </c>
      <c r="AD51" s="124">
        <f>IF(AQ51="7",BH51,0)</f>
        <v>0</v>
      </c>
      <c r="AE51" s="124">
        <f>IF(AQ51="7",BI51,0)</f>
        <v>0</v>
      </c>
      <c r="AF51" s="124">
        <f>IF(AQ51="2",BH51,0)</f>
        <v>0</v>
      </c>
      <c r="AG51" s="124">
        <f>IF(AQ51="2",BI51,0)</f>
        <v>0</v>
      </c>
      <c r="AH51" s="124">
        <f>IF(AQ51="0",BJ51,0)</f>
        <v>0</v>
      </c>
      <c r="AI51" s="113" t="s">
        <v>60</v>
      </c>
      <c r="AJ51" s="122">
        <f>IF(AN51=0,J51,0)</f>
        <v>0</v>
      </c>
      <c r="AK51" s="122">
        <f>IF(AN51=15,J51,0)</f>
        <v>0</v>
      </c>
      <c r="AL51" s="122">
        <f>IF(AN51=21,J51,0)</f>
        <v>0</v>
      </c>
      <c r="AN51" s="124">
        <v>15</v>
      </c>
      <c r="AO51" s="124">
        <f>G51*0.312307692307692</f>
        <v>0</v>
      </c>
      <c r="AP51" s="124">
        <f>G51*(1-0.312307692307692)</f>
        <v>0</v>
      </c>
      <c r="AQ51" s="123" t="s">
        <v>79</v>
      </c>
      <c r="AV51" s="124">
        <f>AW51+AX51</f>
        <v>0</v>
      </c>
      <c r="AW51" s="124">
        <f>F51*AO51</f>
        <v>0</v>
      </c>
      <c r="AX51" s="124">
        <f>F51*AP51</f>
        <v>0</v>
      </c>
      <c r="AY51" s="125" t="s">
        <v>634</v>
      </c>
      <c r="AZ51" s="125" t="s">
        <v>1535</v>
      </c>
      <c r="BA51" s="113" t="s">
        <v>1542</v>
      </c>
      <c r="BC51" s="124">
        <f>AW51+AX51</f>
        <v>0</v>
      </c>
      <c r="BD51" s="124">
        <f>G51/(100-BE51)*100</f>
        <v>0</v>
      </c>
      <c r="BE51" s="124">
        <v>0</v>
      </c>
      <c r="BF51" s="124">
        <f>L51</f>
        <v>0</v>
      </c>
      <c r="BH51" s="122">
        <f>F51*AO51</f>
        <v>0</v>
      </c>
      <c r="BI51" s="122">
        <f>F51*AP51</f>
        <v>0</v>
      </c>
      <c r="BJ51" s="122">
        <f>F51*G51</f>
        <v>0</v>
      </c>
    </row>
    <row r="52" spans="4:7" s="174" customFormat="1" ht="25.5" hidden="1">
      <c r="D52" s="79" t="s">
        <v>448</v>
      </c>
      <c r="G52" s="175"/>
    </row>
    <row r="53" spans="1:47" s="174" customFormat="1" ht="12.75">
      <c r="A53" s="118"/>
      <c r="B53" s="119" t="s">
        <v>60</v>
      </c>
      <c r="C53" s="119" t="s">
        <v>141</v>
      </c>
      <c r="D53" s="136" t="s">
        <v>449</v>
      </c>
      <c r="E53" s="118" t="s">
        <v>57</v>
      </c>
      <c r="F53" s="118" t="s">
        <v>57</v>
      </c>
      <c r="G53" s="118"/>
      <c r="H53" s="120">
        <f>SUM(H54:H57)</f>
        <v>0</v>
      </c>
      <c r="I53" s="120">
        <f>SUM(I54:I57)</f>
        <v>0</v>
      </c>
      <c r="J53" s="120">
        <f>SUM(J54:J57)</f>
        <v>0</v>
      </c>
      <c r="K53" s="113"/>
      <c r="L53" s="120">
        <f>SUM(L54:L57)</f>
        <v>155.004822</v>
      </c>
      <c r="M53" s="113"/>
      <c r="AI53" s="113" t="s">
        <v>60</v>
      </c>
      <c r="AS53" s="120">
        <f>SUM(AJ54:AJ57)</f>
        <v>0</v>
      </c>
      <c r="AT53" s="120">
        <f>SUM(AK54:AK57)</f>
        <v>0</v>
      </c>
      <c r="AU53" s="120">
        <f>SUM(AL54:AL57)</f>
        <v>0</v>
      </c>
    </row>
    <row r="54" spans="1:62" s="174" customFormat="1" ht="12.75" hidden="1">
      <c r="A54" s="121" t="s">
        <v>102</v>
      </c>
      <c r="B54" s="121" t="s">
        <v>60</v>
      </c>
      <c r="C54" s="121" t="s">
        <v>951</v>
      </c>
      <c r="D54" s="129" t="s">
        <v>1234</v>
      </c>
      <c r="E54" s="121" t="s">
        <v>608</v>
      </c>
      <c r="F54" s="122">
        <f>'Stavební rozpočet'!F226</f>
        <v>0</v>
      </c>
      <c r="G54" s="172"/>
      <c r="H54" s="122">
        <f>F54*AO54</f>
        <v>0</v>
      </c>
      <c r="I54" s="122">
        <f>F54*AP54</f>
        <v>0</v>
      </c>
      <c r="J54" s="122">
        <f>F54*G54</f>
        <v>0</v>
      </c>
      <c r="K54" s="122">
        <f>'Stavební rozpočet'!K226</f>
        <v>0.79547</v>
      </c>
      <c r="L54" s="122">
        <f>F54*K54</f>
        <v>0</v>
      </c>
      <c r="M54" s="123" t="s">
        <v>622</v>
      </c>
      <c r="Z54" s="124">
        <f>IF(AQ54="5",BJ54,0)</f>
        <v>0</v>
      </c>
      <c r="AB54" s="124">
        <f>IF(AQ54="1",BH54,0)</f>
        <v>0</v>
      </c>
      <c r="AC54" s="124">
        <f>IF(AQ54="1",BI54,0)</f>
        <v>0</v>
      </c>
      <c r="AD54" s="124">
        <f>IF(AQ54="7",BH54,0)</f>
        <v>0</v>
      </c>
      <c r="AE54" s="124">
        <f>IF(AQ54="7",BI54,0)</f>
        <v>0</v>
      </c>
      <c r="AF54" s="124">
        <f>IF(AQ54="2",BH54,0)</f>
        <v>0</v>
      </c>
      <c r="AG54" s="124">
        <f>IF(AQ54="2",BI54,0)</f>
        <v>0</v>
      </c>
      <c r="AH54" s="124">
        <f>IF(AQ54="0",BJ54,0)</f>
        <v>0</v>
      </c>
      <c r="AI54" s="113" t="s">
        <v>60</v>
      </c>
      <c r="AJ54" s="122">
        <f>IF(AN54=0,J54,0)</f>
        <v>0</v>
      </c>
      <c r="AK54" s="122">
        <f>IF(AN54=15,J54,0)</f>
        <v>0</v>
      </c>
      <c r="AL54" s="122">
        <f>IF(AN54=21,J54,0)</f>
        <v>0</v>
      </c>
      <c r="AN54" s="124">
        <v>15</v>
      </c>
      <c r="AO54" s="124">
        <f>G54*0.71</f>
        <v>0</v>
      </c>
      <c r="AP54" s="124">
        <f>G54*(1-0.71)</f>
        <v>0</v>
      </c>
      <c r="AQ54" s="123" t="s">
        <v>79</v>
      </c>
      <c r="AV54" s="124">
        <f>AW54+AX54</f>
        <v>0</v>
      </c>
      <c r="AW54" s="124">
        <f>F54*AO54</f>
        <v>0</v>
      </c>
      <c r="AX54" s="124">
        <f>F54*AP54</f>
        <v>0</v>
      </c>
      <c r="AY54" s="125" t="s">
        <v>635</v>
      </c>
      <c r="AZ54" s="125" t="s">
        <v>1535</v>
      </c>
      <c r="BA54" s="113" t="s">
        <v>1542</v>
      </c>
      <c r="BC54" s="124">
        <f>AW54+AX54</f>
        <v>0</v>
      </c>
      <c r="BD54" s="124">
        <f>G54/(100-BE54)*100</f>
        <v>0</v>
      </c>
      <c r="BE54" s="124">
        <v>0</v>
      </c>
      <c r="BF54" s="124">
        <f>L54</f>
        <v>0</v>
      </c>
      <c r="BH54" s="122">
        <f>F54*AO54</f>
        <v>0</v>
      </c>
      <c r="BI54" s="122">
        <f>F54*AP54</f>
        <v>0</v>
      </c>
      <c r="BJ54" s="122">
        <f>F54*G54</f>
        <v>0</v>
      </c>
    </row>
    <row r="55" spans="1:62" s="174" customFormat="1" ht="12.75" hidden="1">
      <c r="A55" s="121" t="s">
        <v>103</v>
      </c>
      <c r="B55" s="121" t="s">
        <v>60</v>
      </c>
      <c r="C55" s="121" t="s">
        <v>262</v>
      </c>
      <c r="D55" s="129" t="s">
        <v>450</v>
      </c>
      <c r="E55" s="121" t="s">
        <v>608</v>
      </c>
      <c r="F55" s="122">
        <f>'Stavební rozpočet'!F227</f>
        <v>0</v>
      </c>
      <c r="G55" s="172"/>
      <c r="H55" s="122">
        <f>F55*AO55</f>
        <v>0</v>
      </c>
      <c r="I55" s="122">
        <f>F55*AP55</f>
        <v>0</v>
      </c>
      <c r="J55" s="122">
        <f>F55*G55</f>
        <v>0</v>
      </c>
      <c r="K55" s="122">
        <f>'Stavební rozpočet'!K227</f>
        <v>0.1614</v>
      </c>
      <c r="L55" s="122">
        <f>F55*K55</f>
        <v>0</v>
      </c>
      <c r="M55" s="123" t="s">
        <v>622</v>
      </c>
      <c r="Z55" s="124">
        <f>IF(AQ55="5",BJ55,0)</f>
        <v>0</v>
      </c>
      <c r="AB55" s="124">
        <f>IF(AQ55="1",BH55,0)</f>
        <v>0</v>
      </c>
      <c r="AC55" s="124">
        <f>IF(AQ55="1",BI55,0)</f>
        <v>0</v>
      </c>
      <c r="AD55" s="124">
        <f>IF(AQ55="7",BH55,0)</f>
        <v>0</v>
      </c>
      <c r="AE55" s="124">
        <f>IF(AQ55="7",BI55,0)</f>
        <v>0</v>
      </c>
      <c r="AF55" s="124">
        <f>IF(AQ55="2",BH55,0)</f>
        <v>0</v>
      </c>
      <c r="AG55" s="124">
        <f>IF(AQ55="2",BI55,0)</f>
        <v>0</v>
      </c>
      <c r="AH55" s="124">
        <f>IF(AQ55="0",BJ55,0)</f>
        <v>0</v>
      </c>
      <c r="AI55" s="113" t="s">
        <v>60</v>
      </c>
      <c r="AJ55" s="122">
        <f>IF(AN55=0,J55,0)</f>
        <v>0</v>
      </c>
      <c r="AK55" s="122">
        <f>IF(AN55=15,J55,0)</f>
        <v>0</v>
      </c>
      <c r="AL55" s="122">
        <f>IF(AN55=21,J55,0)</f>
        <v>0</v>
      </c>
      <c r="AN55" s="124">
        <v>15</v>
      </c>
      <c r="AO55" s="124">
        <f>G55*0.710773240660295</f>
        <v>0</v>
      </c>
      <c r="AP55" s="124">
        <f>G55*(1-0.710773240660295)</f>
        <v>0</v>
      </c>
      <c r="AQ55" s="123" t="s">
        <v>79</v>
      </c>
      <c r="AV55" s="124">
        <f>AW55+AX55</f>
        <v>0</v>
      </c>
      <c r="AW55" s="124">
        <f>F55*AO55</f>
        <v>0</v>
      </c>
      <c r="AX55" s="124">
        <f>F55*AP55</f>
        <v>0</v>
      </c>
      <c r="AY55" s="125" t="s">
        <v>635</v>
      </c>
      <c r="AZ55" s="125" t="s">
        <v>1535</v>
      </c>
      <c r="BA55" s="113" t="s">
        <v>1542</v>
      </c>
      <c r="BC55" s="124">
        <f>AW55+AX55</f>
        <v>0</v>
      </c>
      <c r="BD55" s="124">
        <f>G55/(100-BE55)*100</f>
        <v>0</v>
      </c>
      <c r="BE55" s="124">
        <v>0</v>
      </c>
      <c r="BF55" s="124">
        <f>L55</f>
        <v>0</v>
      </c>
      <c r="BH55" s="122">
        <f>F55*AO55</f>
        <v>0</v>
      </c>
      <c r="BI55" s="122">
        <f>F55*AP55</f>
        <v>0</v>
      </c>
      <c r="BJ55" s="122">
        <f>F55*G55</f>
        <v>0</v>
      </c>
    </row>
    <row r="56" spans="4:7" s="174" customFormat="1" ht="25.5" hidden="1">
      <c r="D56" s="79" t="s">
        <v>1235</v>
      </c>
      <c r="G56" s="175"/>
    </row>
    <row r="57" spans="1:62" s="174" customFormat="1" ht="12.75">
      <c r="A57" s="121" t="s">
        <v>104</v>
      </c>
      <c r="B57" s="121" t="s">
        <v>60</v>
      </c>
      <c r="C57" s="121" t="s">
        <v>263</v>
      </c>
      <c r="D57" s="129" t="s">
        <v>1236</v>
      </c>
      <c r="E57" s="121" t="s">
        <v>608</v>
      </c>
      <c r="F57" s="122">
        <f>'Stavební rozpočet'!F228</f>
        <v>190.26</v>
      </c>
      <c r="G57" s="172"/>
      <c r="H57" s="122">
        <f>F57*AO57</f>
        <v>0</v>
      </c>
      <c r="I57" s="122">
        <f>F57*AP57</f>
        <v>0</v>
      </c>
      <c r="J57" s="122">
        <f>F57*G57</f>
        <v>0</v>
      </c>
      <c r="K57" s="122">
        <f>'Stavební rozpočet'!K228</f>
        <v>0.8147</v>
      </c>
      <c r="L57" s="122">
        <f>F57*K57</f>
        <v>155.004822</v>
      </c>
      <c r="M57" s="123" t="s">
        <v>622</v>
      </c>
      <c r="Z57" s="124">
        <f>IF(AQ57="5",BJ57,0)</f>
        <v>0</v>
      </c>
      <c r="AB57" s="124">
        <f>IF(AQ57="1",BH57,0)</f>
        <v>0</v>
      </c>
      <c r="AC57" s="124">
        <f>IF(AQ57="1",BI57,0)</f>
        <v>0</v>
      </c>
      <c r="AD57" s="124">
        <f>IF(AQ57="7",BH57,0)</f>
        <v>0</v>
      </c>
      <c r="AE57" s="124">
        <f>IF(AQ57="7",BI57,0)</f>
        <v>0</v>
      </c>
      <c r="AF57" s="124">
        <f>IF(AQ57="2",BH57,0)</f>
        <v>0</v>
      </c>
      <c r="AG57" s="124">
        <f>IF(AQ57="2",BI57,0)</f>
        <v>0</v>
      </c>
      <c r="AH57" s="124">
        <f>IF(AQ57="0",BJ57,0)</f>
        <v>0</v>
      </c>
      <c r="AI57" s="113" t="s">
        <v>60</v>
      </c>
      <c r="AJ57" s="122">
        <f>IF(AN57=0,J57,0)</f>
        <v>0</v>
      </c>
      <c r="AK57" s="122">
        <f>IF(AN57=15,J57,0)</f>
        <v>0</v>
      </c>
      <c r="AL57" s="122">
        <f>IF(AN57=21,J57,0)</f>
        <v>0</v>
      </c>
      <c r="AN57" s="124">
        <v>15</v>
      </c>
      <c r="AO57" s="124">
        <f>G57*0.710766703176342</f>
        <v>0</v>
      </c>
      <c r="AP57" s="124">
        <f>G57*(1-0.710766703176342)</f>
        <v>0</v>
      </c>
      <c r="AQ57" s="123" t="s">
        <v>79</v>
      </c>
      <c r="AV57" s="124">
        <f>AW57+AX57</f>
        <v>0</v>
      </c>
      <c r="AW57" s="124">
        <f>F57*AO57</f>
        <v>0</v>
      </c>
      <c r="AX57" s="124">
        <f>F57*AP57</f>
        <v>0</v>
      </c>
      <c r="AY57" s="125" t="s">
        <v>635</v>
      </c>
      <c r="AZ57" s="125" t="s">
        <v>1535</v>
      </c>
      <c r="BA57" s="113" t="s">
        <v>1542</v>
      </c>
      <c r="BC57" s="124">
        <f>AW57+AX57</f>
        <v>0</v>
      </c>
      <c r="BD57" s="124">
        <f>G57/(100-BE57)*100</f>
        <v>0</v>
      </c>
      <c r="BE57" s="124">
        <v>0</v>
      </c>
      <c r="BF57" s="124">
        <f>L57</f>
        <v>155.004822</v>
      </c>
      <c r="BH57" s="122">
        <f>F57*AO57</f>
        <v>0</v>
      </c>
      <c r="BI57" s="122">
        <f>F57*AP57</f>
        <v>0</v>
      </c>
      <c r="BJ57" s="122">
        <f>F57*G57</f>
        <v>0</v>
      </c>
    </row>
    <row r="58" spans="4:7" s="174" customFormat="1" ht="25.5">
      <c r="D58" s="79" t="s">
        <v>452</v>
      </c>
      <c r="G58" s="175"/>
    </row>
    <row r="59" spans="1:47" s="174" customFormat="1" ht="12.75">
      <c r="A59" s="118"/>
      <c r="B59" s="119" t="s">
        <v>60</v>
      </c>
      <c r="C59" s="119" t="s">
        <v>142</v>
      </c>
      <c r="D59" s="136" t="s">
        <v>1237</v>
      </c>
      <c r="E59" s="118" t="s">
        <v>57</v>
      </c>
      <c r="F59" s="118" t="s">
        <v>57</v>
      </c>
      <c r="G59" s="118"/>
      <c r="H59" s="120">
        <f>SUM(H60:H60)</f>
        <v>0</v>
      </c>
      <c r="I59" s="120">
        <f>SUM(I60:I60)</f>
        <v>0</v>
      </c>
      <c r="J59" s="120">
        <f>SUM(J60:J60)</f>
        <v>0</v>
      </c>
      <c r="K59" s="113"/>
      <c r="L59" s="120">
        <f>SUM(L60:L60)</f>
        <v>0.104139</v>
      </c>
      <c r="M59" s="113"/>
      <c r="AI59" s="113" t="s">
        <v>60</v>
      </c>
      <c r="AS59" s="120">
        <f>SUM(AJ60:AJ60)</f>
        <v>0</v>
      </c>
      <c r="AT59" s="120">
        <f>SUM(AK60:AK60)</f>
        <v>0</v>
      </c>
      <c r="AU59" s="120">
        <f>SUM(AL60:AL60)</f>
        <v>0</v>
      </c>
    </row>
    <row r="60" spans="1:62" s="174" customFormat="1" ht="12.75">
      <c r="A60" s="121" t="s">
        <v>105</v>
      </c>
      <c r="B60" s="121" t="s">
        <v>60</v>
      </c>
      <c r="C60" s="121" t="s">
        <v>952</v>
      </c>
      <c r="D60" s="129" t="s">
        <v>1238</v>
      </c>
      <c r="E60" s="121" t="s">
        <v>609</v>
      </c>
      <c r="F60" s="122">
        <f>'Stavební rozpočet'!F230</f>
        <v>18.9</v>
      </c>
      <c r="G60" s="172"/>
      <c r="H60" s="122">
        <f>F60*AO60</f>
        <v>0</v>
      </c>
      <c r="I60" s="122">
        <f>F60*AP60</f>
        <v>0</v>
      </c>
      <c r="J60" s="122">
        <f>F60*G60</f>
        <v>0</v>
      </c>
      <c r="K60" s="122">
        <f>'Stavební rozpočet'!K230</f>
        <v>0.00551</v>
      </c>
      <c r="L60" s="122">
        <f>F60*K60</f>
        <v>0.104139</v>
      </c>
      <c r="M60" s="123" t="s">
        <v>622</v>
      </c>
      <c r="Z60" s="124">
        <f>IF(AQ60="5",BJ60,0)</f>
        <v>0</v>
      </c>
      <c r="AB60" s="124">
        <f>IF(AQ60="1",BH60,0)</f>
        <v>0</v>
      </c>
      <c r="AC60" s="124">
        <f>IF(AQ60="1",BI60,0)</f>
        <v>0</v>
      </c>
      <c r="AD60" s="124">
        <f>IF(AQ60="7",BH60,0)</f>
        <v>0</v>
      </c>
      <c r="AE60" s="124">
        <f>IF(AQ60="7",BI60,0)</f>
        <v>0</v>
      </c>
      <c r="AF60" s="124">
        <f>IF(AQ60="2",BH60,0)</f>
        <v>0</v>
      </c>
      <c r="AG60" s="124">
        <f>IF(AQ60="2",BI60,0)</f>
        <v>0</v>
      </c>
      <c r="AH60" s="124">
        <f>IF(AQ60="0",BJ60,0)</f>
        <v>0</v>
      </c>
      <c r="AI60" s="113" t="s">
        <v>60</v>
      </c>
      <c r="AJ60" s="122">
        <f>IF(AN60=0,J60,0)</f>
        <v>0</v>
      </c>
      <c r="AK60" s="122">
        <f>IF(AN60=15,J60,0)</f>
        <v>0</v>
      </c>
      <c r="AL60" s="122">
        <f>IF(AN60=21,J60,0)</f>
        <v>0</v>
      </c>
      <c r="AN60" s="124">
        <v>15</v>
      </c>
      <c r="AO60" s="124">
        <f>G60*0.545496894409938</f>
        <v>0</v>
      </c>
      <c r="AP60" s="124">
        <f>G60*(1-0.545496894409938)</f>
        <v>0</v>
      </c>
      <c r="AQ60" s="123" t="s">
        <v>79</v>
      </c>
      <c r="AV60" s="124">
        <f>AW60+AX60</f>
        <v>0</v>
      </c>
      <c r="AW60" s="124">
        <f>F60*AO60</f>
        <v>0</v>
      </c>
      <c r="AX60" s="124">
        <f>F60*AP60</f>
        <v>0</v>
      </c>
      <c r="AY60" s="125" t="s">
        <v>1529</v>
      </c>
      <c r="AZ60" s="125" t="s">
        <v>1535</v>
      </c>
      <c r="BA60" s="113" t="s">
        <v>1542</v>
      </c>
      <c r="BC60" s="124">
        <f>AW60+AX60</f>
        <v>0</v>
      </c>
      <c r="BD60" s="124">
        <f>G60/(100-BE60)*100</f>
        <v>0</v>
      </c>
      <c r="BE60" s="124">
        <v>0</v>
      </c>
      <c r="BF60" s="124">
        <f>L60</f>
        <v>0.104139</v>
      </c>
      <c r="BH60" s="122">
        <f>F60*AO60</f>
        <v>0</v>
      </c>
      <c r="BI60" s="122">
        <f>F60*AP60</f>
        <v>0</v>
      </c>
      <c r="BJ60" s="122">
        <f>F60*G60</f>
        <v>0</v>
      </c>
    </row>
    <row r="61" spans="4:7" s="174" customFormat="1" ht="12.75">
      <c r="D61" s="79" t="s">
        <v>1239</v>
      </c>
      <c r="G61" s="175"/>
    </row>
    <row r="62" spans="1:47" s="174" customFormat="1" ht="12.75">
      <c r="A62" s="118"/>
      <c r="B62" s="119" t="s">
        <v>60</v>
      </c>
      <c r="C62" s="119" t="s">
        <v>172</v>
      </c>
      <c r="D62" s="136" t="s">
        <v>453</v>
      </c>
      <c r="E62" s="118" t="s">
        <v>57</v>
      </c>
      <c r="F62" s="118" t="s">
        <v>57</v>
      </c>
      <c r="G62" s="118"/>
      <c r="H62" s="120">
        <f>SUM(H63:H66)</f>
        <v>0</v>
      </c>
      <c r="I62" s="120">
        <f>SUM(I63:I66)</f>
        <v>0</v>
      </c>
      <c r="J62" s="120">
        <f>SUM(J63:J66)</f>
        <v>0</v>
      </c>
      <c r="K62" s="113"/>
      <c r="L62" s="120">
        <f>SUM(L63:L66)</f>
        <v>4.5068752</v>
      </c>
      <c r="M62" s="113"/>
      <c r="AI62" s="113" t="s">
        <v>60</v>
      </c>
      <c r="AS62" s="120">
        <f>SUM(AJ63:AJ66)</f>
        <v>0</v>
      </c>
      <c r="AT62" s="120">
        <f>SUM(AK63:AK66)</f>
        <v>0</v>
      </c>
      <c r="AU62" s="120">
        <f>SUM(AL63:AL66)</f>
        <v>0</v>
      </c>
    </row>
    <row r="63" spans="1:62" s="174" customFormat="1" ht="12.75">
      <c r="A63" s="121" t="s">
        <v>106</v>
      </c>
      <c r="B63" s="121" t="s">
        <v>60</v>
      </c>
      <c r="C63" s="121" t="s">
        <v>264</v>
      </c>
      <c r="D63" s="129" t="s">
        <v>454</v>
      </c>
      <c r="E63" s="121" t="s">
        <v>608</v>
      </c>
      <c r="F63" s="122">
        <f>'Stavební rozpočet'!F232</f>
        <v>185</v>
      </c>
      <c r="G63" s="172"/>
      <c r="H63" s="122">
        <f>F63*AO63</f>
        <v>0</v>
      </c>
      <c r="I63" s="122">
        <f>F63*AP63</f>
        <v>0</v>
      </c>
      <c r="J63" s="122">
        <f>F63*G63</f>
        <v>0</v>
      </c>
      <c r="K63" s="122">
        <f>'Stavební rozpočet'!K232</f>
        <v>0.00158</v>
      </c>
      <c r="L63" s="122">
        <f>F63*K63</f>
        <v>0.2923</v>
      </c>
      <c r="M63" s="123" t="s">
        <v>622</v>
      </c>
      <c r="Z63" s="124">
        <f>IF(AQ63="5",BJ63,0)</f>
        <v>0</v>
      </c>
      <c r="AB63" s="124">
        <f>IF(AQ63="1",BH63,0)</f>
        <v>0</v>
      </c>
      <c r="AC63" s="124">
        <f>IF(AQ63="1",BI63,0)</f>
        <v>0</v>
      </c>
      <c r="AD63" s="124">
        <f>IF(AQ63="7",BH63,0)</f>
        <v>0</v>
      </c>
      <c r="AE63" s="124">
        <f>IF(AQ63="7",BI63,0)</f>
        <v>0</v>
      </c>
      <c r="AF63" s="124">
        <f>IF(AQ63="2",BH63,0)</f>
        <v>0</v>
      </c>
      <c r="AG63" s="124">
        <f>IF(AQ63="2",BI63,0)</f>
        <v>0</v>
      </c>
      <c r="AH63" s="124">
        <f>IF(AQ63="0",BJ63,0)</f>
        <v>0</v>
      </c>
      <c r="AI63" s="113" t="s">
        <v>60</v>
      </c>
      <c r="AJ63" s="122">
        <f>IF(AN63=0,J63,0)</f>
        <v>0</v>
      </c>
      <c r="AK63" s="122">
        <f>IF(AN63=15,J63,0)</f>
        <v>0</v>
      </c>
      <c r="AL63" s="122">
        <f>IF(AN63=21,J63,0)</f>
        <v>0</v>
      </c>
      <c r="AN63" s="124">
        <v>15</v>
      </c>
      <c r="AO63" s="124">
        <f>G63*0.4197621900636</f>
        <v>0</v>
      </c>
      <c r="AP63" s="124">
        <f>G63*(1-0.4197621900636)</f>
        <v>0</v>
      </c>
      <c r="AQ63" s="123" t="s">
        <v>79</v>
      </c>
      <c r="AV63" s="124">
        <f>AW63+AX63</f>
        <v>0</v>
      </c>
      <c r="AW63" s="124">
        <f>F63*AO63</f>
        <v>0</v>
      </c>
      <c r="AX63" s="124">
        <f>F63*AP63</f>
        <v>0</v>
      </c>
      <c r="AY63" s="125" t="s">
        <v>636</v>
      </c>
      <c r="AZ63" s="125" t="s">
        <v>1536</v>
      </c>
      <c r="BA63" s="113" t="s">
        <v>1542</v>
      </c>
      <c r="BC63" s="124">
        <f>AW63+AX63</f>
        <v>0</v>
      </c>
      <c r="BD63" s="124">
        <f>G63/(100-BE63)*100</f>
        <v>0</v>
      </c>
      <c r="BE63" s="124">
        <v>0</v>
      </c>
      <c r="BF63" s="124">
        <f>L63</f>
        <v>0.2923</v>
      </c>
      <c r="BH63" s="122">
        <f>F63*AO63</f>
        <v>0</v>
      </c>
      <c r="BI63" s="122">
        <f>F63*AP63</f>
        <v>0</v>
      </c>
      <c r="BJ63" s="122">
        <f>F63*G63</f>
        <v>0</v>
      </c>
    </row>
    <row r="64" spans="1:62" s="174" customFormat="1" ht="12.75">
      <c r="A64" s="121" t="s">
        <v>107</v>
      </c>
      <c r="B64" s="121" t="s">
        <v>60</v>
      </c>
      <c r="C64" s="121" t="s">
        <v>265</v>
      </c>
      <c r="D64" s="129" t="s">
        <v>455</v>
      </c>
      <c r="E64" s="121" t="s">
        <v>610</v>
      </c>
      <c r="F64" s="122">
        <f>'Stavební rozpočet'!F233</f>
        <v>555.28</v>
      </c>
      <c r="G64" s="172"/>
      <c r="H64" s="122">
        <f>F64*AO64</f>
        <v>0</v>
      </c>
      <c r="I64" s="122">
        <f>F64*AP64</f>
        <v>0</v>
      </c>
      <c r="J64" s="122">
        <f>F64*G64</f>
        <v>0</v>
      </c>
      <c r="K64" s="122">
        <f>'Stavební rozpočet'!K233</f>
        <v>0.00735</v>
      </c>
      <c r="L64" s="122">
        <f>F64*K64</f>
        <v>4.081308</v>
      </c>
      <c r="M64" s="123" t="s">
        <v>622</v>
      </c>
      <c r="Z64" s="124">
        <f>IF(AQ64="5",BJ64,0)</f>
        <v>0</v>
      </c>
      <c r="AB64" s="124">
        <f>IF(AQ64="1",BH64,0)</f>
        <v>0</v>
      </c>
      <c r="AC64" s="124">
        <f>IF(AQ64="1",BI64,0)</f>
        <v>0</v>
      </c>
      <c r="AD64" s="124">
        <f>IF(AQ64="7",BH64,0)</f>
        <v>0</v>
      </c>
      <c r="AE64" s="124">
        <f>IF(AQ64="7",BI64,0)</f>
        <v>0</v>
      </c>
      <c r="AF64" s="124">
        <f>IF(AQ64="2",BH64,0)</f>
        <v>0</v>
      </c>
      <c r="AG64" s="124">
        <f>IF(AQ64="2",BI64,0)</f>
        <v>0</v>
      </c>
      <c r="AH64" s="124">
        <f>IF(AQ64="0",BJ64,0)</f>
        <v>0</v>
      </c>
      <c r="AI64" s="113" t="s">
        <v>60</v>
      </c>
      <c r="AJ64" s="122">
        <f>IF(AN64=0,J64,0)</f>
        <v>0</v>
      </c>
      <c r="AK64" s="122">
        <f>IF(AN64=15,J64,0)</f>
        <v>0</v>
      </c>
      <c r="AL64" s="122">
        <f>IF(AN64=21,J64,0)</f>
        <v>0</v>
      </c>
      <c r="AN64" s="124">
        <v>15</v>
      </c>
      <c r="AO64" s="124">
        <f>G64*0.00169491458639457</f>
        <v>0</v>
      </c>
      <c r="AP64" s="124">
        <f>G64*(1-0.00169491458639457)</f>
        <v>0</v>
      </c>
      <c r="AQ64" s="123" t="s">
        <v>79</v>
      </c>
      <c r="AV64" s="124">
        <f>AW64+AX64</f>
        <v>0</v>
      </c>
      <c r="AW64" s="124">
        <f>F64*AO64</f>
        <v>0</v>
      </c>
      <c r="AX64" s="124">
        <f>F64*AP64</f>
        <v>0</v>
      </c>
      <c r="AY64" s="125" t="s">
        <v>636</v>
      </c>
      <c r="AZ64" s="125" t="s">
        <v>1536</v>
      </c>
      <c r="BA64" s="113" t="s">
        <v>1542</v>
      </c>
      <c r="BC64" s="124">
        <f>AW64+AX64</f>
        <v>0</v>
      </c>
      <c r="BD64" s="124">
        <f>G64/(100-BE64)*100</f>
        <v>0</v>
      </c>
      <c r="BE64" s="124">
        <v>0</v>
      </c>
      <c r="BF64" s="124">
        <f>L64</f>
        <v>4.081308</v>
      </c>
      <c r="BH64" s="122">
        <f>F64*AO64</f>
        <v>0</v>
      </c>
      <c r="BI64" s="122">
        <f>F64*AP64</f>
        <v>0</v>
      </c>
      <c r="BJ64" s="122">
        <f>F64*G64</f>
        <v>0</v>
      </c>
    </row>
    <row r="65" spans="1:62" s="174" customFormat="1" ht="12.75">
      <c r="A65" s="121" t="s">
        <v>108</v>
      </c>
      <c r="B65" s="121" t="s">
        <v>60</v>
      </c>
      <c r="C65" s="121" t="s">
        <v>266</v>
      </c>
      <c r="D65" s="129" t="s">
        <v>456</v>
      </c>
      <c r="E65" s="121" t="s">
        <v>610</v>
      </c>
      <c r="F65" s="122">
        <f>'Stavební rozpočet'!F234</f>
        <v>1110.56</v>
      </c>
      <c r="G65" s="172"/>
      <c r="H65" s="122">
        <f>F65*AO65</f>
        <v>0</v>
      </c>
      <c r="I65" s="122">
        <f>F65*AP65</f>
        <v>0</v>
      </c>
      <c r="J65" s="122">
        <f>F65*G65</f>
        <v>0</v>
      </c>
      <c r="K65" s="122">
        <f>'Stavební rozpočet'!K234</f>
        <v>0.00012</v>
      </c>
      <c r="L65" s="122">
        <f>F65*K65</f>
        <v>0.1332672</v>
      </c>
      <c r="M65" s="123" t="s">
        <v>622</v>
      </c>
      <c r="Z65" s="124">
        <f>IF(AQ65="5",BJ65,0)</f>
        <v>0</v>
      </c>
      <c r="AB65" s="124">
        <f>IF(AQ65="1",BH65,0)</f>
        <v>0</v>
      </c>
      <c r="AC65" s="124">
        <f>IF(AQ65="1",BI65,0)</f>
        <v>0</v>
      </c>
      <c r="AD65" s="124">
        <f>IF(AQ65="7",BH65,0)</f>
        <v>0</v>
      </c>
      <c r="AE65" s="124">
        <f>IF(AQ65="7",BI65,0)</f>
        <v>0</v>
      </c>
      <c r="AF65" s="124">
        <f>IF(AQ65="2",BH65,0)</f>
        <v>0</v>
      </c>
      <c r="AG65" s="124">
        <f>IF(AQ65="2",BI65,0)</f>
        <v>0</v>
      </c>
      <c r="AH65" s="124">
        <f>IF(AQ65="0",BJ65,0)</f>
        <v>0</v>
      </c>
      <c r="AI65" s="113" t="s">
        <v>60</v>
      </c>
      <c r="AJ65" s="122">
        <f>IF(AN65=0,J65,0)</f>
        <v>0</v>
      </c>
      <c r="AK65" s="122">
        <f>IF(AN65=15,J65,0)</f>
        <v>0</v>
      </c>
      <c r="AL65" s="122">
        <f>IF(AN65=21,J65,0)</f>
        <v>0</v>
      </c>
      <c r="AN65" s="124">
        <v>15</v>
      </c>
      <c r="AO65" s="124">
        <f>G65*0.929787387342826</f>
        <v>0</v>
      </c>
      <c r="AP65" s="124">
        <f>G65*(1-0.929787387342826)</f>
        <v>0</v>
      </c>
      <c r="AQ65" s="123" t="s">
        <v>79</v>
      </c>
      <c r="AV65" s="124">
        <f>AW65+AX65</f>
        <v>0</v>
      </c>
      <c r="AW65" s="124">
        <f>F65*AO65</f>
        <v>0</v>
      </c>
      <c r="AX65" s="124">
        <f>F65*AP65</f>
        <v>0</v>
      </c>
      <c r="AY65" s="125" t="s">
        <v>636</v>
      </c>
      <c r="AZ65" s="125" t="s">
        <v>1536</v>
      </c>
      <c r="BA65" s="113" t="s">
        <v>1542</v>
      </c>
      <c r="BC65" s="124">
        <f>AW65+AX65</f>
        <v>0</v>
      </c>
      <c r="BD65" s="124">
        <f>G65/(100-BE65)*100</f>
        <v>0</v>
      </c>
      <c r="BE65" s="124">
        <v>0</v>
      </c>
      <c r="BF65" s="124">
        <f>L65</f>
        <v>0.1332672</v>
      </c>
      <c r="BH65" s="122">
        <f>F65*AO65</f>
        <v>0</v>
      </c>
      <c r="BI65" s="122">
        <f>F65*AP65</f>
        <v>0</v>
      </c>
      <c r="BJ65" s="122">
        <f>F65*G65</f>
        <v>0</v>
      </c>
    </row>
    <row r="66" spans="1:62" s="174" customFormat="1" ht="12.75">
      <c r="A66" s="121" t="s">
        <v>109</v>
      </c>
      <c r="B66" s="121" t="s">
        <v>60</v>
      </c>
      <c r="C66" s="121" t="s">
        <v>267</v>
      </c>
      <c r="D66" s="129" t="s">
        <v>457</v>
      </c>
      <c r="E66" s="121" t="s">
        <v>610</v>
      </c>
      <c r="F66" s="122">
        <f>'Stavební rozpočet'!F235</f>
        <v>555.28</v>
      </c>
      <c r="G66" s="172"/>
      <c r="H66" s="122">
        <f>F66*AO66</f>
        <v>0</v>
      </c>
      <c r="I66" s="122">
        <f>F66*AP66</f>
        <v>0</v>
      </c>
      <c r="J66" s="122">
        <f>F66*G66</f>
        <v>0</v>
      </c>
      <c r="K66" s="122">
        <f>'Stavební rozpočet'!K235</f>
        <v>0</v>
      </c>
      <c r="L66" s="122">
        <f>F66*K66</f>
        <v>0</v>
      </c>
      <c r="M66" s="123" t="s">
        <v>622</v>
      </c>
      <c r="Z66" s="124">
        <f>IF(AQ66="5",BJ66,0)</f>
        <v>0</v>
      </c>
      <c r="AB66" s="124">
        <f>IF(AQ66="1",BH66,0)</f>
        <v>0</v>
      </c>
      <c r="AC66" s="124">
        <f>IF(AQ66="1",BI66,0)</f>
        <v>0</v>
      </c>
      <c r="AD66" s="124">
        <f>IF(AQ66="7",BH66,0)</f>
        <v>0</v>
      </c>
      <c r="AE66" s="124">
        <f>IF(AQ66="7",BI66,0)</f>
        <v>0</v>
      </c>
      <c r="AF66" s="124">
        <f>IF(AQ66="2",BH66,0)</f>
        <v>0</v>
      </c>
      <c r="AG66" s="124">
        <f>IF(AQ66="2",BI66,0)</f>
        <v>0</v>
      </c>
      <c r="AH66" s="124">
        <f>IF(AQ66="0",BJ66,0)</f>
        <v>0</v>
      </c>
      <c r="AI66" s="113" t="s">
        <v>60</v>
      </c>
      <c r="AJ66" s="122">
        <f>IF(AN66=0,J66,0)</f>
        <v>0</v>
      </c>
      <c r="AK66" s="122">
        <f>IF(AN66=15,J66,0)</f>
        <v>0</v>
      </c>
      <c r="AL66" s="122">
        <f>IF(AN66=21,J66,0)</f>
        <v>0</v>
      </c>
      <c r="AN66" s="124">
        <v>15</v>
      </c>
      <c r="AO66" s="124">
        <f>G66*0</f>
        <v>0</v>
      </c>
      <c r="AP66" s="124">
        <f>G66*(1-0)</f>
        <v>0</v>
      </c>
      <c r="AQ66" s="123" t="s">
        <v>79</v>
      </c>
      <c r="AV66" s="124">
        <f>AW66+AX66</f>
        <v>0</v>
      </c>
      <c r="AW66" s="124">
        <f>F66*AO66</f>
        <v>0</v>
      </c>
      <c r="AX66" s="124">
        <f>F66*AP66</f>
        <v>0</v>
      </c>
      <c r="AY66" s="125" t="s">
        <v>636</v>
      </c>
      <c r="AZ66" s="125" t="s">
        <v>1536</v>
      </c>
      <c r="BA66" s="113" t="s">
        <v>1542</v>
      </c>
      <c r="BC66" s="124">
        <f>AW66+AX66</f>
        <v>0</v>
      </c>
      <c r="BD66" s="124">
        <f>G66/(100-BE66)*100</f>
        <v>0</v>
      </c>
      <c r="BE66" s="124">
        <v>0</v>
      </c>
      <c r="BF66" s="124">
        <f>L66</f>
        <v>0</v>
      </c>
      <c r="BH66" s="122">
        <f>F66*AO66</f>
        <v>0</v>
      </c>
      <c r="BI66" s="122">
        <f>F66*AP66</f>
        <v>0</v>
      </c>
      <c r="BJ66" s="122">
        <f>F66*G66</f>
        <v>0</v>
      </c>
    </row>
    <row r="67" spans="1:47" s="174" customFormat="1" ht="12.75">
      <c r="A67" s="118"/>
      <c r="B67" s="119" t="s">
        <v>60</v>
      </c>
      <c r="C67" s="119" t="s">
        <v>173</v>
      </c>
      <c r="D67" s="136" t="s">
        <v>458</v>
      </c>
      <c r="E67" s="118" t="s">
        <v>57</v>
      </c>
      <c r="F67" s="118" t="s">
        <v>57</v>
      </c>
      <c r="G67" s="118"/>
      <c r="H67" s="120">
        <f>SUM(H68:H71)</f>
        <v>0</v>
      </c>
      <c r="I67" s="120">
        <f>SUM(I68:I71)</f>
        <v>0</v>
      </c>
      <c r="J67" s="120">
        <f>SUM(J68:J71)</f>
        <v>0</v>
      </c>
      <c r="K67" s="113"/>
      <c r="L67" s="120">
        <f>SUM(L68:L71)</f>
        <v>0.0281104</v>
      </c>
      <c r="M67" s="113"/>
      <c r="AI67" s="113" t="s">
        <v>60</v>
      </c>
      <c r="AS67" s="120">
        <f>SUM(AJ68:AJ71)</f>
        <v>0</v>
      </c>
      <c r="AT67" s="120">
        <f>SUM(AK68:AK71)</f>
        <v>0</v>
      </c>
      <c r="AU67" s="120">
        <f>SUM(AL68:AL71)</f>
        <v>0</v>
      </c>
    </row>
    <row r="68" spans="1:62" s="174" customFormat="1" ht="12.75">
      <c r="A68" s="121" t="s">
        <v>110</v>
      </c>
      <c r="B68" s="121" t="s">
        <v>60</v>
      </c>
      <c r="C68" s="121" t="s">
        <v>268</v>
      </c>
      <c r="D68" s="129" t="s">
        <v>459</v>
      </c>
      <c r="E68" s="121" t="s">
        <v>608</v>
      </c>
      <c r="F68" s="122">
        <f>'Stavební rozpočet'!F237</f>
        <v>190.26</v>
      </c>
      <c r="G68" s="172"/>
      <c r="H68" s="122">
        <f>F68*AO68</f>
        <v>0</v>
      </c>
      <c r="I68" s="122">
        <f>F68*AP68</f>
        <v>0</v>
      </c>
      <c r="J68" s="122">
        <f>F68*G68</f>
        <v>0</v>
      </c>
      <c r="K68" s="122">
        <f>'Stavební rozpočet'!K237</f>
        <v>4E-05</v>
      </c>
      <c r="L68" s="122">
        <f>F68*K68</f>
        <v>0.007610400000000001</v>
      </c>
      <c r="M68" s="123" t="s">
        <v>622</v>
      </c>
      <c r="Z68" s="124">
        <f>IF(AQ68="5",BJ68,0)</f>
        <v>0</v>
      </c>
      <c r="AB68" s="124">
        <f>IF(AQ68="1",BH68,0)</f>
        <v>0</v>
      </c>
      <c r="AC68" s="124">
        <f>IF(AQ68="1",BI68,0)</f>
        <v>0</v>
      </c>
      <c r="AD68" s="124">
        <f>IF(AQ68="7",BH68,0)</f>
        <v>0</v>
      </c>
      <c r="AE68" s="124">
        <f>IF(AQ68="7",BI68,0)</f>
        <v>0</v>
      </c>
      <c r="AF68" s="124">
        <f>IF(AQ68="2",BH68,0)</f>
        <v>0</v>
      </c>
      <c r="AG68" s="124">
        <f>IF(AQ68="2",BI68,0)</f>
        <v>0</v>
      </c>
      <c r="AH68" s="124">
        <f>IF(AQ68="0",BJ68,0)</f>
        <v>0</v>
      </c>
      <c r="AI68" s="113" t="s">
        <v>60</v>
      </c>
      <c r="AJ68" s="122">
        <f>IF(AN68=0,J68,0)</f>
        <v>0</v>
      </c>
      <c r="AK68" s="122">
        <f>IF(AN68=15,J68,0)</f>
        <v>0</v>
      </c>
      <c r="AL68" s="122">
        <f>IF(AN68=21,J68,0)</f>
        <v>0</v>
      </c>
      <c r="AN68" s="124">
        <v>15</v>
      </c>
      <c r="AO68" s="124">
        <f>G68*0.0165317919075144</f>
        <v>0</v>
      </c>
      <c r="AP68" s="124">
        <f>G68*(1-0.0165317919075144)</f>
        <v>0</v>
      </c>
      <c r="AQ68" s="123" t="s">
        <v>79</v>
      </c>
      <c r="AV68" s="124">
        <f>AW68+AX68</f>
        <v>0</v>
      </c>
      <c r="AW68" s="124">
        <f>F68*AO68</f>
        <v>0</v>
      </c>
      <c r="AX68" s="124">
        <f>F68*AP68</f>
        <v>0</v>
      </c>
      <c r="AY68" s="125" t="s">
        <v>637</v>
      </c>
      <c r="AZ68" s="125" t="s">
        <v>1536</v>
      </c>
      <c r="BA68" s="113" t="s">
        <v>1542</v>
      </c>
      <c r="BC68" s="124">
        <f>AW68+AX68</f>
        <v>0</v>
      </c>
      <c r="BD68" s="124">
        <f>G68/(100-BE68)*100</f>
        <v>0</v>
      </c>
      <c r="BE68" s="124">
        <v>0</v>
      </c>
      <c r="BF68" s="124">
        <f>L68</f>
        <v>0.007610400000000001</v>
      </c>
      <c r="BH68" s="122">
        <f>F68*AO68</f>
        <v>0</v>
      </c>
      <c r="BI68" s="122">
        <f>F68*AP68</f>
        <v>0</v>
      </c>
      <c r="BJ68" s="122">
        <f>F68*G68</f>
        <v>0</v>
      </c>
    </row>
    <row r="69" spans="1:62" s="174" customFormat="1" ht="12.75">
      <c r="A69" s="121" t="s">
        <v>111</v>
      </c>
      <c r="B69" s="121" t="s">
        <v>60</v>
      </c>
      <c r="C69" s="121" t="s">
        <v>269</v>
      </c>
      <c r="D69" s="129" t="s">
        <v>460</v>
      </c>
      <c r="E69" s="121" t="s">
        <v>606</v>
      </c>
      <c r="F69" s="122">
        <f>'Stavební rozpočet'!F238</f>
        <v>2</v>
      </c>
      <c r="G69" s="172"/>
      <c r="H69" s="122">
        <f>F69*AO69</f>
        <v>0</v>
      </c>
      <c r="I69" s="122">
        <f>F69*AP69</f>
        <v>0</v>
      </c>
      <c r="J69" s="122">
        <f>F69*G69</f>
        <v>0</v>
      </c>
      <c r="K69" s="122">
        <f>'Stavební rozpočet'!K238</f>
        <v>0.0065</v>
      </c>
      <c r="L69" s="122">
        <f>F69*K69</f>
        <v>0.013</v>
      </c>
      <c r="M69" s="123" t="s">
        <v>622</v>
      </c>
      <c r="Z69" s="124">
        <f>IF(AQ69="5",BJ69,0)</f>
        <v>0</v>
      </c>
      <c r="AB69" s="124">
        <f>IF(AQ69="1",BH69,0)</f>
        <v>0</v>
      </c>
      <c r="AC69" s="124">
        <f>IF(AQ69="1",BI69,0)</f>
        <v>0</v>
      </c>
      <c r="AD69" s="124">
        <f>IF(AQ69="7",BH69,0)</f>
        <v>0</v>
      </c>
      <c r="AE69" s="124">
        <f>IF(AQ69="7",BI69,0)</f>
        <v>0</v>
      </c>
      <c r="AF69" s="124">
        <f>IF(AQ69="2",BH69,0)</f>
        <v>0</v>
      </c>
      <c r="AG69" s="124">
        <f>IF(AQ69="2",BI69,0)</f>
        <v>0</v>
      </c>
      <c r="AH69" s="124">
        <f>IF(AQ69="0",BJ69,0)</f>
        <v>0</v>
      </c>
      <c r="AI69" s="113" t="s">
        <v>60</v>
      </c>
      <c r="AJ69" s="122">
        <f>IF(AN69=0,J69,0)</f>
        <v>0</v>
      </c>
      <c r="AK69" s="122">
        <f>IF(AN69=15,J69,0)</f>
        <v>0</v>
      </c>
      <c r="AL69" s="122">
        <f>IF(AN69=21,J69,0)</f>
        <v>0</v>
      </c>
      <c r="AN69" s="124">
        <v>15</v>
      </c>
      <c r="AO69" s="124">
        <f>G69*0.196715846994536</f>
        <v>0</v>
      </c>
      <c r="AP69" s="124">
        <f>G69*(1-0.196715846994536)</f>
        <v>0</v>
      </c>
      <c r="AQ69" s="123" t="s">
        <v>79</v>
      </c>
      <c r="AV69" s="124">
        <f>AW69+AX69</f>
        <v>0</v>
      </c>
      <c r="AW69" s="124">
        <f>F69*AO69</f>
        <v>0</v>
      </c>
      <c r="AX69" s="124">
        <f>F69*AP69</f>
        <v>0</v>
      </c>
      <c r="AY69" s="125" t="s">
        <v>637</v>
      </c>
      <c r="AZ69" s="125" t="s">
        <v>1536</v>
      </c>
      <c r="BA69" s="113" t="s">
        <v>1542</v>
      </c>
      <c r="BC69" s="124">
        <f>AW69+AX69</f>
        <v>0</v>
      </c>
      <c r="BD69" s="124">
        <f>G69/(100-BE69)*100</f>
        <v>0</v>
      </c>
      <c r="BE69" s="124">
        <v>0</v>
      </c>
      <c r="BF69" s="124">
        <f>L69</f>
        <v>0.013</v>
      </c>
      <c r="BH69" s="122">
        <f>F69*AO69</f>
        <v>0</v>
      </c>
      <c r="BI69" s="122">
        <f>F69*AP69</f>
        <v>0</v>
      </c>
      <c r="BJ69" s="122">
        <f>F69*G69</f>
        <v>0</v>
      </c>
    </row>
    <row r="70" spans="1:62" s="174" customFormat="1" ht="12.75">
      <c r="A70" s="121" t="s">
        <v>112</v>
      </c>
      <c r="B70" s="121" t="s">
        <v>60</v>
      </c>
      <c r="C70" s="121" t="s">
        <v>270</v>
      </c>
      <c r="D70" s="129" t="s">
        <v>461</v>
      </c>
      <c r="E70" s="121" t="s">
        <v>606</v>
      </c>
      <c r="F70" s="122">
        <f>'Stavební rozpočet'!F239</f>
        <v>15</v>
      </c>
      <c r="G70" s="172"/>
      <c r="H70" s="122">
        <f>F70*AO70</f>
        <v>0</v>
      </c>
      <c r="I70" s="122">
        <f>F70*AP70</f>
        <v>0</v>
      </c>
      <c r="J70" s="122">
        <f>F70*G70</f>
        <v>0</v>
      </c>
      <c r="K70" s="122">
        <f>'Stavební rozpočet'!K239</f>
        <v>0.0005</v>
      </c>
      <c r="L70" s="122">
        <f>F70*K70</f>
        <v>0.0075</v>
      </c>
      <c r="M70" s="123" t="s">
        <v>622</v>
      </c>
      <c r="Z70" s="124">
        <f>IF(AQ70="5",BJ70,0)</f>
        <v>0</v>
      </c>
      <c r="AB70" s="124">
        <f>IF(AQ70="1",BH70,0)</f>
        <v>0</v>
      </c>
      <c r="AC70" s="124">
        <f>IF(AQ70="1",BI70,0)</f>
        <v>0</v>
      </c>
      <c r="AD70" s="124">
        <f>IF(AQ70="7",BH70,0)</f>
        <v>0</v>
      </c>
      <c r="AE70" s="124">
        <f>IF(AQ70="7",BI70,0)</f>
        <v>0</v>
      </c>
      <c r="AF70" s="124">
        <f>IF(AQ70="2",BH70,0)</f>
        <v>0</v>
      </c>
      <c r="AG70" s="124">
        <f>IF(AQ70="2",BI70,0)</f>
        <v>0</v>
      </c>
      <c r="AH70" s="124">
        <f>IF(AQ70="0",BJ70,0)</f>
        <v>0</v>
      </c>
      <c r="AI70" s="113" t="s">
        <v>60</v>
      </c>
      <c r="AJ70" s="122">
        <f>IF(AN70=0,J70,0)</f>
        <v>0</v>
      </c>
      <c r="AK70" s="122">
        <f>IF(AN70=15,J70,0)</f>
        <v>0</v>
      </c>
      <c r="AL70" s="122">
        <f>IF(AN70=21,J70,0)</f>
        <v>0</v>
      </c>
      <c r="AN70" s="124">
        <v>15</v>
      </c>
      <c r="AO70" s="124">
        <f>G70*0.196713333333333</f>
        <v>0</v>
      </c>
      <c r="AP70" s="124">
        <f>G70*(1-0.196713333333333)</f>
        <v>0</v>
      </c>
      <c r="AQ70" s="123" t="s">
        <v>79</v>
      </c>
      <c r="AV70" s="124">
        <f>AW70+AX70</f>
        <v>0</v>
      </c>
      <c r="AW70" s="124">
        <f>F70*AO70</f>
        <v>0</v>
      </c>
      <c r="AX70" s="124">
        <f>F70*AP70</f>
        <v>0</v>
      </c>
      <c r="AY70" s="125" t="s">
        <v>637</v>
      </c>
      <c r="AZ70" s="125" t="s">
        <v>1536</v>
      </c>
      <c r="BA70" s="113" t="s">
        <v>1542</v>
      </c>
      <c r="BC70" s="124">
        <f>AW70+AX70</f>
        <v>0</v>
      </c>
      <c r="BD70" s="124">
        <f>G70/(100-BE70)*100</f>
        <v>0</v>
      </c>
      <c r="BE70" s="124">
        <v>0</v>
      </c>
      <c r="BF70" s="124">
        <f>L70</f>
        <v>0.0075</v>
      </c>
      <c r="BH70" s="122">
        <f>F70*AO70</f>
        <v>0</v>
      </c>
      <c r="BI70" s="122">
        <f>F70*AP70</f>
        <v>0</v>
      </c>
      <c r="BJ70" s="122">
        <f>F70*G70</f>
        <v>0</v>
      </c>
    </row>
    <row r="71" spans="1:62" s="174" customFormat="1" ht="12.75">
      <c r="A71" s="121" t="s">
        <v>113</v>
      </c>
      <c r="B71" s="121" t="s">
        <v>60</v>
      </c>
      <c r="C71" s="121" t="s">
        <v>271</v>
      </c>
      <c r="D71" s="129" t="s">
        <v>462</v>
      </c>
      <c r="E71" s="121" t="s">
        <v>611</v>
      </c>
      <c r="F71" s="122">
        <f>'Stavební rozpočet'!F240</f>
        <v>15</v>
      </c>
      <c r="G71" s="172"/>
      <c r="H71" s="122">
        <f>F71*AO71</f>
        <v>0</v>
      </c>
      <c r="I71" s="122">
        <f>F71*AP71</f>
        <v>0</v>
      </c>
      <c r="J71" s="122">
        <f>F71*G71</f>
        <v>0</v>
      </c>
      <c r="K71" s="122">
        <f>'Stavební rozpočet'!K240</f>
        <v>0</v>
      </c>
      <c r="L71" s="122">
        <f>F71*K71</f>
        <v>0</v>
      </c>
      <c r="M71" s="123" t="s">
        <v>622</v>
      </c>
      <c r="Z71" s="124">
        <f>IF(AQ71="5",BJ71,0)</f>
        <v>0</v>
      </c>
      <c r="AB71" s="124">
        <f>IF(AQ71="1",BH71,0)</f>
        <v>0</v>
      </c>
      <c r="AC71" s="124">
        <f>IF(AQ71="1",BI71,0)</f>
        <v>0</v>
      </c>
      <c r="AD71" s="124">
        <f>IF(AQ71="7",BH71,0)</f>
        <v>0</v>
      </c>
      <c r="AE71" s="124">
        <f>IF(AQ71="7",BI71,0)</f>
        <v>0</v>
      </c>
      <c r="AF71" s="124">
        <f>IF(AQ71="2",BH71,0)</f>
        <v>0</v>
      </c>
      <c r="AG71" s="124">
        <f>IF(AQ71="2",BI71,0)</f>
        <v>0</v>
      </c>
      <c r="AH71" s="124">
        <f>IF(AQ71="0",BJ71,0)</f>
        <v>0</v>
      </c>
      <c r="AI71" s="113" t="s">
        <v>60</v>
      </c>
      <c r="AJ71" s="122">
        <f>IF(AN71=0,J71,0)</f>
        <v>0</v>
      </c>
      <c r="AK71" s="122">
        <f>IF(AN71=15,J71,0)</f>
        <v>0</v>
      </c>
      <c r="AL71" s="122">
        <f>IF(AN71=21,J71,0)</f>
        <v>0</v>
      </c>
      <c r="AN71" s="124">
        <v>15</v>
      </c>
      <c r="AO71" s="124">
        <f>G71*0.469344827586207</f>
        <v>0</v>
      </c>
      <c r="AP71" s="124">
        <f>G71*(1-0.469344827586207)</f>
        <v>0</v>
      </c>
      <c r="AQ71" s="123" t="s">
        <v>79</v>
      </c>
      <c r="AV71" s="124">
        <f>AW71+AX71</f>
        <v>0</v>
      </c>
      <c r="AW71" s="124">
        <f>F71*AO71</f>
        <v>0</v>
      </c>
      <c r="AX71" s="124">
        <f>F71*AP71</f>
        <v>0</v>
      </c>
      <c r="AY71" s="125" t="s">
        <v>637</v>
      </c>
      <c r="AZ71" s="125" t="s">
        <v>1536</v>
      </c>
      <c r="BA71" s="113" t="s">
        <v>1542</v>
      </c>
      <c r="BC71" s="124">
        <f>AW71+AX71</f>
        <v>0</v>
      </c>
      <c r="BD71" s="124">
        <f>G71/(100-BE71)*100</f>
        <v>0</v>
      </c>
      <c r="BE71" s="124">
        <v>0</v>
      </c>
      <c r="BF71" s="124">
        <f>L71</f>
        <v>0</v>
      </c>
      <c r="BH71" s="122">
        <f>F71*AO71</f>
        <v>0</v>
      </c>
      <c r="BI71" s="122">
        <f>F71*AP71</f>
        <v>0</v>
      </c>
      <c r="BJ71" s="122">
        <f>F71*G71</f>
        <v>0</v>
      </c>
    </row>
    <row r="72" spans="1:47" s="174" customFormat="1" ht="12.75">
      <c r="A72" s="118"/>
      <c r="B72" s="119" t="s">
        <v>60</v>
      </c>
      <c r="C72" s="119" t="s">
        <v>174</v>
      </c>
      <c r="D72" s="136" t="s">
        <v>463</v>
      </c>
      <c r="E72" s="118" t="s">
        <v>57</v>
      </c>
      <c r="F72" s="118" t="s">
        <v>57</v>
      </c>
      <c r="G72" s="118"/>
      <c r="H72" s="120">
        <f>SUM(H73:H83)</f>
        <v>0</v>
      </c>
      <c r="I72" s="120">
        <f>SUM(I73:I83)</f>
        <v>0</v>
      </c>
      <c r="J72" s="120">
        <f>SUM(J73:J83)</f>
        <v>0</v>
      </c>
      <c r="K72" s="113"/>
      <c r="L72" s="120">
        <f>SUM(L73:L83)</f>
        <v>131.8863294</v>
      </c>
      <c r="M72" s="113"/>
      <c r="AI72" s="113" t="s">
        <v>60</v>
      </c>
      <c r="AS72" s="120">
        <f>SUM(AJ73:AJ83)</f>
        <v>0</v>
      </c>
      <c r="AT72" s="120">
        <f>SUM(AK73:AK83)</f>
        <v>0</v>
      </c>
      <c r="AU72" s="120">
        <f>SUM(AL73:AL83)</f>
        <v>0</v>
      </c>
    </row>
    <row r="73" spans="1:62" s="174" customFormat="1" ht="12.75" hidden="1">
      <c r="A73" s="121" t="s">
        <v>114</v>
      </c>
      <c r="B73" s="121" t="s">
        <v>60</v>
      </c>
      <c r="C73" s="121" t="s">
        <v>272</v>
      </c>
      <c r="D73" s="129" t="s">
        <v>464</v>
      </c>
      <c r="E73" s="121" t="s">
        <v>608</v>
      </c>
      <c r="F73" s="122">
        <f>'Stavební rozpočet'!F242</f>
        <v>0</v>
      </c>
      <c r="G73" s="172"/>
      <c r="H73" s="122">
        <f>F73*AO73</f>
        <v>0</v>
      </c>
      <c r="I73" s="122">
        <f>F73*AP73</f>
        <v>0</v>
      </c>
      <c r="J73" s="122">
        <f>F73*G73</f>
        <v>0</v>
      </c>
      <c r="K73" s="122">
        <f>'Stavební rozpočet'!K242</f>
        <v>0.11367</v>
      </c>
      <c r="L73" s="122">
        <f>F73*K73</f>
        <v>0</v>
      </c>
      <c r="M73" s="123" t="s">
        <v>622</v>
      </c>
      <c r="Z73" s="124">
        <f>IF(AQ73="5",BJ73,0)</f>
        <v>0</v>
      </c>
      <c r="AB73" s="124">
        <f>IF(AQ73="1",BH73,0)</f>
        <v>0</v>
      </c>
      <c r="AC73" s="124">
        <f>IF(AQ73="1",BI73,0)</f>
        <v>0</v>
      </c>
      <c r="AD73" s="124">
        <f>IF(AQ73="7",BH73,0)</f>
        <v>0</v>
      </c>
      <c r="AE73" s="124">
        <f>IF(AQ73="7",BI73,0)</f>
        <v>0</v>
      </c>
      <c r="AF73" s="124">
        <f>IF(AQ73="2",BH73,0)</f>
        <v>0</v>
      </c>
      <c r="AG73" s="124">
        <f>IF(AQ73="2",BI73,0)</f>
        <v>0</v>
      </c>
      <c r="AH73" s="124">
        <f>IF(AQ73="0",BJ73,0)</f>
        <v>0</v>
      </c>
      <c r="AI73" s="113" t="s">
        <v>60</v>
      </c>
      <c r="AJ73" s="122">
        <f>IF(AN73=0,J73,0)</f>
        <v>0</v>
      </c>
      <c r="AK73" s="122">
        <f>IF(AN73=15,J73,0)</f>
        <v>0</v>
      </c>
      <c r="AL73" s="122">
        <f>IF(AN73=21,J73,0)</f>
        <v>0</v>
      </c>
      <c r="AN73" s="124">
        <v>15</v>
      </c>
      <c r="AO73" s="124">
        <f>G73*0.227587813746602</f>
        <v>0</v>
      </c>
      <c r="AP73" s="124">
        <f>G73*(1-0.227587813746602)</f>
        <v>0</v>
      </c>
      <c r="AQ73" s="123" t="s">
        <v>79</v>
      </c>
      <c r="AV73" s="124">
        <f>AW73+AX73</f>
        <v>0</v>
      </c>
      <c r="AW73" s="124">
        <f>F73*AO73</f>
        <v>0</v>
      </c>
      <c r="AX73" s="124">
        <f>F73*AP73</f>
        <v>0</v>
      </c>
      <c r="AY73" s="125" t="s">
        <v>638</v>
      </c>
      <c r="AZ73" s="125" t="s">
        <v>1536</v>
      </c>
      <c r="BA73" s="113" t="s">
        <v>1542</v>
      </c>
      <c r="BC73" s="124">
        <f>AW73+AX73</f>
        <v>0</v>
      </c>
      <c r="BD73" s="124">
        <f>G73/(100-BE73)*100</f>
        <v>0</v>
      </c>
      <c r="BE73" s="124">
        <v>0</v>
      </c>
      <c r="BF73" s="124">
        <f>L73</f>
        <v>0</v>
      </c>
      <c r="BH73" s="122">
        <f>F73*AO73</f>
        <v>0</v>
      </c>
      <c r="BI73" s="122">
        <f>F73*AP73</f>
        <v>0</v>
      </c>
      <c r="BJ73" s="122">
        <f>F73*G73</f>
        <v>0</v>
      </c>
    </row>
    <row r="74" spans="1:62" s="174" customFormat="1" ht="12.75">
      <c r="A74" s="121" t="s">
        <v>115</v>
      </c>
      <c r="B74" s="121" t="s">
        <v>60</v>
      </c>
      <c r="C74" s="121" t="s">
        <v>273</v>
      </c>
      <c r="D74" s="129" t="s">
        <v>465</v>
      </c>
      <c r="E74" s="121" t="s">
        <v>608</v>
      </c>
      <c r="F74" s="122">
        <f>'Stavební rozpočet'!F243</f>
        <v>27</v>
      </c>
      <c r="G74" s="172"/>
      <c r="H74" s="122">
        <f>F74*AO74</f>
        <v>0</v>
      </c>
      <c r="I74" s="122">
        <f>F74*AP74</f>
        <v>0</v>
      </c>
      <c r="J74" s="122">
        <f>F74*G74</f>
        <v>0</v>
      </c>
      <c r="K74" s="122">
        <f>'Stavební rozpočet'!K243</f>
        <v>0.11767</v>
      </c>
      <c r="L74" s="122">
        <f>F74*K74</f>
        <v>3.1770899999999997</v>
      </c>
      <c r="M74" s="123" t="s">
        <v>622</v>
      </c>
      <c r="Z74" s="124">
        <f>IF(AQ74="5",BJ74,0)</f>
        <v>0</v>
      </c>
      <c r="AB74" s="124">
        <f>IF(AQ74="1",BH74,0)</f>
        <v>0</v>
      </c>
      <c r="AC74" s="124">
        <f>IF(AQ74="1",BI74,0)</f>
        <v>0</v>
      </c>
      <c r="AD74" s="124">
        <f>IF(AQ74="7",BH74,0)</f>
        <v>0</v>
      </c>
      <c r="AE74" s="124">
        <f>IF(AQ74="7",BI74,0)</f>
        <v>0</v>
      </c>
      <c r="AF74" s="124">
        <f>IF(AQ74="2",BH74,0)</f>
        <v>0</v>
      </c>
      <c r="AG74" s="124">
        <f>IF(AQ74="2",BI74,0)</f>
        <v>0</v>
      </c>
      <c r="AH74" s="124">
        <f>IF(AQ74="0",BJ74,0)</f>
        <v>0</v>
      </c>
      <c r="AI74" s="113" t="s">
        <v>60</v>
      </c>
      <c r="AJ74" s="122">
        <f>IF(AN74=0,J74,0)</f>
        <v>0</v>
      </c>
      <c r="AK74" s="122">
        <f>IF(AN74=15,J74,0)</f>
        <v>0</v>
      </c>
      <c r="AL74" s="122">
        <f>IF(AN74=21,J74,0)</f>
        <v>0</v>
      </c>
      <c r="AN74" s="124">
        <v>15</v>
      </c>
      <c r="AO74" s="124">
        <f>G74*0.191790661488444</f>
        <v>0</v>
      </c>
      <c r="AP74" s="124">
        <f>G74*(1-0.191790661488444)</f>
        <v>0</v>
      </c>
      <c r="AQ74" s="123" t="s">
        <v>79</v>
      </c>
      <c r="AV74" s="124">
        <f>AW74+AX74</f>
        <v>0</v>
      </c>
      <c r="AW74" s="124">
        <f>F74*AO74</f>
        <v>0</v>
      </c>
      <c r="AX74" s="124">
        <f>F74*AP74</f>
        <v>0</v>
      </c>
      <c r="AY74" s="125" t="s">
        <v>638</v>
      </c>
      <c r="AZ74" s="125" t="s">
        <v>1536</v>
      </c>
      <c r="BA74" s="113" t="s">
        <v>1542</v>
      </c>
      <c r="BC74" s="124">
        <f>AW74+AX74</f>
        <v>0</v>
      </c>
      <c r="BD74" s="124">
        <f>G74/(100-BE74)*100</f>
        <v>0</v>
      </c>
      <c r="BE74" s="124">
        <v>0</v>
      </c>
      <c r="BF74" s="124">
        <f>L74</f>
        <v>3.1770899999999997</v>
      </c>
      <c r="BH74" s="122">
        <f>F74*AO74</f>
        <v>0</v>
      </c>
      <c r="BI74" s="122">
        <f>F74*AP74</f>
        <v>0</v>
      </c>
      <c r="BJ74" s="122">
        <f>F74*G74</f>
        <v>0</v>
      </c>
    </row>
    <row r="75" spans="1:62" s="174" customFormat="1" ht="12.75">
      <c r="A75" s="121" t="s">
        <v>116</v>
      </c>
      <c r="B75" s="121" t="s">
        <v>60</v>
      </c>
      <c r="C75" s="121" t="s">
        <v>953</v>
      </c>
      <c r="D75" s="129" t="s">
        <v>1240</v>
      </c>
      <c r="E75" s="121" t="s">
        <v>610</v>
      </c>
      <c r="F75" s="122">
        <f>'Stavební rozpočet'!F244</f>
        <v>34.2</v>
      </c>
      <c r="G75" s="172"/>
      <c r="H75" s="122">
        <f>F75*AO75</f>
        <v>0</v>
      </c>
      <c r="I75" s="122">
        <f>F75*AP75</f>
        <v>0</v>
      </c>
      <c r="J75" s="122">
        <f>F75*G75</f>
        <v>0</v>
      </c>
      <c r="K75" s="122">
        <f>'Stavební rozpočet'!K244</f>
        <v>2.2</v>
      </c>
      <c r="L75" s="122">
        <f>F75*K75</f>
        <v>75.24000000000001</v>
      </c>
      <c r="M75" s="123" t="s">
        <v>622</v>
      </c>
      <c r="Z75" s="124">
        <f>IF(AQ75="5",BJ75,0)</f>
        <v>0</v>
      </c>
      <c r="AB75" s="124">
        <f>IF(AQ75="1",BH75,0)</f>
        <v>0</v>
      </c>
      <c r="AC75" s="124">
        <f>IF(AQ75="1",BI75,0)</f>
        <v>0</v>
      </c>
      <c r="AD75" s="124">
        <f>IF(AQ75="7",BH75,0)</f>
        <v>0</v>
      </c>
      <c r="AE75" s="124">
        <f>IF(AQ75="7",BI75,0)</f>
        <v>0</v>
      </c>
      <c r="AF75" s="124">
        <f>IF(AQ75="2",BH75,0)</f>
        <v>0</v>
      </c>
      <c r="AG75" s="124">
        <f>IF(AQ75="2",BI75,0)</f>
        <v>0</v>
      </c>
      <c r="AH75" s="124">
        <f>IF(AQ75="0",BJ75,0)</f>
        <v>0</v>
      </c>
      <c r="AI75" s="113" t="s">
        <v>60</v>
      </c>
      <c r="AJ75" s="122">
        <f>IF(AN75=0,J75,0)</f>
        <v>0</v>
      </c>
      <c r="AK75" s="122">
        <f>IF(AN75=15,J75,0)</f>
        <v>0</v>
      </c>
      <c r="AL75" s="122">
        <f>IF(AN75=21,J75,0)</f>
        <v>0</v>
      </c>
      <c r="AN75" s="124">
        <v>15</v>
      </c>
      <c r="AO75" s="124">
        <f>G75*0</f>
        <v>0</v>
      </c>
      <c r="AP75" s="124">
        <f>G75*(1-0)</f>
        <v>0</v>
      </c>
      <c r="AQ75" s="123" t="s">
        <v>79</v>
      </c>
      <c r="AV75" s="124">
        <f>AW75+AX75</f>
        <v>0</v>
      </c>
      <c r="AW75" s="124">
        <f>F75*AO75</f>
        <v>0</v>
      </c>
      <c r="AX75" s="124">
        <f>F75*AP75</f>
        <v>0</v>
      </c>
      <c r="AY75" s="125" t="s">
        <v>638</v>
      </c>
      <c r="AZ75" s="125" t="s">
        <v>1536</v>
      </c>
      <c r="BA75" s="113" t="s">
        <v>1542</v>
      </c>
      <c r="BC75" s="124">
        <f>AW75+AX75</f>
        <v>0</v>
      </c>
      <c r="BD75" s="124">
        <f>G75/(100-BE75)*100</f>
        <v>0</v>
      </c>
      <c r="BE75" s="124">
        <v>0</v>
      </c>
      <c r="BF75" s="124">
        <f>L75</f>
        <v>75.24000000000001</v>
      </c>
      <c r="BH75" s="122">
        <f>F75*AO75</f>
        <v>0</v>
      </c>
      <c r="BI75" s="122">
        <f>F75*AP75</f>
        <v>0</v>
      </c>
      <c r="BJ75" s="122">
        <f>F75*G75</f>
        <v>0</v>
      </c>
    </row>
    <row r="76" spans="4:7" s="174" customFormat="1" ht="12.75">
      <c r="D76" s="79" t="s">
        <v>1241</v>
      </c>
      <c r="G76" s="175"/>
    </row>
    <row r="77" spans="1:62" s="174" customFormat="1" ht="12.75">
      <c r="A77" s="121" t="s">
        <v>117</v>
      </c>
      <c r="B77" s="121" t="s">
        <v>60</v>
      </c>
      <c r="C77" s="121" t="s">
        <v>954</v>
      </c>
      <c r="D77" s="129" t="s">
        <v>1242</v>
      </c>
      <c r="E77" s="121" t="s">
        <v>610</v>
      </c>
      <c r="F77" s="122">
        <f>'Stavební rozpočet'!F245</f>
        <v>23.94</v>
      </c>
      <c r="G77" s="172"/>
      <c r="H77" s="122">
        <f>F77*AO77</f>
        <v>0</v>
      </c>
      <c r="I77" s="122">
        <f>F77*AP77</f>
        <v>0</v>
      </c>
      <c r="J77" s="122">
        <f>F77*G77</f>
        <v>0</v>
      </c>
      <c r="K77" s="122">
        <f>'Stavební rozpočet'!K245</f>
        <v>2.2</v>
      </c>
      <c r="L77" s="122">
        <f>F77*K77</f>
        <v>52.668000000000006</v>
      </c>
      <c r="M77" s="123" t="s">
        <v>622</v>
      </c>
      <c r="Z77" s="124">
        <f>IF(AQ77="5",BJ77,0)</f>
        <v>0</v>
      </c>
      <c r="AB77" s="124">
        <f>IF(AQ77="1",BH77,0)</f>
        <v>0</v>
      </c>
      <c r="AC77" s="124">
        <f>IF(AQ77="1",BI77,0)</f>
        <v>0</v>
      </c>
      <c r="AD77" s="124">
        <f>IF(AQ77="7",BH77,0)</f>
        <v>0</v>
      </c>
      <c r="AE77" s="124">
        <f>IF(AQ77="7",BI77,0)</f>
        <v>0</v>
      </c>
      <c r="AF77" s="124">
        <f>IF(AQ77="2",BH77,0)</f>
        <v>0</v>
      </c>
      <c r="AG77" s="124">
        <f>IF(AQ77="2",BI77,0)</f>
        <v>0</v>
      </c>
      <c r="AH77" s="124">
        <f>IF(AQ77="0",BJ77,0)</f>
        <v>0</v>
      </c>
      <c r="AI77" s="113" t="s">
        <v>60</v>
      </c>
      <c r="AJ77" s="122">
        <f>IF(AN77=0,J77,0)</f>
        <v>0</v>
      </c>
      <c r="AK77" s="122">
        <f>IF(AN77=15,J77,0)</f>
        <v>0</v>
      </c>
      <c r="AL77" s="122">
        <f>IF(AN77=21,J77,0)</f>
        <v>0</v>
      </c>
      <c r="AN77" s="124">
        <v>15</v>
      </c>
      <c r="AO77" s="124">
        <f>G77*0</f>
        <v>0</v>
      </c>
      <c r="AP77" s="124">
        <f>G77*(1-0)</f>
        <v>0</v>
      </c>
      <c r="AQ77" s="123" t="s">
        <v>79</v>
      </c>
      <c r="AV77" s="124">
        <f>AW77+AX77</f>
        <v>0</v>
      </c>
      <c r="AW77" s="124">
        <f>F77*AO77</f>
        <v>0</v>
      </c>
      <c r="AX77" s="124">
        <f>F77*AP77</f>
        <v>0</v>
      </c>
      <c r="AY77" s="125" t="s">
        <v>638</v>
      </c>
      <c r="AZ77" s="125" t="s">
        <v>1536</v>
      </c>
      <c r="BA77" s="113" t="s">
        <v>1542</v>
      </c>
      <c r="BC77" s="124">
        <f>AW77+AX77</f>
        <v>0</v>
      </c>
      <c r="BD77" s="124">
        <f>G77/(100-BE77)*100</f>
        <v>0</v>
      </c>
      <c r="BE77" s="124">
        <v>0</v>
      </c>
      <c r="BF77" s="124">
        <f>L77</f>
        <v>52.668000000000006</v>
      </c>
      <c r="BH77" s="122">
        <f>F77*AO77</f>
        <v>0</v>
      </c>
      <c r="BI77" s="122">
        <f>F77*AP77</f>
        <v>0</v>
      </c>
      <c r="BJ77" s="122">
        <f>F77*G77</f>
        <v>0</v>
      </c>
    </row>
    <row r="78" spans="4:7" s="174" customFormat="1" ht="12.75">
      <c r="D78" s="79" t="s">
        <v>1243</v>
      </c>
      <c r="G78" s="175"/>
    </row>
    <row r="79" spans="1:62" s="174" customFormat="1" ht="12.75">
      <c r="A79" s="121" t="s">
        <v>118</v>
      </c>
      <c r="B79" s="121" t="s">
        <v>60</v>
      </c>
      <c r="C79" s="121" t="s">
        <v>955</v>
      </c>
      <c r="D79" s="129" t="s">
        <v>1244</v>
      </c>
      <c r="E79" s="121" t="s">
        <v>610</v>
      </c>
      <c r="F79" s="122">
        <f>'Stavební rozpočet'!F246</f>
        <v>34.2</v>
      </c>
      <c r="G79" s="172"/>
      <c r="H79" s="122">
        <f>F79*AO79</f>
        <v>0</v>
      </c>
      <c r="I79" s="122">
        <f>F79*AP79</f>
        <v>0</v>
      </c>
      <c r="J79" s="122">
        <f>F79*G79</f>
        <v>0</v>
      </c>
      <c r="K79" s="122">
        <f>'Stavební rozpočet'!K246</f>
        <v>0</v>
      </c>
      <c r="L79" s="122">
        <f>F79*K79</f>
        <v>0</v>
      </c>
      <c r="M79" s="123" t="s">
        <v>622</v>
      </c>
      <c r="Z79" s="124">
        <f>IF(AQ79="5",BJ79,0)</f>
        <v>0</v>
      </c>
      <c r="AB79" s="124">
        <f>IF(AQ79="1",BH79,0)</f>
        <v>0</v>
      </c>
      <c r="AC79" s="124">
        <f>IF(AQ79="1",BI79,0)</f>
        <v>0</v>
      </c>
      <c r="AD79" s="124">
        <f>IF(AQ79="7",BH79,0)</f>
        <v>0</v>
      </c>
      <c r="AE79" s="124">
        <f>IF(AQ79="7",BI79,0)</f>
        <v>0</v>
      </c>
      <c r="AF79" s="124">
        <f>IF(AQ79="2",BH79,0)</f>
        <v>0</v>
      </c>
      <c r="AG79" s="124">
        <f>IF(AQ79="2",BI79,0)</f>
        <v>0</v>
      </c>
      <c r="AH79" s="124">
        <f>IF(AQ79="0",BJ79,0)</f>
        <v>0</v>
      </c>
      <c r="AI79" s="113" t="s">
        <v>60</v>
      </c>
      <c r="AJ79" s="122">
        <f>IF(AN79=0,J79,0)</f>
        <v>0</v>
      </c>
      <c r="AK79" s="122">
        <f>IF(AN79=15,J79,0)</f>
        <v>0</v>
      </c>
      <c r="AL79" s="122">
        <f>IF(AN79=21,J79,0)</f>
        <v>0</v>
      </c>
      <c r="AN79" s="124">
        <v>15</v>
      </c>
      <c r="AO79" s="124">
        <f>G79*0</f>
        <v>0</v>
      </c>
      <c r="AP79" s="124">
        <f>G79*(1-0)</f>
        <v>0</v>
      </c>
      <c r="AQ79" s="123" t="s">
        <v>79</v>
      </c>
      <c r="AV79" s="124">
        <f>AW79+AX79</f>
        <v>0</v>
      </c>
      <c r="AW79" s="124">
        <f>F79*AO79</f>
        <v>0</v>
      </c>
      <c r="AX79" s="124">
        <f>F79*AP79</f>
        <v>0</v>
      </c>
      <c r="AY79" s="125" t="s">
        <v>638</v>
      </c>
      <c r="AZ79" s="125" t="s">
        <v>1536</v>
      </c>
      <c r="BA79" s="113" t="s">
        <v>1542</v>
      </c>
      <c r="BC79" s="124">
        <f>AW79+AX79</f>
        <v>0</v>
      </c>
      <c r="BD79" s="124">
        <f>G79/(100-BE79)*100</f>
        <v>0</v>
      </c>
      <c r="BE79" s="124">
        <v>0</v>
      </c>
      <c r="BF79" s="124">
        <f>L79</f>
        <v>0</v>
      </c>
      <c r="BH79" s="122">
        <f>F79*AO79</f>
        <v>0</v>
      </c>
      <c r="BI79" s="122">
        <f>F79*AP79</f>
        <v>0</v>
      </c>
      <c r="BJ79" s="122">
        <f>F79*G79</f>
        <v>0</v>
      </c>
    </row>
    <row r="80" spans="4:7" s="174" customFormat="1" ht="12.75">
      <c r="D80" s="79" t="s">
        <v>1245</v>
      </c>
      <c r="G80" s="175"/>
    </row>
    <row r="81" spans="1:62" s="174" customFormat="1" ht="12.75">
      <c r="A81" s="121" t="s">
        <v>119</v>
      </c>
      <c r="B81" s="121" t="s">
        <v>60</v>
      </c>
      <c r="C81" s="121" t="s">
        <v>276</v>
      </c>
      <c r="D81" s="129" t="s">
        <v>468</v>
      </c>
      <c r="E81" s="121" t="s">
        <v>608</v>
      </c>
      <c r="F81" s="122">
        <f>'Stavební rozpočet'!F247</f>
        <v>2.91</v>
      </c>
      <c r="G81" s="172"/>
      <c r="H81" s="122">
        <f>F81*AO81</f>
        <v>0</v>
      </c>
      <c r="I81" s="122">
        <f>F81*AP81</f>
        <v>0</v>
      </c>
      <c r="J81" s="122">
        <f>F81*G81</f>
        <v>0</v>
      </c>
      <c r="K81" s="122">
        <f>'Stavební rozpočet'!K247</f>
        <v>0.27534</v>
      </c>
      <c r="L81" s="122">
        <f>F81*K81</f>
        <v>0.8012393999999999</v>
      </c>
      <c r="M81" s="123" t="s">
        <v>622</v>
      </c>
      <c r="Z81" s="124">
        <f>IF(AQ81="5",BJ81,0)</f>
        <v>0</v>
      </c>
      <c r="AB81" s="124">
        <f>IF(AQ81="1",BH81,0)</f>
        <v>0</v>
      </c>
      <c r="AC81" s="124">
        <f>IF(AQ81="1",BI81,0)</f>
        <v>0</v>
      </c>
      <c r="AD81" s="124">
        <f>IF(AQ81="7",BH81,0)</f>
        <v>0</v>
      </c>
      <c r="AE81" s="124">
        <f>IF(AQ81="7",BI81,0)</f>
        <v>0</v>
      </c>
      <c r="AF81" s="124">
        <f>IF(AQ81="2",BH81,0)</f>
        <v>0</v>
      </c>
      <c r="AG81" s="124">
        <f>IF(AQ81="2",BI81,0)</f>
        <v>0</v>
      </c>
      <c r="AH81" s="124">
        <f>IF(AQ81="0",BJ81,0)</f>
        <v>0</v>
      </c>
      <c r="AI81" s="113" t="s">
        <v>60</v>
      </c>
      <c r="AJ81" s="122">
        <f>IF(AN81=0,J81,0)</f>
        <v>0</v>
      </c>
      <c r="AK81" s="122">
        <f>IF(AN81=15,J81,0)</f>
        <v>0</v>
      </c>
      <c r="AL81" s="122">
        <f>IF(AN81=21,J81,0)</f>
        <v>0</v>
      </c>
      <c r="AN81" s="124">
        <v>15</v>
      </c>
      <c r="AO81" s="124">
        <f>G81*0.0308315165372753</f>
        <v>0</v>
      </c>
      <c r="AP81" s="124">
        <f>G81*(1-0.0308315165372753)</f>
        <v>0</v>
      </c>
      <c r="AQ81" s="123" t="s">
        <v>79</v>
      </c>
      <c r="AV81" s="124">
        <f>AW81+AX81</f>
        <v>0</v>
      </c>
      <c r="AW81" s="124">
        <f>F81*AO81</f>
        <v>0</v>
      </c>
      <c r="AX81" s="124">
        <f>F81*AP81</f>
        <v>0</v>
      </c>
      <c r="AY81" s="125" t="s">
        <v>638</v>
      </c>
      <c r="AZ81" s="125" t="s">
        <v>1536</v>
      </c>
      <c r="BA81" s="113" t="s">
        <v>1542</v>
      </c>
      <c r="BC81" s="124">
        <f>AW81+AX81</f>
        <v>0</v>
      </c>
      <c r="BD81" s="124">
        <f>G81/(100-BE81)*100</f>
        <v>0</v>
      </c>
      <c r="BE81" s="124">
        <v>0</v>
      </c>
      <c r="BF81" s="124">
        <f>L81</f>
        <v>0.8012393999999999</v>
      </c>
      <c r="BH81" s="122">
        <f>F81*AO81</f>
        <v>0</v>
      </c>
      <c r="BI81" s="122">
        <f>F81*AP81</f>
        <v>0</v>
      </c>
      <c r="BJ81" s="122">
        <f>F81*G81</f>
        <v>0</v>
      </c>
    </row>
    <row r="82" spans="1:62" s="174" customFormat="1" ht="12.75">
      <c r="A82" s="121" t="s">
        <v>120</v>
      </c>
      <c r="B82" s="121" t="s">
        <v>60</v>
      </c>
      <c r="C82" s="121" t="s">
        <v>956</v>
      </c>
      <c r="D82" s="129" t="s">
        <v>1246</v>
      </c>
      <c r="E82" s="121" t="s">
        <v>606</v>
      </c>
      <c r="F82" s="122">
        <f>'Stavební rozpočet'!F248</f>
        <v>7</v>
      </c>
      <c r="G82" s="172"/>
      <c r="H82" s="122">
        <f>F82*AO82</f>
        <v>0</v>
      </c>
      <c r="I82" s="122">
        <f>F82*AP82</f>
        <v>0</v>
      </c>
      <c r="J82" s="122">
        <f>F82*G82</f>
        <v>0</v>
      </c>
      <c r="K82" s="122">
        <f>'Stavební rozpočet'!K248</f>
        <v>0</v>
      </c>
      <c r="L82" s="122">
        <f>F82*K82</f>
        <v>0</v>
      </c>
      <c r="M82" s="123" t="s">
        <v>622</v>
      </c>
      <c r="Z82" s="124">
        <f>IF(AQ82="5",BJ82,0)</f>
        <v>0</v>
      </c>
      <c r="AB82" s="124">
        <f>IF(AQ82="1",BH82,0)</f>
        <v>0</v>
      </c>
      <c r="AC82" s="124">
        <f>IF(AQ82="1",BI82,0)</f>
        <v>0</v>
      </c>
      <c r="AD82" s="124">
        <f>IF(AQ82="7",BH82,0)</f>
        <v>0</v>
      </c>
      <c r="AE82" s="124">
        <f>IF(AQ82="7",BI82,0)</f>
        <v>0</v>
      </c>
      <c r="AF82" s="124">
        <f>IF(AQ82="2",BH82,0)</f>
        <v>0</v>
      </c>
      <c r="AG82" s="124">
        <f>IF(AQ82="2",BI82,0)</f>
        <v>0</v>
      </c>
      <c r="AH82" s="124">
        <f>IF(AQ82="0",BJ82,0)</f>
        <v>0</v>
      </c>
      <c r="AI82" s="113" t="s">
        <v>60</v>
      </c>
      <c r="AJ82" s="122">
        <f>IF(AN82=0,J82,0)</f>
        <v>0</v>
      </c>
      <c r="AK82" s="122">
        <f>IF(AN82=15,J82,0)</f>
        <v>0</v>
      </c>
      <c r="AL82" s="122">
        <f>IF(AN82=21,J82,0)</f>
        <v>0</v>
      </c>
      <c r="AN82" s="124">
        <v>15</v>
      </c>
      <c r="AO82" s="124">
        <f>G82*0</f>
        <v>0</v>
      </c>
      <c r="AP82" s="124">
        <f>G82*(1-0)</f>
        <v>0</v>
      </c>
      <c r="AQ82" s="123" t="s">
        <v>79</v>
      </c>
      <c r="AV82" s="124">
        <f>AW82+AX82</f>
        <v>0</v>
      </c>
      <c r="AW82" s="124">
        <f>F82*AO82</f>
        <v>0</v>
      </c>
      <c r="AX82" s="124">
        <f>F82*AP82</f>
        <v>0</v>
      </c>
      <c r="AY82" s="125" t="s">
        <v>638</v>
      </c>
      <c r="AZ82" s="125" t="s">
        <v>1536</v>
      </c>
      <c r="BA82" s="113" t="s">
        <v>1542</v>
      </c>
      <c r="BC82" s="124">
        <f>AW82+AX82</f>
        <v>0</v>
      </c>
      <c r="BD82" s="124">
        <f>G82/(100-BE82)*100</f>
        <v>0</v>
      </c>
      <c r="BE82" s="124">
        <v>0</v>
      </c>
      <c r="BF82" s="124">
        <f>L82</f>
        <v>0</v>
      </c>
      <c r="BH82" s="122">
        <f>F82*AO82</f>
        <v>0</v>
      </c>
      <c r="BI82" s="122">
        <f>F82*AP82</f>
        <v>0</v>
      </c>
      <c r="BJ82" s="122">
        <f>F82*G82</f>
        <v>0</v>
      </c>
    </row>
    <row r="83" spans="1:62" s="174" customFormat="1" ht="12.75" hidden="1">
      <c r="A83" s="121" t="s">
        <v>121</v>
      </c>
      <c r="B83" s="121" t="s">
        <v>60</v>
      </c>
      <c r="C83" s="121" t="s">
        <v>957</v>
      </c>
      <c r="D83" s="129" t="s">
        <v>1247</v>
      </c>
      <c r="E83" s="121" t="s">
        <v>609</v>
      </c>
      <c r="F83" s="122">
        <f>'Stavební rozpočet'!F249</f>
        <v>0</v>
      </c>
      <c r="G83" s="172"/>
      <c r="H83" s="122">
        <f>F83*AO83</f>
        <v>0</v>
      </c>
      <c r="I83" s="122">
        <f>F83*AP83</f>
        <v>0</v>
      </c>
      <c r="J83" s="122">
        <f>F83*G83</f>
        <v>0</v>
      </c>
      <c r="K83" s="122">
        <f>'Stavební rozpočet'!K249</f>
        <v>0</v>
      </c>
      <c r="L83" s="122">
        <f>F83*K83</f>
        <v>0</v>
      </c>
      <c r="M83" s="123" t="s">
        <v>622</v>
      </c>
      <c r="Z83" s="124">
        <f>IF(AQ83="5",BJ83,0)</f>
        <v>0</v>
      </c>
      <c r="AB83" s="124">
        <f>IF(AQ83="1",BH83,0)</f>
        <v>0</v>
      </c>
      <c r="AC83" s="124">
        <f>IF(AQ83="1",BI83,0)</f>
        <v>0</v>
      </c>
      <c r="AD83" s="124">
        <f>IF(AQ83="7",BH83,0)</f>
        <v>0</v>
      </c>
      <c r="AE83" s="124">
        <f>IF(AQ83="7",BI83,0)</f>
        <v>0</v>
      </c>
      <c r="AF83" s="124">
        <f>IF(AQ83="2",BH83,0)</f>
        <v>0</v>
      </c>
      <c r="AG83" s="124">
        <f>IF(AQ83="2",BI83,0)</f>
        <v>0</v>
      </c>
      <c r="AH83" s="124">
        <f>IF(AQ83="0",BJ83,0)</f>
        <v>0</v>
      </c>
      <c r="AI83" s="113" t="s">
        <v>60</v>
      </c>
      <c r="AJ83" s="122">
        <f>IF(AN83=0,J83,0)</f>
        <v>0</v>
      </c>
      <c r="AK83" s="122">
        <f>IF(AN83=15,J83,0)</f>
        <v>0</v>
      </c>
      <c r="AL83" s="122">
        <f>IF(AN83=21,J83,0)</f>
        <v>0</v>
      </c>
      <c r="AN83" s="124">
        <v>15</v>
      </c>
      <c r="AO83" s="124">
        <f>G83*0.105417142857143</f>
        <v>0</v>
      </c>
      <c r="AP83" s="124">
        <f>G83*(1-0.105417142857143)</f>
        <v>0</v>
      </c>
      <c r="AQ83" s="123" t="s">
        <v>79</v>
      </c>
      <c r="AV83" s="124">
        <f>AW83+AX83</f>
        <v>0</v>
      </c>
      <c r="AW83" s="124">
        <f>F83*AO83</f>
        <v>0</v>
      </c>
      <c r="AX83" s="124">
        <f>F83*AP83</f>
        <v>0</v>
      </c>
      <c r="AY83" s="125" t="s">
        <v>638</v>
      </c>
      <c r="AZ83" s="125" t="s">
        <v>1536</v>
      </c>
      <c r="BA83" s="113" t="s">
        <v>1542</v>
      </c>
      <c r="BC83" s="124">
        <f>AW83+AX83</f>
        <v>0</v>
      </c>
      <c r="BD83" s="124">
        <f>G83/(100-BE83)*100</f>
        <v>0</v>
      </c>
      <c r="BE83" s="124">
        <v>0</v>
      </c>
      <c r="BF83" s="124">
        <f>L83</f>
        <v>0</v>
      </c>
      <c r="BH83" s="122">
        <f>F83*AO83</f>
        <v>0</v>
      </c>
      <c r="BI83" s="122">
        <f>F83*AP83</f>
        <v>0</v>
      </c>
      <c r="BJ83" s="122">
        <f>F83*G83</f>
        <v>0</v>
      </c>
    </row>
    <row r="84" spans="1:47" s="174" customFormat="1" ht="12.75">
      <c r="A84" s="118"/>
      <c r="B84" s="119" t="s">
        <v>60</v>
      </c>
      <c r="C84" s="119" t="s">
        <v>280</v>
      </c>
      <c r="D84" s="136" t="s">
        <v>473</v>
      </c>
      <c r="E84" s="118" t="s">
        <v>57</v>
      </c>
      <c r="F84" s="118" t="s">
        <v>57</v>
      </c>
      <c r="G84" s="118"/>
      <c r="H84" s="120">
        <f>SUM(H85:H90)</f>
        <v>0</v>
      </c>
      <c r="I84" s="120">
        <f>SUM(I85:I90)</f>
        <v>0</v>
      </c>
      <c r="J84" s="120">
        <f>SUM(J85:J90)</f>
        <v>0</v>
      </c>
      <c r="K84" s="113"/>
      <c r="L84" s="120">
        <f>SUM(L85:L90)</f>
        <v>0</v>
      </c>
      <c r="M84" s="113"/>
      <c r="AI84" s="113" t="s">
        <v>60</v>
      </c>
      <c r="AS84" s="120">
        <f>SUM(AJ85:AJ90)</f>
        <v>0</v>
      </c>
      <c r="AT84" s="120">
        <f>SUM(AK85:AK90)</f>
        <v>0</v>
      </c>
      <c r="AU84" s="120">
        <f>SUM(AL85:AL90)</f>
        <v>0</v>
      </c>
    </row>
    <row r="85" spans="1:62" s="174" customFormat="1" ht="12.75">
      <c r="A85" s="121" t="s">
        <v>122</v>
      </c>
      <c r="B85" s="121" t="s">
        <v>60</v>
      </c>
      <c r="C85" s="121" t="s">
        <v>281</v>
      </c>
      <c r="D85" s="129" t="s">
        <v>474</v>
      </c>
      <c r="E85" s="121" t="s">
        <v>612</v>
      </c>
      <c r="F85" s="122">
        <f>'Stavební rozpočet'!F251</f>
        <v>131.89</v>
      </c>
      <c r="G85" s="172"/>
      <c r="H85" s="122">
        <f aca="true" t="shared" si="0" ref="H85:H90">F85*AO85</f>
        <v>0</v>
      </c>
      <c r="I85" s="122">
        <f aca="true" t="shared" si="1" ref="I85:I90">F85*AP85</f>
        <v>0</v>
      </c>
      <c r="J85" s="122">
        <f aca="true" t="shared" si="2" ref="J85:J90">F85*G85</f>
        <v>0</v>
      </c>
      <c r="K85" s="122">
        <f>'Stavební rozpočet'!K251</f>
        <v>0</v>
      </c>
      <c r="L85" s="122">
        <f aca="true" t="shared" si="3" ref="L85:L90">F85*K85</f>
        <v>0</v>
      </c>
      <c r="M85" s="123" t="s">
        <v>622</v>
      </c>
      <c r="Z85" s="124">
        <f aca="true" t="shared" si="4" ref="Z85:Z90">IF(AQ85="5",BJ85,0)</f>
        <v>0</v>
      </c>
      <c r="AB85" s="124">
        <f aca="true" t="shared" si="5" ref="AB85:AB90">IF(AQ85="1",BH85,0)</f>
        <v>0</v>
      </c>
      <c r="AC85" s="124">
        <f aca="true" t="shared" si="6" ref="AC85:AC90">IF(AQ85="1",BI85,0)</f>
        <v>0</v>
      </c>
      <c r="AD85" s="124">
        <f aca="true" t="shared" si="7" ref="AD85:AD90">IF(AQ85="7",BH85,0)</f>
        <v>0</v>
      </c>
      <c r="AE85" s="124">
        <f aca="true" t="shared" si="8" ref="AE85:AE90">IF(AQ85="7",BI85,0)</f>
        <v>0</v>
      </c>
      <c r="AF85" s="124">
        <f aca="true" t="shared" si="9" ref="AF85:AF90">IF(AQ85="2",BH85,0)</f>
        <v>0</v>
      </c>
      <c r="AG85" s="124">
        <f aca="true" t="shared" si="10" ref="AG85:AG90">IF(AQ85="2",BI85,0)</f>
        <v>0</v>
      </c>
      <c r="AH85" s="124">
        <f aca="true" t="shared" si="11" ref="AH85:AH90">IF(AQ85="0",BJ85,0)</f>
        <v>0</v>
      </c>
      <c r="AI85" s="113" t="s">
        <v>60</v>
      </c>
      <c r="AJ85" s="122">
        <f aca="true" t="shared" si="12" ref="AJ85:AJ90">IF(AN85=0,J85,0)</f>
        <v>0</v>
      </c>
      <c r="AK85" s="122">
        <f aca="true" t="shared" si="13" ref="AK85:AK90">IF(AN85=15,J85,0)</f>
        <v>0</v>
      </c>
      <c r="AL85" s="122">
        <f aca="true" t="shared" si="14" ref="AL85:AL90">IF(AN85=21,J85,0)</f>
        <v>0</v>
      </c>
      <c r="AN85" s="124">
        <v>15</v>
      </c>
      <c r="AO85" s="124">
        <f aca="true" t="shared" si="15" ref="AO85:AO90">G85*0</f>
        <v>0</v>
      </c>
      <c r="AP85" s="124">
        <f aca="true" t="shared" si="16" ref="AP85:AP90">G85*(1-0)</f>
        <v>0</v>
      </c>
      <c r="AQ85" s="123" t="s">
        <v>83</v>
      </c>
      <c r="AV85" s="124">
        <f aca="true" t="shared" si="17" ref="AV85:AV90">AW85+AX85</f>
        <v>0</v>
      </c>
      <c r="AW85" s="124">
        <f aca="true" t="shared" si="18" ref="AW85:AW90">F85*AO85</f>
        <v>0</v>
      </c>
      <c r="AX85" s="124">
        <f aca="true" t="shared" si="19" ref="AX85:AX90">F85*AP85</f>
        <v>0</v>
      </c>
      <c r="AY85" s="125" t="s">
        <v>640</v>
      </c>
      <c r="AZ85" s="125" t="s">
        <v>1536</v>
      </c>
      <c r="BA85" s="113" t="s">
        <v>1542</v>
      </c>
      <c r="BC85" s="124">
        <f aca="true" t="shared" si="20" ref="BC85:BC90">AW85+AX85</f>
        <v>0</v>
      </c>
      <c r="BD85" s="124">
        <f aca="true" t="shared" si="21" ref="BD85:BD90">G85/(100-BE85)*100</f>
        <v>0</v>
      </c>
      <c r="BE85" s="124">
        <v>0</v>
      </c>
      <c r="BF85" s="124">
        <f aca="true" t="shared" si="22" ref="BF85:BF90">L85</f>
        <v>0</v>
      </c>
      <c r="BH85" s="122">
        <f aca="true" t="shared" si="23" ref="BH85:BH90">F85*AO85</f>
        <v>0</v>
      </c>
      <c r="BI85" s="122">
        <f aca="true" t="shared" si="24" ref="BI85:BI90">F85*AP85</f>
        <v>0</v>
      </c>
      <c r="BJ85" s="122">
        <f aca="true" t="shared" si="25" ref="BJ85:BJ90">F85*G85</f>
        <v>0</v>
      </c>
    </row>
    <row r="86" spans="1:62" s="174" customFormat="1" ht="12.75">
      <c r="A86" s="121" t="s">
        <v>123</v>
      </c>
      <c r="B86" s="121" t="s">
        <v>60</v>
      </c>
      <c r="C86" s="121" t="s">
        <v>282</v>
      </c>
      <c r="D86" s="129" t="s">
        <v>475</v>
      </c>
      <c r="E86" s="121" t="s">
        <v>612</v>
      </c>
      <c r="F86" s="122">
        <f>'Stavební rozpočet'!F252</f>
        <v>1318.9</v>
      </c>
      <c r="G86" s="172"/>
      <c r="H86" s="122">
        <f t="shared" si="0"/>
        <v>0</v>
      </c>
      <c r="I86" s="122">
        <f t="shared" si="1"/>
        <v>0</v>
      </c>
      <c r="J86" s="122">
        <f t="shared" si="2"/>
        <v>0</v>
      </c>
      <c r="K86" s="122">
        <f>'Stavební rozpočet'!K252</f>
        <v>0</v>
      </c>
      <c r="L86" s="122">
        <f t="shared" si="3"/>
        <v>0</v>
      </c>
      <c r="M86" s="123" t="s">
        <v>622</v>
      </c>
      <c r="Z86" s="124">
        <f t="shared" si="4"/>
        <v>0</v>
      </c>
      <c r="AB86" s="124">
        <f t="shared" si="5"/>
        <v>0</v>
      </c>
      <c r="AC86" s="124">
        <f t="shared" si="6"/>
        <v>0</v>
      </c>
      <c r="AD86" s="124">
        <f t="shared" si="7"/>
        <v>0</v>
      </c>
      <c r="AE86" s="124">
        <f t="shared" si="8"/>
        <v>0</v>
      </c>
      <c r="AF86" s="124">
        <f t="shared" si="9"/>
        <v>0</v>
      </c>
      <c r="AG86" s="124">
        <f t="shared" si="10"/>
        <v>0</v>
      </c>
      <c r="AH86" s="124">
        <f t="shared" si="11"/>
        <v>0</v>
      </c>
      <c r="AI86" s="113" t="s">
        <v>60</v>
      </c>
      <c r="AJ86" s="122">
        <f t="shared" si="12"/>
        <v>0</v>
      </c>
      <c r="AK86" s="122">
        <f t="shared" si="13"/>
        <v>0</v>
      </c>
      <c r="AL86" s="122">
        <f t="shared" si="14"/>
        <v>0</v>
      </c>
      <c r="AN86" s="124">
        <v>15</v>
      </c>
      <c r="AO86" s="124">
        <f t="shared" si="15"/>
        <v>0</v>
      </c>
      <c r="AP86" s="124">
        <f t="shared" si="16"/>
        <v>0</v>
      </c>
      <c r="AQ86" s="123" t="s">
        <v>83</v>
      </c>
      <c r="AV86" s="124">
        <f t="shared" si="17"/>
        <v>0</v>
      </c>
      <c r="AW86" s="124">
        <f t="shared" si="18"/>
        <v>0</v>
      </c>
      <c r="AX86" s="124">
        <f t="shared" si="19"/>
        <v>0</v>
      </c>
      <c r="AY86" s="125" t="s">
        <v>640</v>
      </c>
      <c r="AZ86" s="125" t="s">
        <v>1536</v>
      </c>
      <c r="BA86" s="113" t="s">
        <v>1542</v>
      </c>
      <c r="BC86" s="124">
        <f t="shared" si="20"/>
        <v>0</v>
      </c>
      <c r="BD86" s="124">
        <f t="shared" si="21"/>
        <v>0</v>
      </c>
      <c r="BE86" s="124">
        <v>0</v>
      </c>
      <c r="BF86" s="124">
        <f t="shared" si="22"/>
        <v>0</v>
      </c>
      <c r="BH86" s="122">
        <f t="shared" si="23"/>
        <v>0</v>
      </c>
      <c r="BI86" s="122">
        <f t="shared" si="24"/>
        <v>0</v>
      </c>
      <c r="BJ86" s="122">
        <f t="shared" si="25"/>
        <v>0</v>
      </c>
    </row>
    <row r="87" spans="1:62" s="174" customFormat="1" ht="12.75">
      <c r="A87" s="121" t="s">
        <v>124</v>
      </c>
      <c r="B87" s="121" t="s">
        <v>60</v>
      </c>
      <c r="C87" s="121" t="s">
        <v>283</v>
      </c>
      <c r="D87" s="129" t="s">
        <v>476</v>
      </c>
      <c r="E87" s="121" t="s">
        <v>612</v>
      </c>
      <c r="F87" s="122">
        <f>'Stavební rozpočet'!F253</f>
        <v>131.89</v>
      </c>
      <c r="G87" s="172"/>
      <c r="H87" s="122">
        <f t="shared" si="0"/>
        <v>0</v>
      </c>
      <c r="I87" s="122">
        <f t="shared" si="1"/>
        <v>0</v>
      </c>
      <c r="J87" s="122">
        <f t="shared" si="2"/>
        <v>0</v>
      </c>
      <c r="K87" s="122">
        <f>'Stavební rozpočet'!K253</f>
        <v>0</v>
      </c>
      <c r="L87" s="122">
        <f t="shared" si="3"/>
        <v>0</v>
      </c>
      <c r="M87" s="123" t="s">
        <v>622</v>
      </c>
      <c r="Z87" s="124">
        <f t="shared" si="4"/>
        <v>0</v>
      </c>
      <c r="AB87" s="124">
        <f t="shared" si="5"/>
        <v>0</v>
      </c>
      <c r="AC87" s="124">
        <f t="shared" si="6"/>
        <v>0</v>
      </c>
      <c r="AD87" s="124">
        <f t="shared" si="7"/>
        <v>0</v>
      </c>
      <c r="AE87" s="124">
        <f t="shared" si="8"/>
        <v>0</v>
      </c>
      <c r="AF87" s="124">
        <f t="shared" si="9"/>
        <v>0</v>
      </c>
      <c r="AG87" s="124">
        <f t="shared" si="10"/>
        <v>0</v>
      </c>
      <c r="AH87" s="124">
        <f t="shared" si="11"/>
        <v>0</v>
      </c>
      <c r="AI87" s="113" t="s">
        <v>60</v>
      </c>
      <c r="AJ87" s="122">
        <f t="shared" si="12"/>
        <v>0</v>
      </c>
      <c r="AK87" s="122">
        <f t="shared" si="13"/>
        <v>0</v>
      </c>
      <c r="AL87" s="122">
        <f t="shared" si="14"/>
        <v>0</v>
      </c>
      <c r="AN87" s="124">
        <v>15</v>
      </c>
      <c r="AO87" s="124">
        <f t="shared" si="15"/>
        <v>0</v>
      </c>
      <c r="AP87" s="124">
        <f t="shared" si="16"/>
        <v>0</v>
      </c>
      <c r="AQ87" s="123" t="s">
        <v>83</v>
      </c>
      <c r="AV87" s="124">
        <f t="shared" si="17"/>
        <v>0</v>
      </c>
      <c r="AW87" s="124">
        <f t="shared" si="18"/>
        <v>0</v>
      </c>
      <c r="AX87" s="124">
        <f t="shared" si="19"/>
        <v>0</v>
      </c>
      <c r="AY87" s="125" t="s">
        <v>640</v>
      </c>
      <c r="AZ87" s="125" t="s">
        <v>1536</v>
      </c>
      <c r="BA87" s="113" t="s">
        <v>1542</v>
      </c>
      <c r="BC87" s="124">
        <f t="shared" si="20"/>
        <v>0</v>
      </c>
      <c r="BD87" s="124">
        <f t="shared" si="21"/>
        <v>0</v>
      </c>
      <c r="BE87" s="124">
        <v>0</v>
      </c>
      <c r="BF87" s="124">
        <f t="shared" si="22"/>
        <v>0</v>
      </c>
      <c r="BH87" s="122">
        <f t="shared" si="23"/>
        <v>0</v>
      </c>
      <c r="BI87" s="122">
        <f t="shared" si="24"/>
        <v>0</v>
      </c>
      <c r="BJ87" s="122">
        <f t="shared" si="25"/>
        <v>0</v>
      </c>
    </row>
    <row r="88" spans="1:62" s="174" customFormat="1" ht="12.75">
      <c r="A88" s="121" t="s">
        <v>125</v>
      </c>
      <c r="B88" s="121" t="s">
        <v>60</v>
      </c>
      <c r="C88" s="121" t="s">
        <v>284</v>
      </c>
      <c r="D88" s="129" t="s">
        <v>477</v>
      </c>
      <c r="E88" s="121" t="s">
        <v>612</v>
      </c>
      <c r="F88" s="122">
        <f>'Stavební rozpočet'!F254</f>
        <v>527.56</v>
      </c>
      <c r="G88" s="172"/>
      <c r="H88" s="122">
        <f t="shared" si="0"/>
        <v>0</v>
      </c>
      <c r="I88" s="122">
        <f t="shared" si="1"/>
        <v>0</v>
      </c>
      <c r="J88" s="122">
        <f t="shared" si="2"/>
        <v>0</v>
      </c>
      <c r="K88" s="122">
        <f>'Stavební rozpočet'!K254</f>
        <v>0</v>
      </c>
      <c r="L88" s="122">
        <f t="shared" si="3"/>
        <v>0</v>
      </c>
      <c r="M88" s="123" t="s">
        <v>622</v>
      </c>
      <c r="Z88" s="124">
        <f t="shared" si="4"/>
        <v>0</v>
      </c>
      <c r="AB88" s="124">
        <f t="shared" si="5"/>
        <v>0</v>
      </c>
      <c r="AC88" s="124">
        <f t="shared" si="6"/>
        <v>0</v>
      </c>
      <c r="AD88" s="124">
        <f t="shared" si="7"/>
        <v>0</v>
      </c>
      <c r="AE88" s="124">
        <f t="shared" si="8"/>
        <v>0</v>
      </c>
      <c r="AF88" s="124">
        <f t="shared" si="9"/>
        <v>0</v>
      </c>
      <c r="AG88" s="124">
        <f t="shared" si="10"/>
        <v>0</v>
      </c>
      <c r="AH88" s="124">
        <f t="shared" si="11"/>
        <v>0</v>
      </c>
      <c r="AI88" s="113" t="s">
        <v>60</v>
      </c>
      <c r="AJ88" s="122">
        <f t="shared" si="12"/>
        <v>0</v>
      </c>
      <c r="AK88" s="122">
        <f t="shared" si="13"/>
        <v>0</v>
      </c>
      <c r="AL88" s="122">
        <f t="shared" si="14"/>
        <v>0</v>
      </c>
      <c r="AN88" s="124">
        <v>15</v>
      </c>
      <c r="AO88" s="124">
        <f t="shared" si="15"/>
        <v>0</v>
      </c>
      <c r="AP88" s="124">
        <f t="shared" si="16"/>
        <v>0</v>
      </c>
      <c r="AQ88" s="123" t="s">
        <v>83</v>
      </c>
      <c r="AV88" s="124">
        <f t="shared" si="17"/>
        <v>0</v>
      </c>
      <c r="AW88" s="124">
        <f t="shared" si="18"/>
        <v>0</v>
      </c>
      <c r="AX88" s="124">
        <f t="shared" si="19"/>
        <v>0</v>
      </c>
      <c r="AY88" s="125" t="s">
        <v>640</v>
      </c>
      <c r="AZ88" s="125" t="s">
        <v>1536</v>
      </c>
      <c r="BA88" s="113" t="s">
        <v>1542</v>
      </c>
      <c r="BC88" s="124">
        <f t="shared" si="20"/>
        <v>0</v>
      </c>
      <c r="BD88" s="124">
        <f t="shared" si="21"/>
        <v>0</v>
      </c>
      <c r="BE88" s="124">
        <v>0</v>
      </c>
      <c r="BF88" s="124">
        <f t="shared" si="22"/>
        <v>0</v>
      </c>
      <c r="BH88" s="122">
        <f t="shared" si="23"/>
        <v>0</v>
      </c>
      <c r="BI88" s="122">
        <f t="shared" si="24"/>
        <v>0</v>
      </c>
      <c r="BJ88" s="122">
        <f t="shared" si="25"/>
        <v>0</v>
      </c>
    </row>
    <row r="89" spans="1:62" s="174" customFormat="1" ht="12.75">
      <c r="A89" s="121" t="s">
        <v>126</v>
      </c>
      <c r="B89" s="121" t="s">
        <v>60</v>
      </c>
      <c r="C89" s="121" t="s">
        <v>285</v>
      </c>
      <c r="D89" s="129" t="s">
        <v>478</v>
      </c>
      <c r="E89" s="121" t="s">
        <v>612</v>
      </c>
      <c r="F89" s="122">
        <f>'Stavební rozpočet'!F255</f>
        <v>131.89</v>
      </c>
      <c r="G89" s="172"/>
      <c r="H89" s="122">
        <f t="shared" si="0"/>
        <v>0</v>
      </c>
      <c r="I89" s="122">
        <f t="shared" si="1"/>
        <v>0</v>
      </c>
      <c r="J89" s="122">
        <f t="shared" si="2"/>
        <v>0</v>
      </c>
      <c r="K89" s="122">
        <f>'Stavební rozpočet'!K255</f>
        <v>0</v>
      </c>
      <c r="L89" s="122">
        <f t="shared" si="3"/>
        <v>0</v>
      </c>
      <c r="M89" s="123" t="s">
        <v>622</v>
      </c>
      <c r="Z89" s="124">
        <f t="shared" si="4"/>
        <v>0</v>
      </c>
      <c r="AB89" s="124">
        <f t="shared" si="5"/>
        <v>0</v>
      </c>
      <c r="AC89" s="124">
        <f t="shared" si="6"/>
        <v>0</v>
      </c>
      <c r="AD89" s="124">
        <f t="shared" si="7"/>
        <v>0</v>
      </c>
      <c r="AE89" s="124">
        <f t="shared" si="8"/>
        <v>0</v>
      </c>
      <c r="AF89" s="124">
        <f t="shared" si="9"/>
        <v>0</v>
      </c>
      <c r="AG89" s="124">
        <f t="shared" si="10"/>
        <v>0</v>
      </c>
      <c r="AH89" s="124">
        <f t="shared" si="11"/>
        <v>0</v>
      </c>
      <c r="AI89" s="113" t="s">
        <v>60</v>
      </c>
      <c r="AJ89" s="122">
        <f t="shared" si="12"/>
        <v>0</v>
      </c>
      <c r="AK89" s="122">
        <f t="shared" si="13"/>
        <v>0</v>
      </c>
      <c r="AL89" s="122">
        <f t="shared" si="14"/>
        <v>0</v>
      </c>
      <c r="AN89" s="124">
        <v>15</v>
      </c>
      <c r="AO89" s="124">
        <f t="shared" si="15"/>
        <v>0</v>
      </c>
      <c r="AP89" s="124">
        <f t="shared" si="16"/>
        <v>0</v>
      </c>
      <c r="AQ89" s="123" t="s">
        <v>83</v>
      </c>
      <c r="AV89" s="124">
        <f t="shared" si="17"/>
        <v>0</v>
      </c>
      <c r="AW89" s="124">
        <f t="shared" si="18"/>
        <v>0</v>
      </c>
      <c r="AX89" s="124">
        <f t="shared" si="19"/>
        <v>0</v>
      </c>
      <c r="AY89" s="125" t="s">
        <v>640</v>
      </c>
      <c r="AZ89" s="125" t="s">
        <v>1536</v>
      </c>
      <c r="BA89" s="113" t="s">
        <v>1542</v>
      </c>
      <c r="BC89" s="124">
        <f t="shared" si="20"/>
        <v>0</v>
      </c>
      <c r="BD89" s="124">
        <f t="shared" si="21"/>
        <v>0</v>
      </c>
      <c r="BE89" s="124">
        <v>0</v>
      </c>
      <c r="BF89" s="124">
        <f t="shared" si="22"/>
        <v>0</v>
      </c>
      <c r="BH89" s="122">
        <f t="shared" si="23"/>
        <v>0</v>
      </c>
      <c r="BI89" s="122">
        <f t="shared" si="24"/>
        <v>0</v>
      </c>
      <c r="BJ89" s="122">
        <f t="shared" si="25"/>
        <v>0</v>
      </c>
    </row>
    <row r="90" spans="1:62" s="174" customFormat="1" ht="12.75">
      <c r="A90" s="121" t="s">
        <v>127</v>
      </c>
      <c r="B90" s="121" t="s">
        <v>60</v>
      </c>
      <c r="C90" s="121" t="s">
        <v>286</v>
      </c>
      <c r="D90" s="129" t="s">
        <v>479</v>
      </c>
      <c r="E90" s="121" t="s">
        <v>612</v>
      </c>
      <c r="F90" s="122">
        <f>'Stavební rozpočet'!F256</f>
        <v>131.89</v>
      </c>
      <c r="G90" s="172"/>
      <c r="H90" s="122">
        <f t="shared" si="0"/>
        <v>0</v>
      </c>
      <c r="I90" s="122">
        <f t="shared" si="1"/>
        <v>0</v>
      </c>
      <c r="J90" s="122">
        <f t="shared" si="2"/>
        <v>0</v>
      </c>
      <c r="K90" s="122">
        <f>'Stavební rozpočet'!K256</f>
        <v>0</v>
      </c>
      <c r="L90" s="122">
        <f t="shared" si="3"/>
        <v>0</v>
      </c>
      <c r="M90" s="123" t="s">
        <v>622</v>
      </c>
      <c r="Z90" s="124">
        <f t="shared" si="4"/>
        <v>0</v>
      </c>
      <c r="AB90" s="124">
        <f t="shared" si="5"/>
        <v>0</v>
      </c>
      <c r="AC90" s="124">
        <f t="shared" si="6"/>
        <v>0</v>
      </c>
      <c r="AD90" s="124">
        <f t="shared" si="7"/>
        <v>0</v>
      </c>
      <c r="AE90" s="124">
        <f t="shared" si="8"/>
        <v>0</v>
      </c>
      <c r="AF90" s="124">
        <f t="shared" si="9"/>
        <v>0</v>
      </c>
      <c r="AG90" s="124">
        <f t="shared" si="10"/>
        <v>0</v>
      </c>
      <c r="AH90" s="124">
        <f t="shared" si="11"/>
        <v>0</v>
      </c>
      <c r="AI90" s="113" t="s">
        <v>60</v>
      </c>
      <c r="AJ90" s="122">
        <f t="shared" si="12"/>
        <v>0</v>
      </c>
      <c r="AK90" s="122">
        <f t="shared" si="13"/>
        <v>0</v>
      </c>
      <c r="AL90" s="122">
        <f t="shared" si="14"/>
        <v>0</v>
      </c>
      <c r="AN90" s="124">
        <v>15</v>
      </c>
      <c r="AO90" s="124">
        <f t="shared" si="15"/>
        <v>0</v>
      </c>
      <c r="AP90" s="124">
        <f t="shared" si="16"/>
        <v>0</v>
      </c>
      <c r="AQ90" s="123" t="s">
        <v>83</v>
      </c>
      <c r="AV90" s="124">
        <f t="shared" si="17"/>
        <v>0</v>
      </c>
      <c r="AW90" s="124">
        <f t="shared" si="18"/>
        <v>0</v>
      </c>
      <c r="AX90" s="124">
        <f t="shared" si="19"/>
        <v>0</v>
      </c>
      <c r="AY90" s="125" t="s">
        <v>640</v>
      </c>
      <c r="AZ90" s="125" t="s">
        <v>1536</v>
      </c>
      <c r="BA90" s="113" t="s">
        <v>1542</v>
      </c>
      <c r="BC90" s="124">
        <f t="shared" si="20"/>
        <v>0</v>
      </c>
      <c r="BD90" s="124">
        <f t="shared" si="21"/>
        <v>0</v>
      </c>
      <c r="BE90" s="124">
        <v>0</v>
      </c>
      <c r="BF90" s="124">
        <f t="shared" si="22"/>
        <v>0</v>
      </c>
      <c r="BH90" s="122">
        <f t="shared" si="23"/>
        <v>0</v>
      </c>
      <c r="BI90" s="122">
        <f t="shared" si="24"/>
        <v>0</v>
      </c>
      <c r="BJ90" s="122">
        <f t="shared" si="25"/>
        <v>0</v>
      </c>
    </row>
    <row r="91" spans="1:47" s="174" customFormat="1" ht="12.75">
      <c r="A91" s="118"/>
      <c r="B91" s="119" t="s">
        <v>60</v>
      </c>
      <c r="C91" s="119" t="s">
        <v>288</v>
      </c>
      <c r="D91" s="136" t="s">
        <v>481</v>
      </c>
      <c r="E91" s="118" t="s">
        <v>57</v>
      </c>
      <c r="F91" s="118" t="s">
        <v>57</v>
      </c>
      <c r="G91" s="118"/>
      <c r="H91" s="120">
        <f>SUM(H92:H92)</f>
        <v>0</v>
      </c>
      <c r="I91" s="120">
        <f>SUM(I92:I92)</f>
        <v>0</v>
      </c>
      <c r="J91" s="120">
        <f>SUM(J92:J92)</f>
        <v>0</v>
      </c>
      <c r="K91" s="113"/>
      <c r="L91" s="120">
        <f>SUM(L92:L92)</f>
        <v>0</v>
      </c>
      <c r="M91" s="113"/>
      <c r="AI91" s="113" t="s">
        <v>60</v>
      </c>
      <c r="AS91" s="120">
        <f>SUM(AJ92:AJ92)</f>
        <v>0</v>
      </c>
      <c r="AT91" s="120">
        <f>SUM(AK92:AK92)</f>
        <v>0</v>
      </c>
      <c r="AU91" s="120">
        <f>SUM(AL92:AL92)</f>
        <v>0</v>
      </c>
    </row>
    <row r="92" spans="1:62" s="174" customFormat="1" ht="12.75">
      <c r="A92" s="121" t="s">
        <v>128</v>
      </c>
      <c r="B92" s="121" t="s">
        <v>60</v>
      </c>
      <c r="C92" s="121" t="s">
        <v>289</v>
      </c>
      <c r="D92" s="129" t="s">
        <v>482</v>
      </c>
      <c r="E92" s="121" t="s">
        <v>612</v>
      </c>
      <c r="F92" s="122">
        <f>'Stavební rozpočet'!F258</f>
        <v>204.49</v>
      </c>
      <c r="G92" s="172"/>
      <c r="H92" s="122">
        <f>F92*AO92</f>
        <v>0</v>
      </c>
      <c r="I92" s="122">
        <f>F92*AP92</f>
        <v>0</v>
      </c>
      <c r="J92" s="122">
        <f>F92*G92</f>
        <v>0</v>
      </c>
      <c r="K92" s="122">
        <f>'Stavební rozpočet'!K258</f>
        <v>0</v>
      </c>
      <c r="L92" s="122">
        <f>F92*K92</f>
        <v>0</v>
      </c>
      <c r="M92" s="123" t="s">
        <v>622</v>
      </c>
      <c r="Z92" s="124">
        <f>IF(AQ92="5",BJ92,0)</f>
        <v>0</v>
      </c>
      <c r="AB92" s="124">
        <f>IF(AQ92="1",BH92,0)</f>
        <v>0</v>
      </c>
      <c r="AC92" s="124">
        <f>IF(AQ92="1",BI92,0)</f>
        <v>0</v>
      </c>
      <c r="AD92" s="124">
        <f>IF(AQ92="7",BH92,0)</f>
        <v>0</v>
      </c>
      <c r="AE92" s="124">
        <f>IF(AQ92="7",BI92,0)</f>
        <v>0</v>
      </c>
      <c r="AF92" s="124">
        <f>IF(AQ92="2",BH92,0)</f>
        <v>0</v>
      </c>
      <c r="AG92" s="124">
        <f>IF(AQ92="2",BI92,0)</f>
        <v>0</v>
      </c>
      <c r="AH92" s="124">
        <f>IF(AQ92="0",BJ92,0)</f>
        <v>0</v>
      </c>
      <c r="AI92" s="113" t="s">
        <v>60</v>
      </c>
      <c r="AJ92" s="122">
        <f>IF(AN92=0,J92,0)</f>
        <v>0</v>
      </c>
      <c r="AK92" s="122">
        <f>IF(AN92=15,J92,0)</f>
        <v>0</v>
      </c>
      <c r="AL92" s="122">
        <f>IF(AN92=21,J92,0)</f>
        <v>0</v>
      </c>
      <c r="AN92" s="124">
        <v>15</v>
      </c>
      <c r="AO92" s="124">
        <f>G92*0</f>
        <v>0</v>
      </c>
      <c r="AP92" s="124">
        <f>G92*(1-0)</f>
        <v>0</v>
      </c>
      <c r="AQ92" s="123" t="s">
        <v>83</v>
      </c>
      <c r="AV92" s="124">
        <f>AW92+AX92</f>
        <v>0</v>
      </c>
      <c r="AW92" s="124">
        <f>F92*AO92</f>
        <v>0</v>
      </c>
      <c r="AX92" s="124">
        <f>F92*AP92</f>
        <v>0</v>
      </c>
      <c r="AY92" s="125" t="s">
        <v>641</v>
      </c>
      <c r="AZ92" s="125" t="s">
        <v>1536</v>
      </c>
      <c r="BA92" s="113" t="s">
        <v>1542</v>
      </c>
      <c r="BC92" s="124">
        <f>AW92+AX92</f>
        <v>0</v>
      </c>
      <c r="BD92" s="124">
        <f>G92/(100-BE92)*100</f>
        <v>0</v>
      </c>
      <c r="BE92" s="124">
        <v>0</v>
      </c>
      <c r="BF92" s="124">
        <f>L92</f>
        <v>0</v>
      </c>
      <c r="BH92" s="122">
        <f>F92*AO92</f>
        <v>0</v>
      </c>
      <c r="BI92" s="122">
        <f>F92*AP92</f>
        <v>0</v>
      </c>
      <c r="BJ92" s="122">
        <f>F92*G92</f>
        <v>0</v>
      </c>
    </row>
    <row r="93" spans="1:47" s="174" customFormat="1" ht="12.75">
      <c r="A93" s="118"/>
      <c r="B93" s="119" t="s">
        <v>60</v>
      </c>
      <c r="C93" s="119" t="s">
        <v>290</v>
      </c>
      <c r="D93" s="136" t="s">
        <v>483</v>
      </c>
      <c r="E93" s="118" t="s">
        <v>57</v>
      </c>
      <c r="F93" s="118" t="s">
        <v>57</v>
      </c>
      <c r="G93" s="118"/>
      <c r="H93" s="120">
        <f>SUM(H94:H152)</f>
        <v>0</v>
      </c>
      <c r="I93" s="120">
        <f>SUM(I94:I152)</f>
        <v>0</v>
      </c>
      <c r="J93" s="120">
        <f>SUM(J94:J152)</f>
        <v>0</v>
      </c>
      <c r="K93" s="113"/>
      <c r="L93" s="120">
        <f>SUM(L94:L152)</f>
        <v>0</v>
      </c>
      <c r="M93" s="113"/>
      <c r="AI93" s="113" t="s">
        <v>60</v>
      </c>
      <c r="AS93" s="120">
        <f>SUM(AJ94:AJ152)</f>
        <v>0</v>
      </c>
      <c r="AT93" s="120">
        <f>SUM(AK94:AK152)</f>
        <v>0</v>
      </c>
      <c r="AU93" s="120">
        <f>SUM(AL94:AL152)</f>
        <v>0</v>
      </c>
    </row>
    <row r="94" spans="1:62" s="174" customFormat="1" ht="12.75">
      <c r="A94" s="121" t="s">
        <v>129</v>
      </c>
      <c r="B94" s="121" t="s">
        <v>60</v>
      </c>
      <c r="C94" s="121" t="s">
        <v>291</v>
      </c>
      <c r="D94" s="129" t="s">
        <v>1248</v>
      </c>
      <c r="E94" s="121" t="s">
        <v>609</v>
      </c>
      <c r="F94" s="122">
        <f>'Stavební rozpočet'!F260</f>
        <v>87.8</v>
      </c>
      <c r="G94" s="172"/>
      <c r="H94" s="122">
        <f aca="true" t="shared" si="26" ref="H94:H125">F94*AO94</f>
        <v>0</v>
      </c>
      <c r="I94" s="122">
        <f aca="true" t="shared" si="27" ref="I94:I125">F94*AP94</f>
        <v>0</v>
      </c>
      <c r="J94" s="122">
        <f aca="true" t="shared" si="28" ref="J94:J125">F94*G94</f>
        <v>0</v>
      </c>
      <c r="K94" s="122">
        <f>'Stavební rozpočet'!K260</f>
        <v>0</v>
      </c>
      <c r="L94" s="122">
        <f aca="true" t="shared" si="29" ref="L94:L125">F94*K94</f>
        <v>0</v>
      </c>
      <c r="M94" s="123" t="s">
        <v>622</v>
      </c>
      <c r="Z94" s="124">
        <f aca="true" t="shared" si="30" ref="Z94:Z125">IF(AQ94="5",BJ94,0)</f>
        <v>0</v>
      </c>
      <c r="AB94" s="124">
        <f aca="true" t="shared" si="31" ref="AB94:AB125">IF(AQ94="1",BH94,0)</f>
        <v>0</v>
      </c>
      <c r="AC94" s="124">
        <f aca="true" t="shared" si="32" ref="AC94:AC125">IF(AQ94="1",BI94,0)</f>
        <v>0</v>
      </c>
      <c r="AD94" s="124">
        <f aca="true" t="shared" si="33" ref="AD94:AD125">IF(AQ94="7",BH94,0)</f>
        <v>0</v>
      </c>
      <c r="AE94" s="124">
        <f aca="true" t="shared" si="34" ref="AE94:AE125">IF(AQ94="7",BI94,0)</f>
        <v>0</v>
      </c>
      <c r="AF94" s="124">
        <f aca="true" t="shared" si="35" ref="AF94:AF125">IF(AQ94="2",BH94,0)</f>
        <v>0</v>
      </c>
      <c r="AG94" s="124">
        <f aca="true" t="shared" si="36" ref="AG94:AG125">IF(AQ94="2",BI94,0)</f>
        <v>0</v>
      </c>
      <c r="AH94" s="124">
        <f aca="true" t="shared" si="37" ref="AH94:AH125">IF(AQ94="0",BJ94,0)</f>
        <v>0</v>
      </c>
      <c r="AI94" s="113" t="s">
        <v>60</v>
      </c>
      <c r="AJ94" s="122">
        <f aca="true" t="shared" si="38" ref="AJ94:AJ125">IF(AN94=0,J94,0)</f>
        <v>0</v>
      </c>
      <c r="AK94" s="122">
        <f aca="true" t="shared" si="39" ref="AK94:AK125">IF(AN94=15,J94,0)</f>
        <v>0</v>
      </c>
      <c r="AL94" s="122">
        <f aca="true" t="shared" si="40" ref="AL94:AL125">IF(AN94=21,J94,0)</f>
        <v>0</v>
      </c>
      <c r="AN94" s="124">
        <v>15</v>
      </c>
      <c r="AO94" s="124">
        <f aca="true" t="shared" si="41" ref="AO94:AO125">G94*0</f>
        <v>0</v>
      </c>
      <c r="AP94" s="124">
        <f aca="true" t="shared" si="42" ref="AP94:AP125">G94*(1-0)</f>
        <v>0</v>
      </c>
      <c r="AQ94" s="123" t="s">
        <v>85</v>
      </c>
      <c r="AV94" s="124">
        <f aca="true" t="shared" si="43" ref="AV94:AV125">AW94+AX94</f>
        <v>0</v>
      </c>
      <c r="AW94" s="124">
        <f aca="true" t="shared" si="44" ref="AW94:AW125">F94*AO94</f>
        <v>0</v>
      </c>
      <c r="AX94" s="124">
        <f aca="true" t="shared" si="45" ref="AX94:AX125">F94*AP94</f>
        <v>0</v>
      </c>
      <c r="AY94" s="125" t="s">
        <v>642</v>
      </c>
      <c r="AZ94" s="125" t="s">
        <v>1537</v>
      </c>
      <c r="BA94" s="113" t="s">
        <v>1542</v>
      </c>
      <c r="BC94" s="124">
        <f aca="true" t="shared" si="46" ref="BC94:BC125">AW94+AX94</f>
        <v>0</v>
      </c>
      <c r="BD94" s="124">
        <f aca="true" t="shared" si="47" ref="BD94:BD125">G94/(100-BE94)*100</f>
        <v>0</v>
      </c>
      <c r="BE94" s="124">
        <v>0</v>
      </c>
      <c r="BF94" s="124">
        <f aca="true" t="shared" si="48" ref="BF94:BF125">L94</f>
        <v>0</v>
      </c>
      <c r="BH94" s="122">
        <f aca="true" t="shared" si="49" ref="BH94:BH125">F94*AO94</f>
        <v>0</v>
      </c>
      <c r="BI94" s="122">
        <f aca="true" t="shared" si="50" ref="BI94:BI125">F94*AP94</f>
        <v>0</v>
      </c>
      <c r="BJ94" s="122">
        <f aca="true" t="shared" si="51" ref="BJ94:BJ125">F94*G94</f>
        <v>0</v>
      </c>
    </row>
    <row r="95" spans="1:62" s="174" customFormat="1" ht="12.75">
      <c r="A95" s="121" t="s">
        <v>130</v>
      </c>
      <c r="B95" s="121" t="s">
        <v>60</v>
      </c>
      <c r="C95" s="121" t="s">
        <v>292</v>
      </c>
      <c r="D95" s="129" t="s">
        <v>1249</v>
      </c>
      <c r="E95" s="121" t="s">
        <v>609</v>
      </c>
      <c r="F95" s="122">
        <f>'Stavební rozpočet'!F261</f>
        <v>43.5</v>
      </c>
      <c r="G95" s="172"/>
      <c r="H95" s="122">
        <f t="shared" si="26"/>
        <v>0</v>
      </c>
      <c r="I95" s="122">
        <f t="shared" si="27"/>
        <v>0</v>
      </c>
      <c r="J95" s="122">
        <f t="shared" si="28"/>
        <v>0</v>
      </c>
      <c r="K95" s="122">
        <f>'Stavební rozpočet'!K261</f>
        <v>0</v>
      </c>
      <c r="L95" s="122">
        <f t="shared" si="29"/>
        <v>0</v>
      </c>
      <c r="M95" s="123" t="s">
        <v>622</v>
      </c>
      <c r="Z95" s="124">
        <f t="shared" si="30"/>
        <v>0</v>
      </c>
      <c r="AB95" s="124">
        <f t="shared" si="31"/>
        <v>0</v>
      </c>
      <c r="AC95" s="124">
        <f t="shared" si="32"/>
        <v>0</v>
      </c>
      <c r="AD95" s="124">
        <f t="shared" si="33"/>
        <v>0</v>
      </c>
      <c r="AE95" s="124">
        <f t="shared" si="34"/>
        <v>0</v>
      </c>
      <c r="AF95" s="124">
        <f t="shared" si="35"/>
        <v>0</v>
      </c>
      <c r="AG95" s="124">
        <f t="shared" si="36"/>
        <v>0</v>
      </c>
      <c r="AH95" s="124">
        <f t="shared" si="37"/>
        <v>0</v>
      </c>
      <c r="AI95" s="113" t="s">
        <v>60</v>
      </c>
      <c r="AJ95" s="122">
        <f t="shared" si="38"/>
        <v>0</v>
      </c>
      <c r="AK95" s="122">
        <f t="shared" si="39"/>
        <v>0</v>
      </c>
      <c r="AL95" s="122">
        <f t="shared" si="40"/>
        <v>0</v>
      </c>
      <c r="AN95" s="124">
        <v>15</v>
      </c>
      <c r="AO95" s="124">
        <f t="shared" si="41"/>
        <v>0</v>
      </c>
      <c r="AP95" s="124">
        <f t="shared" si="42"/>
        <v>0</v>
      </c>
      <c r="AQ95" s="123" t="s">
        <v>85</v>
      </c>
      <c r="AV95" s="124">
        <f t="shared" si="43"/>
        <v>0</v>
      </c>
      <c r="AW95" s="124">
        <f t="shared" si="44"/>
        <v>0</v>
      </c>
      <c r="AX95" s="124">
        <f t="shared" si="45"/>
        <v>0</v>
      </c>
      <c r="AY95" s="125" t="s">
        <v>642</v>
      </c>
      <c r="AZ95" s="125" t="s">
        <v>1537</v>
      </c>
      <c r="BA95" s="113" t="s">
        <v>1542</v>
      </c>
      <c r="BC95" s="124">
        <f t="shared" si="46"/>
        <v>0</v>
      </c>
      <c r="BD95" s="124">
        <f t="shared" si="47"/>
        <v>0</v>
      </c>
      <c r="BE95" s="124">
        <v>0</v>
      </c>
      <c r="BF95" s="124">
        <f t="shared" si="48"/>
        <v>0</v>
      </c>
      <c r="BH95" s="122">
        <f t="shared" si="49"/>
        <v>0</v>
      </c>
      <c r="BI95" s="122">
        <f t="shared" si="50"/>
        <v>0</v>
      </c>
      <c r="BJ95" s="122">
        <f t="shared" si="51"/>
        <v>0</v>
      </c>
    </row>
    <row r="96" spans="1:62" s="174" customFormat="1" ht="12.75">
      <c r="A96" s="121" t="s">
        <v>131</v>
      </c>
      <c r="B96" s="121" t="s">
        <v>60</v>
      </c>
      <c r="C96" s="121" t="s">
        <v>293</v>
      </c>
      <c r="D96" s="129" t="s">
        <v>1250</v>
      </c>
      <c r="E96" s="121" t="s">
        <v>609</v>
      </c>
      <c r="F96" s="122">
        <f>'Stavební rozpočet'!F262</f>
        <v>5.2</v>
      </c>
      <c r="G96" s="172"/>
      <c r="H96" s="122">
        <f t="shared" si="26"/>
        <v>0</v>
      </c>
      <c r="I96" s="122">
        <f t="shared" si="27"/>
        <v>0</v>
      </c>
      <c r="J96" s="122">
        <f t="shared" si="28"/>
        <v>0</v>
      </c>
      <c r="K96" s="122">
        <f>'Stavební rozpočet'!K262</f>
        <v>0</v>
      </c>
      <c r="L96" s="122">
        <f t="shared" si="29"/>
        <v>0</v>
      </c>
      <c r="M96" s="123" t="s">
        <v>622</v>
      </c>
      <c r="Z96" s="124">
        <f t="shared" si="30"/>
        <v>0</v>
      </c>
      <c r="AB96" s="124">
        <f t="shared" si="31"/>
        <v>0</v>
      </c>
      <c r="AC96" s="124">
        <f t="shared" si="32"/>
        <v>0</v>
      </c>
      <c r="AD96" s="124">
        <f t="shared" si="33"/>
        <v>0</v>
      </c>
      <c r="AE96" s="124">
        <f t="shared" si="34"/>
        <v>0</v>
      </c>
      <c r="AF96" s="124">
        <f t="shared" si="35"/>
        <v>0</v>
      </c>
      <c r="AG96" s="124">
        <f t="shared" si="36"/>
        <v>0</v>
      </c>
      <c r="AH96" s="124">
        <f t="shared" si="37"/>
        <v>0</v>
      </c>
      <c r="AI96" s="113" t="s">
        <v>60</v>
      </c>
      <c r="AJ96" s="122">
        <f t="shared" si="38"/>
        <v>0</v>
      </c>
      <c r="AK96" s="122">
        <f t="shared" si="39"/>
        <v>0</v>
      </c>
      <c r="AL96" s="122">
        <f t="shared" si="40"/>
        <v>0</v>
      </c>
      <c r="AN96" s="124">
        <v>15</v>
      </c>
      <c r="AO96" s="124">
        <f t="shared" si="41"/>
        <v>0</v>
      </c>
      <c r="AP96" s="124">
        <f t="shared" si="42"/>
        <v>0</v>
      </c>
      <c r="AQ96" s="123" t="s">
        <v>85</v>
      </c>
      <c r="AV96" s="124">
        <f t="shared" si="43"/>
        <v>0</v>
      </c>
      <c r="AW96" s="124">
        <f t="shared" si="44"/>
        <v>0</v>
      </c>
      <c r="AX96" s="124">
        <f t="shared" si="45"/>
        <v>0</v>
      </c>
      <c r="AY96" s="125" t="s">
        <v>642</v>
      </c>
      <c r="AZ96" s="125" t="s">
        <v>1537</v>
      </c>
      <c r="BA96" s="113" t="s">
        <v>1542</v>
      </c>
      <c r="BC96" s="124">
        <f t="shared" si="46"/>
        <v>0</v>
      </c>
      <c r="BD96" s="124">
        <f t="shared" si="47"/>
        <v>0</v>
      </c>
      <c r="BE96" s="124">
        <v>0</v>
      </c>
      <c r="BF96" s="124">
        <f t="shared" si="48"/>
        <v>0</v>
      </c>
      <c r="BH96" s="122">
        <f t="shared" si="49"/>
        <v>0</v>
      </c>
      <c r="BI96" s="122">
        <f t="shared" si="50"/>
        <v>0</v>
      </c>
      <c r="BJ96" s="122">
        <f t="shared" si="51"/>
        <v>0</v>
      </c>
    </row>
    <row r="97" spans="1:62" s="174" customFormat="1" ht="12.75">
      <c r="A97" s="121" t="s">
        <v>132</v>
      </c>
      <c r="B97" s="121" t="s">
        <v>60</v>
      </c>
      <c r="C97" s="121" t="s">
        <v>958</v>
      </c>
      <c r="D97" s="129" t="s">
        <v>1251</v>
      </c>
      <c r="E97" s="121" t="s">
        <v>609</v>
      </c>
      <c r="F97" s="122">
        <f>'Stavební rozpočet'!F263</f>
        <v>25.7</v>
      </c>
      <c r="G97" s="172"/>
      <c r="H97" s="122">
        <f t="shared" si="26"/>
        <v>0</v>
      </c>
      <c r="I97" s="122">
        <f t="shared" si="27"/>
        <v>0</v>
      </c>
      <c r="J97" s="122">
        <f t="shared" si="28"/>
        <v>0</v>
      </c>
      <c r="K97" s="122">
        <f>'Stavební rozpočet'!K263</f>
        <v>0</v>
      </c>
      <c r="L97" s="122">
        <f t="shared" si="29"/>
        <v>0</v>
      </c>
      <c r="M97" s="123" t="s">
        <v>622</v>
      </c>
      <c r="Z97" s="124">
        <f t="shared" si="30"/>
        <v>0</v>
      </c>
      <c r="AB97" s="124">
        <f t="shared" si="31"/>
        <v>0</v>
      </c>
      <c r="AC97" s="124">
        <f t="shared" si="32"/>
        <v>0</v>
      </c>
      <c r="AD97" s="124">
        <f t="shared" si="33"/>
        <v>0</v>
      </c>
      <c r="AE97" s="124">
        <f t="shared" si="34"/>
        <v>0</v>
      </c>
      <c r="AF97" s="124">
        <f t="shared" si="35"/>
        <v>0</v>
      </c>
      <c r="AG97" s="124">
        <f t="shared" si="36"/>
        <v>0</v>
      </c>
      <c r="AH97" s="124">
        <f t="shared" si="37"/>
        <v>0</v>
      </c>
      <c r="AI97" s="113" t="s">
        <v>60</v>
      </c>
      <c r="AJ97" s="122">
        <f t="shared" si="38"/>
        <v>0</v>
      </c>
      <c r="AK97" s="122">
        <f t="shared" si="39"/>
        <v>0</v>
      </c>
      <c r="AL97" s="122">
        <f t="shared" si="40"/>
        <v>0</v>
      </c>
      <c r="AN97" s="124">
        <v>15</v>
      </c>
      <c r="AO97" s="124">
        <f t="shared" si="41"/>
        <v>0</v>
      </c>
      <c r="AP97" s="124">
        <f t="shared" si="42"/>
        <v>0</v>
      </c>
      <c r="AQ97" s="123" t="s">
        <v>85</v>
      </c>
      <c r="AV97" s="124">
        <f t="shared" si="43"/>
        <v>0</v>
      </c>
      <c r="AW97" s="124">
        <f t="shared" si="44"/>
        <v>0</v>
      </c>
      <c r="AX97" s="124">
        <f t="shared" si="45"/>
        <v>0</v>
      </c>
      <c r="AY97" s="125" t="s">
        <v>642</v>
      </c>
      <c r="AZ97" s="125" t="s">
        <v>1537</v>
      </c>
      <c r="BA97" s="113" t="s">
        <v>1542</v>
      </c>
      <c r="BC97" s="124">
        <f t="shared" si="46"/>
        <v>0</v>
      </c>
      <c r="BD97" s="124">
        <f t="shared" si="47"/>
        <v>0</v>
      </c>
      <c r="BE97" s="124">
        <v>0</v>
      </c>
      <c r="BF97" s="124">
        <f t="shared" si="48"/>
        <v>0</v>
      </c>
      <c r="BH97" s="122">
        <f t="shared" si="49"/>
        <v>0</v>
      </c>
      <c r="BI97" s="122">
        <f t="shared" si="50"/>
        <v>0</v>
      </c>
      <c r="BJ97" s="122">
        <f t="shared" si="51"/>
        <v>0</v>
      </c>
    </row>
    <row r="98" spans="1:62" s="174" customFormat="1" ht="12.75">
      <c r="A98" s="121" t="s">
        <v>133</v>
      </c>
      <c r="B98" s="121" t="s">
        <v>60</v>
      </c>
      <c r="C98" s="121" t="s">
        <v>959</v>
      </c>
      <c r="D98" s="129" t="s">
        <v>1252</v>
      </c>
      <c r="E98" s="121" t="s">
        <v>609</v>
      </c>
      <c r="F98" s="122">
        <f>'Stavební rozpočet'!F264</f>
        <v>30.7</v>
      </c>
      <c r="G98" s="172"/>
      <c r="H98" s="122">
        <f t="shared" si="26"/>
        <v>0</v>
      </c>
      <c r="I98" s="122">
        <f t="shared" si="27"/>
        <v>0</v>
      </c>
      <c r="J98" s="122">
        <f t="shared" si="28"/>
        <v>0</v>
      </c>
      <c r="K98" s="122">
        <f>'Stavební rozpočet'!K264</f>
        <v>0</v>
      </c>
      <c r="L98" s="122">
        <f t="shared" si="29"/>
        <v>0</v>
      </c>
      <c r="M98" s="123" t="s">
        <v>622</v>
      </c>
      <c r="Z98" s="124">
        <f t="shared" si="30"/>
        <v>0</v>
      </c>
      <c r="AB98" s="124">
        <f t="shared" si="31"/>
        <v>0</v>
      </c>
      <c r="AC98" s="124">
        <f t="shared" si="32"/>
        <v>0</v>
      </c>
      <c r="AD98" s="124">
        <f t="shared" si="33"/>
        <v>0</v>
      </c>
      <c r="AE98" s="124">
        <f t="shared" si="34"/>
        <v>0</v>
      </c>
      <c r="AF98" s="124">
        <f t="shared" si="35"/>
        <v>0</v>
      </c>
      <c r="AG98" s="124">
        <f t="shared" si="36"/>
        <v>0</v>
      </c>
      <c r="AH98" s="124">
        <f t="shared" si="37"/>
        <v>0</v>
      </c>
      <c r="AI98" s="113" t="s">
        <v>60</v>
      </c>
      <c r="AJ98" s="122">
        <f t="shared" si="38"/>
        <v>0</v>
      </c>
      <c r="AK98" s="122">
        <f t="shared" si="39"/>
        <v>0</v>
      </c>
      <c r="AL98" s="122">
        <f t="shared" si="40"/>
        <v>0</v>
      </c>
      <c r="AN98" s="124">
        <v>15</v>
      </c>
      <c r="AO98" s="124">
        <f t="shared" si="41"/>
        <v>0</v>
      </c>
      <c r="AP98" s="124">
        <f t="shared" si="42"/>
        <v>0</v>
      </c>
      <c r="AQ98" s="123" t="s">
        <v>85</v>
      </c>
      <c r="AV98" s="124">
        <f t="shared" si="43"/>
        <v>0</v>
      </c>
      <c r="AW98" s="124">
        <f t="shared" si="44"/>
        <v>0</v>
      </c>
      <c r="AX98" s="124">
        <f t="shared" si="45"/>
        <v>0</v>
      </c>
      <c r="AY98" s="125" t="s">
        <v>642</v>
      </c>
      <c r="AZ98" s="125" t="s">
        <v>1537</v>
      </c>
      <c r="BA98" s="113" t="s">
        <v>1542</v>
      </c>
      <c r="BC98" s="124">
        <f t="shared" si="46"/>
        <v>0</v>
      </c>
      <c r="BD98" s="124">
        <f t="shared" si="47"/>
        <v>0</v>
      </c>
      <c r="BE98" s="124">
        <v>0</v>
      </c>
      <c r="BF98" s="124">
        <f t="shared" si="48"/>
        <v>0</v>
      </c>
      <c r="BH98" s="122">
        <f t="shared" si="49"/>
        <v>0</v>
      </c>
      <c r="BI98" s="122">
        <f t="shared" si="50"/>
        <v>0</v>
      </c>
      <c r="BJ98" s="122">
        <f t="shared" si="51"/>
        <v>0</v>
      </c>
    </row>
    <row r="99" spans="1:62" s="174" customFormat="1" ht="12.75">
      <c r="A99" s="121" t="s">
        <v>134</v>
      </c>
      <c r="B99" s="121" t="s">
        <v>60</v>
      </c>
      <c r="C99" s="121" t="s">
        <v>960</v>
      </c>
      <c r="D99" s="129" t="s">
        <v>1253</v>
      </c>
      <c r="E99" s="121" t="s">
        <v>609</v>
      </c>
      <c r="F99" s="122">
        <f>'Stavební rozpočet'!F265</f>
        <v>15.3</v>
      </c>
      <c r="G99" s="172"/>
      <c r="H99" s="122">
        <f t="shared" si="26"/>
        <v>0</v>
      </c>
      <c r="I99" s="122">
        <f t="shared" si="27"/>
        <v>0</v>
      </c>
      <c r="J99" s="122">
        <f t="shared" si="28"/>
        <v>0</v>
      </c>
      <c r="K99" s="122">
        <f>'Stavební rozpočet'!K265</f>
        <v>0</v>
      </c>
      <c r="L99" s="122">
        <f t="shared" si="29"/>
        <v>0</v>
      </c>
      <c r="M99" s="123" t="s">
        <v>622</v>
      </c>
      <c r="Z99" s="124">
        <f t="shared" si="30"/>
        <v>0</v>
      </c>
      <c r="AB99" s="124">
        <f t="shared" si="31"/>
        <v>0</v>
      </c>
      <c r="AC99" s="124">
        <f t="shared" si="32"/>
        <v>0</v>
      </c>
      <c r="AD99" s="124">
        <f t="shared" si="33"/>
        <v>0</v>
      </c>
      <c r="AE99" s="124">
        <f t="shared" si="34"/>
        <v>0</v>
      </c>
      <c r="AF99" s="124">
        <f t="shared" si="35"/>
        <v>0</v>
      </c>
      <c r="AG99" s="124">
        <f t="shared" si="36"/>
        <v>0</v>
      </c>
      <c r="AH99" s="124">
        <f t="shared" si="37"/>
        <v>0</v>
      </c>
      <c r="AI99" s="113" t="s">
        <v>60</v>
      </c>
      <c r="AJ99" s="122">
        <f t="shared" si="38"/>
        <v>0</v>
      </c>
      <c r="AK99" s="122">
        <f t="shared" si="39"/>
        <v>0</v>
      </c>
      <c r="AL99" s="122">
        <f t="shared" si="40"/>
        <v>0</v>
      </c>
      <c r="AN99" s="124">
        <v>15</v>
      </c>
      <c r="AO99" s="124">
        <f t="shared" si="41"/>
        <v>0</v>
      </c>
      <c r="AP99" s="124">
        <f t="shared" si="42"/>
        <v>0</v>
      </c>
      <c r="AQ99" s="123" t="s">
        <v>85</v>
      </c>
      <c r="AV99" s="124">
        <f t="shared" si="43"/>
        <v>0</v>
      </c>
      <c r="AW99" s="124">
        <f t="shared" si="44"/>
        <v>0</v>
      </c>
      <c r="AX99" s="124">
        <f t="shared" si="45"/>
        <v>0</v>
      </c>
      <c r="AY99" s="125" t="s">
        <v>642</v>
      </c>
      <c r="AZ99" s="125" t="s">
        <v>1537</v>
      </c>
      <c r="BA99" s="113" t="s">
        <v>1542</v>
      </c>
      <c r="BC99" s="124">
        <f t="shared" si="46"/>
        <v>0</v>
      </c>
      <c r="BD99" s="124">
        <f t="shared" si="47"/>
        <v>0</v>
      </c>
      <c r="BE99" s="124">
        <v>0</v>
      </c>
      <c r="BF99" s="124">
        <f t="shared" si="48"/>
        <v>0</v>
      </c>
      <c r="BH99" s="122">
        <f t="shared" si="49"/>
        <v>0</v>
      </c>
      <c r="BI99" s="122">
        <f t="shared" si="50"/>
        <v>0</v>
      </c>
      <c r="BJ99" s="122">
        <f t="shared" si="51"/>
        <v>0</v>
      </c>
    </row>
    <row r="100" spans="1:62" s="174" customFormat="1" ht="12.75">
      <c r="A100" s="121" t="s">
        <v>135</v>
      </c>
      <c r="B100" s="121" t="s">
        <v>60</v>
      </c>
      <c r="C100" s="121" t="s">
        <v>294</v>
      </c>
      <c r="D100" s="129" t="s">
        <v>1254</v>
      </c>
      <c r="E100" s="121" t="s">
        <v>609</v>
      </c>
      <c r="F100" s="122">
        <f>'Stavební rozpočet'!F266</f>
        <v>13.4</v>
      </c>
      <c r="G100" s="172"/>
      <c r="H100" s="122">
        <f t="shared" si="26"/>
        <v>0</v>
      </c>
      <c r="I100" s="122">
        <f t="shared" si="27"/>
        <v>0</v>
      </c>
      <c r="J100" s="122">
        <f t="shared" si="28"/>
        <v>0</v>
      </c>
      <c r="K100" s="122">
        <f>'Stavební rozpočet'!K266</f>
        <v>0</v>
      </c>
      <c r="L100" s="122">
        <f t="shared" si="29"/>
        <v>0</v>
      </c>
      <c r="M100" s="123" t="s">
        <v>622</v>
      </c>
      <c r="Z100" s="124">
        <f t="shared" si="30"/>
        <v>0</v>
      </c>
      <c r="AB100" s="124">
        <f t="shared" si="31"/>
        <v>0</v>
      </c>
      <c r="AC100" s="124">
        <f t="shared" si="32"/>
        <v>0</v>
      </c>
      <c r="AD100" s="124">
        <f t="shared" si="33"/>
        <v>0</v>
      </c>
      <c r="AE100" s="124">
        <f t="shared" si="34"/>
        <v>0</v>
      </c>
      <c r="AF100" s="124">
        <f t="shared" si="35"/>
        <v>0</v>
      </c>
      <c r="AG100" s="124">
        <f t="shared" si="36"/>
        <v>0</v>
      </c>
      <c r="AH100" s="124">
        <f t="shared" si="37"/>
        <v>0</v>
      </c>
      <c r="AI100" s="113" t="s">
        <v>60</v>
      </c>
      <c r="AJ100" s="122">
        <f t="shared" si="38"/>
        <v>0</v>
      </c>
      <c r="AK100" s="122">
        <f t="shared" si="39"/>
        <v>0</v>
      </c>
      <c r="AL100" s="122">
        <f t="shared" si="40"/>
        <v>0</v>
      </c>
      <c r="AN100" s="124">
        <v>15</v>
      </c>
      <c r="AO100" s="124">
        <f t="shared" si="41"/>
        <v>0</v>
      </c>
      <c r="AP100" s="124">
        <f t="shared" si="42"/>
        <v>0</v>
      </c>
      <c r="AQ100" s="123" t="s">
        <v>85</v>
      </c>
      <c r="AV100" s="124">
        <f t="shared" si="43"/>
        <v>0</v>
      </c>
      <c r="AW100" s="124">
        <f t="shared" si="44"/>
        <v>0</v>
      </c>
      <c r="AX100" s="124">
        <f t="shared" si="45"/>
        <v>0</v>
      </c>
      <c r="AY100" s="125" t="s">
        <v>642</v>
      </c>
      <c r="AZ100" s="125" t="s">
        <v>1537</v>
      </c>
      <c r="BA100" s="113" t="s">
        <v>1542</v>
      </c>
      <c r="BC100" s="124">
        <f t="shared" si="46"/>
        <v>0</v>
      </c>
      <c r="BD100" s="124">
        <f t="shared" si="47"/>
        <v>0</v>
      </c>
      <c r="BE100" s="124">
        <v>0</v>
      </c>
      <c r="BF100" s="124">
        <f t="shared" si="48"/>
        <v>0</v>
      </c>
      <c r="BH100" s="122">
        <f t="shared" si="49"/>
        <v>0</v>
      </c>
      <c r="BI100" s="122">
        <f t="shared" si="50"/>
        <v>0</v>
      </c>
      <c r="BJ100" s="122">
        <f t="shared" si="51"/>
        <v>0</v>
      </c>
    </row>
    <row r="101" spans="1:62" s="174" customFormat="1" ht="12.75">
      <c r="A101" s="121" t="s">
        <v>136</v>
      </c>
      <c r="B101" s="121" t="s">
        <v>60</v>
      </c>
      <c r="C101" s="121" t="s">
        <v>295</v>
      </c>
      <c r="D101" s="129" t="s">
        <v>1255</v>
      </c>
      <c r="E101" s="121" t="s">
        <v>609</v>
      </c>
      <c r="F101" s="122">
        <f>'Stavební rozpočet'!F267</f>
        <v>13.2</v>
      </c>
      <c r="G101" s="172"/>
      <c r="H101" s="122">
        <f t="shared" si="26"/>
        <v>0</v>
      </c>
      <c r="I101" s="122">
        <f t="shared" si="27"/>
        <v>0</v>
      </c>
      <c r="J101" s="122">
        <f t="shared" si="28"/>
        <v>0</v>
      </c>
      <c r="K101" s="122">
        <f>'Stavební rozpočet'!K267</f>
        <v>0</v>
      </c>
      <c r="L101" s="122">
        <f t="shared" si="29"/>
        <v>0</v>
      </c>
      <c r="M101" s="123" t="s">
        <v>622</v>
      </c>
      <c r="Z101" s="124">
        <f t="shared" si="30"/>
        <v>0</v>
      </c>
      <c r="AB101" s="124">
        <f t="shared" si="31"/>
        <v>0</v>
      </c>
      <c r="AC101" s="124">
        <f t="shared" si="32"/>
        <v>0</v>
      </c>
      <c r="AD101" s="124">
        <f t="shared" si="33"/>
        <v>0</v>
      </c>
      <c r="AE101" s="124">
        <f t="shared" si="34"/>
        <v>0</v>
      </c>
      <c r="AF101" s="124">
        <f t="shared" si="35"/>
        <v>0</v>
      </c>
      <c r="AG101" s="124">
        <f t="shared" si="36"/>
        <v>0</v>
      </c>
      <c r="AH101" s="124">
        <f t="shared" si="37"/>
        <v>0</v>
      </c>
      <c r="AI101" s="113" t="s">
        <v>60</v>
      </c>
      <c r="AJ101" s="122">
        <f t="shared" si="38"/>
        <v>0</v>
      </c>
      <c r="AK101" s="122">
        <f t="shared" si="39"/>
        <v>0</v>
      </c>
      <c r="AL101" s="122">
        <f t="shared" si="40"/>
        <v>0</v>
      </c>
      <c r="AN101" s="124">
        <v>15</v>
      </c>
      <c r="AO101" s="124">
        <f t="shared" si="41"/>
        <v>0</v>
      </c>
      <c r="AP101" s="124">
        <f t="shared" si="42"/>
        <v>0</v>
      </c>
      <c r="AQ101" s="123" t="s">
        <v>85</v>
      </c>
      <c r="AV101" s="124">
        <f t="shared" si="43"/>
        <v>0</v>
      </c>
      <c r="AW101" s="124">
        <f t="shared" si="44"/>
        <v>0</v>
      </c>
      <c r="AX101" s="124">
        <f t="shared" si="45"/>
        <v>0</v>
      </c>
      <c r="AY101" s="125" t="s">
        <v>642</v>
      </c>
      <c r="AZ101" s="125" t="s">
        <v>1537</v>
      </c>
      <c r="BA101" s="113" t="s">
        <v>1542</v>
      </c>
      <c r="BC101" s="124">
        <f t="shared" si="46"/>
        <v>0</v>
      </c>
      <c r="BD101" s="124">
        <f t="shared" si="47"/>
        <v>0</v>
      </c>
      <c r="BE101" s="124">
        <v>0</v>
      </c>
      <c r="BF101" s="124">
        <f t="shared" si="48"/>
        <v>0</v>
      </c>
      <c r="BH101" s="122">
        <f t="shared" si="49"/>
        <v>0</v>
      </c>
      <c r="BI101" s="122">
        <f t="shared" si="50"/>
        <v>0</v>
      </c>
      <c r="BJ101" s="122">
        <f t="shared" si="51"/>
        <v>0</v>
      </c>
    </row>
    <row r="102" spans="1:62" s="174" customFormat="1" ht="12.75">
      <c r="A102" s="121" t="s">
        <v>137</v>
      </c>
      <c r="B102" s="121" t="s">
        <v>60</v>
      </c>
      <c r="C102" s="121" t="s">
        <v>296</v>
      </c>
      <c r="D102" s="129" t="s">
        <v>1256</v>
      </c>
      <c r="E102" s="121" t="s">
        <v>609</v>
      </c>
      <c r="F102" s="122">
        <f>'Stavební rozpočet'!F268</f>
        <v>33.4</v>
      </c>
      <c r="G102" s="172"/>
      <c r="H102" s="122">
        <f t="shared" si="26"/>
        <v>0</v>
      </c>
      <c r="I102" s="122">
        <f t="shared" si="27"/>
        <v>0</v>
      </c>
      <c r="J102" s="122">
        <f t="shared" si="28"/>
        <v>0</v>
      </c>
      <c r="K102" s="122">
        <f>'Stavební rozpočet'!K268</f>
        <v>0</v>
      </c>
      <c r="L102" s="122">
        <f t="shared" si="29"/>
        <v>0</v>
      </c>
      <c r="M102" s="123" t="s">
        <v>622</v>
      </c>
      <c r="Z102" s="124">
        <f t="shared" si="30"/>
        <v>0</v>
      </c>
      <c r="AB102" s="124">
        <f t="shared" si="31"/>
        <v>0</v>
      </c>
      <c r="AC102" s="124">
        <f t="shared" si="32"/>
        <v>0</v>
      </c>
      <c r="AD102" s="124">
        <f t="shared" si="33"/>
        <v>0</v>
      </c>
      <c r="AE102" s="124">
        <f t="shared" si="34"/>
        <v>0</v>
      </c>
      <c r="AF102" s="124">
        <f t="shared" si="35"/>
        <v>0</v>
      </c>
      <c r="AG102" s="124">
        <f t="shared" si="36"/>
        <v>0</v>
      </c>
      <c r="AH102" s="124">
        <f t="shared" si="37"/>
        <v>0</v>
      </c>
      <c r="AI102" s="113" t="s">
        <v>60</v>
      </c>
      <c r="AJ102" s="122">
        <f t="shared" si="38"/>
        <v>0</v>
      </c>
      <c r="AK102" s="122">
        <f t="shared" si="39"/>
        <v>0</v>
      </c>
      <c r="AL102" s="122">
        <f t="shared" si="40"/>
        <v>0</v>
      </c>
      <c r="AN102" s="124">
        <v>15</v>
      </c>
      <c r="AO102" s="124">
        <f t="shared" si="41"/>
        <v>0</v>
      </c>
      <c r="AP102" s="124">
        <f t="shared" si="42"/>
        <v>0</v>
      </c>
      <c r="AQ102" s="123" t="s">
        <v>85</v>
      </c>
      <c r="AV102" s="124">
        <f t="shared" si="43"/>
        <v>0</v>
      </c>
      <c r="AW102" s="124">
        <f t="shared" si="44"/>
        <v>0</v>
      </c>
      <c r="AX102" s="124">
        <f t="shared" si="45"/>
        <v>0</v>
      </c>
      <c r="AY102" s="125" t="s">
        <v>642</v>
      </c>
      <c r="AZ102" s="125" t="s">
        <v>1537</v>
      </c>
      <c r="BA102" s="113" t="s">
        <v>1542</v>
      </c>
      <c r="BC102" s="124">
        <f t="shared" si="46"/>
        <v>0</v>
      </c>
      <c r="BD102" s="124">
        <f t="shared" si="47"/>
        <v>0</v>
      </c>
      <c r="BE102" s="124">
        <v>0</v>
      </c>
      <c r="BF102" s="124">
        <f t="shared" si="48"/>
        <v>0</v>
      </c>
      <c r="BH102" s="122">
        <f t="shared" si="49"/>
        <v>0</v>
      </c>
      <c r="BI102" s="122">
        <f t="shared" si="50"/>
        <v>0</v>
      </c>
      <c r="BJ102" s="122">
        <f t="shared" si="51"/>
        <v>0</v>
      </c>
    </row>
    <row r="103" spans="1:62" s="174" customFormat="1" ht="12.75">
      <c r="A103" s="121" t="s">
        <v>138</v>
      </c>
      <c r="B103" s="121" t="s">
        <v>60</v>
      </c>
      <c r="C103" s="121" t="s">
        <v>297</v>
      </c>
      <c r="D103" s="129" t="s">
        <v>1257</v>
      </c>
      <c r="E103" s="121" t="s">
        <v>609</v>
      </c>
      <c r="F103" s="122">
        <f>'Stavební rozpočet'!F269</f>
        <v>18.7</v>
      </c>
      <c r="G103" s="172"/>
      <c r="H103" s="122">
        <f t="shared" si="26"/>
        <v>0</v>
      </c>
      <c r="I103" s="122">
        <f t="shared" si="27"/>
        <v>0</v>
      </c>
      <c r="J103" s="122">
        <f t="shared" si="28"/>
        <v>0</v>
      </c>
      <c r="K103" s="122">
        <f>'Stavební rozpočet'!K269</f>
        <v>0</v>
      </c>
      <c r="L103" s="122">
        <f t="shared" si="29"/>
        <v>0</v>
      </c>
      <c r="M103" s="123" t="s">
        <v>622</v>
      </c>
      <c r="Z103" s="124">
        <f t="shared" si="30"/>
        <v>0</v>
      </c>
      <c r="AB103" s="124">
        <f t="shared" si="31"/>
        <v>0</v>
      </c>
      <c r="AC103" s="124">
        <f t="shared" si="32"/>
        <v>0</v>
      </c>
      <c r="AD103" s="124">
        <f t="shared" si="33"/>
        <v>0</v>
      </c>
      <c r="AE103" s="124">
        <f t="shared" si="34"/>
        <v>0</v>
      </c>
      <c r="AF103" s="124">
        <f t="shared" si="35"/>
        <v>0</v>
      </c>
      <c r="AG103" s="124">
        <f t="shared" si="36"/>
        <v>0</v>
      </c>
      <c r="AH103" s="124">
        <f t="shared" si="37"/>
        <v>0</v>
      </c>
      <c r="AI103" s="113" t="s">
        <v>60</v>
      </c>
      <c r="AJ103" s="122">
        <f t="shared" si="38"/>
        <v>0</v>
      </c>
      <c r="AK103" s="122">
        <f t="shared" si="39"/>
        <v>0</v>
      </c>
      <c r="AL103" s="122">
        <f t="shared" si="40"/>
        <v>0</v>
      </c>
      <c r="AN103" s="124">
        <v>15</v>
      </c>
      <c r="AO103" s="124">
        <f t="shared" si="41"/>
        <v>0</v>
      </c>
      <c r="AP103" s="124">
        <f t="shared" si="42"/>
        <v>0</v>
      </c>
      <c r="AQ103" s="123" t="s">
        <v>85</v>
      </c>
      <c r="AV103" s="124">
        <f t="shared" si="43"/>
        <v>0</v>
      </c>
      <c r="AW103" s="124">
        <f t="shared" si="44"/>
        <v>0</v>
      </c>
      <c r="AX103" s="124">
        <f t="shared" si="45"/>
        <v>0</v>
      </c>
      <c r="AY103" s="125" t="s">
        <v>642</v>
      </c>
      <c r="AZ103" s="125" t="s">
        <v>1537</v>
      </c>
      <c r="BA103" s="113" t="s">
        <v>1542</v>
      </c>
      <c r="BC103" s="124">
        <f t="shared" si="46"/>
        <v>0</v>
      </c>
      <c r="BD103" s="124">
        <f t="shared" si="47"/>
        <v>0</v>
      </c>
      <c r="BE103" s="124">
        <v>0</v>
      </c>
      <c r="BF103" s="124">
        <f t="shared" si="48"/>
        <v>0</v>
      </c>
      <c r="BH103" s="122">
        <f t="shared" si="49"/>
        <v>0</v>
      </c>
      <c r="BI103" s="122">
        <f t="shared" si="50"/>
        <v>0</v>
      </c>
      <c r="BJ103" s="122">
        <f t="shared" si="51"/>
        <v>0</v>
      </c>
    </row>
    <row r="104" spans="1:62" s="174" customFormat="1" ht="12.75">
      <c r="A104" s="121" t="s">
        <v>139</v>
      </c>
      <c r="B104" s="121" t="s">
        <v>60</v>
      </c>
      <c r="C104" s="121" t="s">
        <v>961</v>
      </c>
      <c r="D104" s="129" t="s">
        <v>1258</v>
      </c>
      <c r="E104" s="121" t="s">
        <v>606</v>
      </c>
      <c r="F104" s="122">
        <f>'Stavební rozpočet'!F270</f>
        <v>2</v>
      </c>
      <c r="G104" s="172"/>
      <c r="H104" s="122">
        <f t="shared" si="26"/>
        <v>0</v>
      </c>
      <c r="I104" s="122">
        <f t="shared" si="27"/>
        <v>0</v>
      </c>
      <c r="J104" s="122">
        <f t="shared" si="28"/>
        <v>0</v>
      </c>
      <c r="K104" s="122">
        <f>'Stavební rozpočet'!K270</f>
        <v>0</v>
      </c>
      <c r="L104" s="122">
        <f t="shared" si="29"/>
        <v>0</v>
      </c>
      <c r="M104" s="123" t="s">
        <v>622</v>
      </c>
      <c r="Z104" s="124">
        <f t="shared" si="30"/>
        <v>0</v>
      </c>
      <c r="AB104" s="124">
        <f t="shared" si="31"/>
        <v>0</v>
      </c>
      <c r="AC104" s="124">
        <f t="shared" si="32"/>
        <v>0</v>
      </c>
      <c r="AD104" s="124">
        <f t="shared" si="33"/>
        <v>0</v>
      </c>
      <c r="AE104" s="124">
        <f t="shared" si="34"/>
        <v>0</v>
      </c>
      <c r="AF104" s="124">
        <f t="shared" si="35"/>
        <v>0</v>
      </c>
      <c r="AG104" s="124">
        <f t="shared" si="36"/>
        <v>0</v>
      </c>
      <c r="AH104" s="124">
        <f t="shared" si="37"/>
        <v>0</v>
      </c>
      <c r="AI104" s="113" t="s">
        <v>60</v>
      </c>
      <c r="AJ104" s="122">
        <f t="shared" si="38"/>
        <v>0</v>
      </c>
      <c r="AK104" s="122">
        <f t="shared" si="39"/>
        <v>0</v>
      </c>
      <c r="AL104" s="122">
        <f t="shared" si="40"/>
        <v>0</v>
      </c>
      <c r="AN104" s="124">
        <v>15</v>
      </c>
      <c r="AO104" s="124">
        <f t="shared" si="41"/>
        <v>0</v>
      </c>
      <c r="AP104" s="124">
        <f t="shared" si="42"/>
        <v>0</v>
      </c>
      <c r="AQ104" s="123" t="s">
        <v>85</v>
      </c>
      <c r="AV104" s="124">
        <f t="shared" si="43"/>
        <v>0</v>
      </c>
      <c r="AW104" s="124">
        <f t="shared" si="44"/>
        <v>0</v>
      </c>
      <c r="AX104" s="124">
        <f t="shared" si="45"/>
        <v>0</v>
      </c>
      <c r="AY104" s="125" t="s">
        <v>642</v>
      </c>
      <c r="AZ104" s="125" t="s">
        <v>1537</v>
      </c>
      <c r="BA104" s="113" t="s">
        <v>1542</v>
      </c>
      <c r="BC104" s="124">
        <f t="shared" si="46"/>
        <v>0</v>
      </c>
      <c r="BD104" s="124">
        <f t="shared" si="47"/>
        <v>0</v>
      </c>
      <c r="BE104" s="124">
        <v>0</v>
      </c>
      <c r="BF104" s="124">
        <f t="shared" si="48"/>
        <v>0</v>
      </c>
      <c r="BH104" s="122">
        <f t="shared" si="49"/>
        <v>0</v>
      </c>
      <c r="BI104" s="122">
        <f t="shared" si="50"/>
        <v>0</v>
      </c>
      <c r="BJ104" s="122">
        <f t="shared" si="51"/>
        <v>0</v>
      </c>
    </row>
    <row r="105" spans="1:62" s="174" customFormat="1" ht="12.75">
      <c r="A105" s="121" t="s">
        <v>140</v>
      </c>
      <c r="B105" s="121" t="s">
        <v>60</v>
      </c>
      <c r="C105" s="121" t="s">
        <v>962</v>
      </c>
      <c r="D105" s="129" t="s">
        <v>1259</v>
      </c>
      <c r="E105" s="121" t="s">
        <v>606</v>
      </c>
      <c r="F105" s="122">
        <f>'Stavební rozpočet'!F271</f>
        <v>4</v>
      </c>
      <c r="G105" s="172"/>
      <c r="H105" s="122">
        <f t="shared" si="26"/>
        <v>0</v>
      </c>
      <c r="I105" s="122">
        <f t="shared" si="27"/>
        <v>0</v>
      </c>
      <c r="J105" s="122">
        <f t="shared" si="28"/>
        <v>0</v>
      </c>
      <c r="K105" s="122">
        <f>'Stavební rozpočet'!K271</f>
        <v>0</v>
      </c>
      <c r="L105" s="122">
        <f t="shared" si="29"/>
        <v>0</v>
      </c>
      <c r="M105" s="123" t="s">
        <v>622</v>
      </c>
      <c r="Z105" s="124">
        <f t="shared" si="30"/>
        <v>0</v>
      </c>
      <c r="AB105" s="124">
        <f t="shared" si="31"/>
        <v>0</v>
      </c>
      <c r="AC105" s="124">
        <f t="shared" si="32"/>
        <v>0</v>
      </c>
      <c r="AD105" s="124">
        <f t="shared" si="33"/>
        <v>0</v>
      </c>
      <c r="AE105" s="124">
        <f t="shared" si="34"/>
        <v>0</v>
      </c>
      <c r="AF105" s="124">
        <f t="shared" si="35"/>
        <v>0</v>
      </c>
      <c r="AG105" s="124">
        <f t="shared" si="36"/>
        <v>0</v>
      </c>
      <c r="AH105" s="124">
        <f t="shared" si="37"/>
        <v>0</v>
      </c>
      <c r="AI105" s="113" t="s">
        <v>60</v>
      </c>
      <c r="AJ105" s="122">
        <f t="shared" si="38"/>
        <v>0</v>
      </c>
      <c r="AK105" s="122">
        <f t="shared" si="39"/>
        <v>0</v>
      </c>
      <c r="AL105" s="122">
        <f t="shared" si="40"/>
        <v>0</v>
      </c>
      <c r="AN105" s="124">
        <v>15</v>
      </c>
      <c r="AO105" s="124">
        <f t="shared" si="41"/>
        <v>0</v>
      </c>
      <c r="AP105" s="124">
        <f t="shared" si="42"/>
        <v>0</v>
      </c>
      <c r="AQ105" s="123" t="s">
        <v>85</v>
      </c>
      <c r="AV105" s="124">
        <f t="shared" si="43"/>
        <v>0</v>
      </c>
      <c r="AW105" s="124">
        <f t="shared" si="44"/>
        <v>0</v>
      </c>
      <c r="AX105" s="124">
        <f t="shared" si="45"/>
        <v>0</v>
      </c>
      <c r="AY105" s="125" t="s">
        <v>642</v>
      </c>
      <c r="AZ105" s="125" t="s">
        <v>1537</v>
      </c>
      <c r="BA105" s="113" t="s">
        <v>1542</v>
      </c>
      <c r="BC105" s="124">
        <f t="shared" si="46"/>
        <v>0</v>
      </c>
      <c r="BD105" s="124">
        <f t="shared" si="47"/>
        <v>0</v>
      </c>
      <c r="BE105" s="124">
        <v>0</v>
      </c>
      <c r="BF105" s="124">
        <f t="shared" si="48"/>
        <v>0</v>
      </c>
      <c r="BH105" s="122">
        <f t="shared" si="49"/>
        <v>0</v>
      </c>
      <c r="BI105" s="122">
        <f t="shared" si="50"/>
        <v>0</v>
      </c>
      <c r="BJ105" s="122">
        <f t="shared" si="51"/>
        <v>0</v>
      </c>
    </row>
    <row r="106" spans="1:62" s="174" customFormat="1" ht="12.75">
      <c r="A106" s="121" t="s">
        <v>141</v>
      </c>
      <c r="B106" s="121" t="s">
        <v>60</v>
      </c>
      <c r="C106" s="121" t="s">
        <v>963</v>
      </c>
      <c r="D106" s="129" t="s">
        <v>1260</v>
      </c>
      <c r="E106" s="121" t="s">
        <v>606</v>
      </c>
      <c r="F106" s="122">
        <f>'Stavební rozpočet'!F272</f>
        <v>6</v>
      </c>
      <c r="G106" s="172"/>
      <c r="H106" s="122">
        <f t="shared" si="26"/>
        <v>0</v>
      </c>
      <c r="I106" s="122">
        <f t="shared" si="27"/>
        <v>0</v>
      </c>
      <c r="J106" s="122">
        <f t="shared" si="28"/>
        <v>0</v>
      </c>
      <c r="K106" s="122">
        <f>'Stavební rozpočet'!K272</f>
        <v>0</v>
      </c>
      <c r="L106" s="122">
        <f t="shared" si="29"/>
        <v>0</v>
      </c>
      <c r="M106" s="123" t="s">
        <v>622</v>
      </c>
      <c r="Z106" s="124">
        <f t="shared" si="30"/>
        <v>0</v>
      </c>
      <c r="AB106" s="124">
        <f t="shared" si="31"/>
        <v>0</v>
      </c>
      <c r="AC106" s="124">
        <f t="shared" si="32"/>
        <v>0</v>
      </c>
      <c r="AD106" s="124">
        <f t="shared" si="33"/>
        <v>0</v>
      </c>
      <c r="AE106" s="124">
        <f t="shared" si="34"/>
        <v>0</v>
      </c>
      <c r="AF106" s="124">
        <f t="shared" si="35"/>
        <v>0</v>
      </c>
      <c r="AG106" s="124">
        <f t="shared" si="36"/>
        <v>0</v>
      </c>
      <c r="AH106" s="124">
        <f t="shared" si="37"/>
        <v>0</v>
      </c>
      <c r="AI106" s="113" t="s">
        <v>60</v>
      </c>
      <c r="AJ106" s="122">
        <f t="shared" si="38"/>
        <v>0</v>
      </c>
      <c r="AK106" s="122">
        <f t="shared" si="39"/>
        <v>0</v>
      </c>
      <c r="AL106" s="122">
        <f t="shared" si="40"/>
        <v>0</v>
      </c>
      <c r="AN106" s="124">
        <v>15</v>
      </c>
      <c r="AO106" s="124">
        <f t="shared" si="41"/>
        <v>0</v>
      </c>
      <c r="AP106" s="124">
        <f t="shared" si="42"/>
        <v>0</v>
      </c>
      <c r="AQ106" s="123" t="s">
        <v>85</v>
      </c>
      <c r="AV106" s="124">
        <f t="shared" si="43"/>
        <v>0</v>
      </c>
      <c r="AW106" s="124">
        <f t="shared" si="44"/>
        <v>0</v>
      </c>
      <c r="AX106" s="124">
        <f t="shared" si="45"/>
        <v>0</v>
      </c>
      <c r="AY106" s="125" t="s">
        <v>642</v>
      </c>
      <c r="AZ106" s="125" t="s">
        <v>1537</v>
      </c>
      <c r="BA106" s="113" t="s">
        <v>1542</v>
      </c>
      <c r="BC106" s="124">
        <f t="shared" si="46"/>
        <v>0</v>
      </c>
      <c r="BD106" s="124">
        <f t="shared" si="47"/>
        <v>0</v>
      </c>
      <c r="BE106" s="124">
        <v>0</v>
      </c>
      <c r="BF106" s="124">
        <f t="shared" si="48"/>
        <v>0</v>
      </c>
      <c r="BH106" s="122">
        <f t="shared" si="49"/>
        <v>0</v>
      </c>
      <c r="BI106" s="122">
        <f t="shared" si="50"/>
        <v>0</v>
      </c>
      <c r="BJ106" s="122">
        <f t="shared" si="51"/>
        <v>0</v>
      </c>
    </row>
    <row r="107" spans="1:62" s="174" customFormat="1" ht="12.75">
      <c r="A107" s="121" t="s">
        <v>142</v>
      </c>
      <c r="B107" s="121" t="s">
        <v>60</v>
      </c>
      <c r="C107" s="121" t="s">
        <v>964</v>
      </c>
      <c r="D107" s="129" t="s">
        <v>1261</v>
      </c>
      <c r="E107" s="121" t="s">
        <v>606</v>
      </c>
      <c r="F107" s="122">
        <f>'Stavební rozpočet'!F273</f>
        <v>12</v>
      </c>
      <c r="G107" s="172"/>
      <c r="H107" s="122">
        <f t="shared" si="26"/>
        <v>0</v>
      </c>
      <c r="I107" s="122">
        <f t="shared" si="27"/>
        <v>0</v>
      </c>
      <c r="J107" s="122">
        <f t="shared" si="28"/>
        <v>0</v>
      </c>
      <c r="K107" s="122">
        <f>'Stavební rozpočet'!K273</f>
        <v>0</v>
      </c>
      <c r="L107" s="122">
        <f t="shared" si="29"/>
        <v>0</v>
      </c>
      <c r="M107" s="123" t="s">
        <v>622</v>
      </c>
      <c r="Z107" s="124">
        <f t="shared" si="30"/>
        <v>0</v>
      </c>
      <c r="AB107" s="124">
        <f t="shared" si="31"/>
        <v>0</v>
      </c>
      <c r="AC107" s="124">
        <f t="shared" si="32"/>
        <v>0</v>
      </c>
      <c r="AD107" s="124">
        <f t="shared" si="33"/>
        <v>0</v>
      </c>
      <c r="AE107" s="124">
        <f t="shared" si="34"/>
        <v>0</v>
      </c>
      <c r="AF107" s="124">
        <f t="shared" si="35"/>
        <v>0</v>
      </c>
      <c r="AG107" s="124">
        <f t="shared" si="36"/>
        <v>0</v>
      </c>
      <c r="AH107" s="124">
        <f t="shared" si="37"/>
        <v>0</v>
      </c>
      <c r="AI107" s="113" t="s">
        <v>60</v>
      </c>
      <c r="AJ107" s="122">
        <f t="shared" si="38"/>
        <v>0</v>
      </c>
      <c r="AK107" s="122">
        <f t="shared" si="39"/>
        <v>0</v>
      </c>
      <c r="AL107" s="122">
        <f t="shared" si="40"/>
        <v>0</v>
      </c>
      <c r="AN107" s="124">
        <v>15</v>
      </c>
      <c r="AO107" s="124">
        <f t="shared" si="41"/>
        <v>0</v>
      </c>
      <c r="AP107" s="124">
        <f t="shared" si="42"/>
        <v>0</v>
      </c>
      <c r="AQ107" s="123" t="s">
        <v>85</v>
      </c>
      <c r="AV107" s="124">
        <f t="shared" si="43"/>
        <v>0</v>
      </c>
      <c r="AW107" s="124">
        <f t="shared" si="44"/>
        <v>0</v>
      </c>
      <c r="AX107" s="124">
        <f t="shared" si="45"/>
        <v>0</v>
      </c>
      <c r="AY107" s="125" t="s">
        <v>642</v>
      </c>
      <c r="AZ107" s="125" t="s">
        <v>1537</v>
      </c>
      <c r="BA107" s="113" t="s">
        <v>1542</v>
      </c>
      <c r="BC107" s="124">
        <f t="shared" si="46"/>
        <v>0</v>
      </c>
      <c r="BD107" s="124">
        <f t="shared" si="47"/>
        <v>0</v>
      </c>
      <c r="BE107" s="124">
        <v>0</v>
      </c>
      <c r="BF107" s="124">
        <f t="shared" si="48"/>
        <v>0</v>
      </c>
      <c r="BH107" s="122">
        <f t="shared" si="49"/>
        <v>0</v>
      </c>
      <c r="BI107" s="122">
        <f t="shared" si="50"/>
        <v>0</v>
      </c>
      <c r="BJ107" s="122">
        <f t="shared" si="51"/>
        <v>0</v>
      </c>
    </row>
    <row r="108" spans="1:62" s="174" customFormat="1" ht="12.75">
      <c r="A108" s="121" t="s">
        <v>143</v>
      </c>
      <c r="B108" s="121" t="s">
        <v>60</v>
      </c>
      <c r="C108" s="121" t="s">
        <v>965</v>
      </c>
      <c r="D108" s="129" t="s">
        <v>1262</v>
      </c>
      <c r="E108" s="121" t="s">
        <v>606</v>
      </c>
      <c r="F108" s="122">
        <f>'Stavební rozpočet'!F274</f>
        <v>1</v>
      </c>
      <c r="G108" s="172"/>
      <c r="H108" s="122">
        <f t="shared" si="26"/>
        <v>0</v>
      </c>
      <c r="I108" s="122">
        <f t="shared" si="27"/>
        <v>0</v>
      </c>
      <c r="J108" s="122">
        <f t="shared" si="28"/>
        <v>0</v>
      </c>
      <c r="K108" s="122">
        <f>'Stavební rozpočet'!K274</f>
        <v>0</v>
      </c>
      <c r="L108" s="122">
        <f t="shared" si="29"/>
        <v>0</v>
      </c>
      <c r="M108" s="123" t="s">
        <v>622</v>
      </c>
      <c r="Z108" s="124">
        <f t="shared" si="30"/>
        <v>0</v>
      </c>
      <c r="AB108" s="124">
        <f t="shared" si="31"/>
        <v>0</v>
      </c>
      <c r="AC108" s="124">
        <f t="shared" si="32"/>
        <v>0</v>
      </c>
      <c r="AD108" s="124">
        <f t="shared" si="33"/>
        <v>0</v>
      </c>
      <c r="AE108" s="124">
        <f t="shared" si="34"/>
        <v>0</v>
      </c>
      <c r="AF108" s="124">
        <f t="shared" si="35"/>
        <v>0</v>
      </c>
      <c r="AG108" s="124">
        <f t="shared" si="36"/>
        <v>0</v>
      </c>
      <c r="AH108" s="124">
        <f t="shared" si="37"/>
        <v>0</v>
      </c>
      <c r="AI108" s="113" t="s">
        <v>60</v>
      </c>
      <c r="AJ108" s="122">
        <f t="shared" si="38"/>
        <v>0</v>
      </c>
      <c r="AK108" s="122">
        <f t="shared" si="39"/>
        <v>0</v>
      </c>
      <c r="AL108" s="122">
        <f t="shared" si="40"/>
        <v>0</v>
      </c>
      <c r="AN108" s="124">
        <v>15</v>
      </c>
      <c r="AO108" s="124">
        <f t="shared" si="41"/>
        <v>0</v>
      </c>
      <c r="AP108" s="124">
        <f t="shared" si="42"/>
        <v>0</v>
      </c>
      <c r="AQ108" s="123" t="s">
        <v>85</v>
      </c>
      <c r="AV108" s="124">
        <f t="shared" si="43"/>
        <v>0</v>
      </c>
      <c r="AW108" s="124">
        <f t="shared" si="44"/>
        <v>0</v>
      </c>
      <c r="AX108" s="124">
        <f t="shared" si="45"/>
        <v>0</v>
      </c>
      <c r="AY108" s="125" t="s">
        <v>642</v>
      </c>
      <c r="AZ108" s="125" t="s">
        <v>1537</v>
      </c>
      <c r="BA108" s="113" t="s">
        <v>1542</v>
      </c>
      <c r="BC108" s="124">
        <f t="shared" si="46"/>
        <v>0</v>
      </c>
      <c r="BD108" s="124">
        <f t="shared" si="47"/>
        <v>0</v>
      </c>
      <c r="BE108" s="124">
        <v>0</v>
      </c>
      <c r="BF108" s="124">
        <f t="shared" si="48"/>
        <v>0</v>
      </c>
      <c r="BH108" s="122">
        <f t="shared" si="49"/>
        <v>0</v>
      </c>
      <c r="BI108" s="122">
        <f t="shared" si="50"/>
        <v>0</v>
      </c>
      <c r="BJ108" s="122">
        <f t="shared" si="51"/>
        <v>0</v>
      </c>
    </row>
    <row r="109" spans="1:62" s="174" customFormat="1" ht="12.75">
      <c r="A109" s="121" t="s">
        <v>144</v>
      </c>
      <c r="B109" s="121" t="s">
        <v>60</v>
      </c>
      <c r="C109" s="121" t="s">
        <v>966</v>
      </c>
      <c r="D109" s="129" t="s">
        <v>1263</v>
      </c>
      <c r="E109" s="121" t="s">
        <v>606</v>
      </c>
      <c r="F109" s="122">
        <f>'Stavební rozpočet'!F275</f>
        <v>6</v>
      </c>
      <c r="G109" s="172"/>
      <c r="H109" s="122">
        <f t="shared" si="26"/>
        <v>0</v>
      </c>
      <c r="I109" s="122">
        <f t="shared" si="27"/>
        <v>0</v>
      </c>
      <c r="J109" s="122">
        <f t="shared" si="28"/>
        <v>0</v>
      </c>
      <c r="K109" s="122">
        <f>'Stavební rozpočet'!K275</f>
        <v>0</v>
      </c>
      <c r="L109" s="122">
        <f t="shared" si="29"/>
        <v>0</v>
      </c>
      <c r="M109" s="123" t="s">
        <v>622</v>
      </c>
      <c r="Z109" s="124">
        <f t="shared" si="30"/>
        <v>0</v>
      </c>
      <c r="AB109" s="124">
        <f t="shared" si="31"/>
        <v>0</v>
      </c>
      <c r="AC109" s="124">
        <f t="shared" si="32"/>
        <v>0</v>
      </c>
      <c r="AD109" s="124">
        <f t="shared" si="33"/>
        <v>0</v>
      </c>
      <c r="AE109" s="124">
        <f t="shared" si="34"/>
        <v>0</v>
      </c>
      <c r="AF109" s="124">
        <f t="shared" si="35"/>
        <v>0</v>
      </c>
      <c r="AG109" s="124">
        <f t="shared" si="36"/>
        <v>0</v>
      </c>
      <c r="AH109" s="124">
        <f t="shared" si="37"/>
        <v>0</v>
      </c>
      <c r="AI109" s="113" t="s">
        <v>60</v>
      </c>
      <c r="AJ109" s="122">
        <f t="shared" si="38"/>
        <v>0</v>
      </c>
      <c r="AK109" s="122">
        <f t="shared" si="39"/>
        <v>0</v>
      </c>
      <c r="AL109" s="122">
        <f t="shared" si="40"/>
        <v>0</v>
      </c>
      <c r="AN109" s="124">
        <v>15</v>
      </c>
      <c r="AO109" s="124">
        <f t="shared" si="41"/>
        <v>0</v>
      </c>
      <c r="AP109" s="124">
        <f t="shared" si="42"/>
        <v>0</v>
      </c>
      <c r="AQ109" s="123" t="s">
        <v>85</v>
      </c>
      <c r="AV109" s="124">
        <f t="shared" si="43"/>
        <v>0</v>
      </c>
      <c r="AW109" s="124">
        <f t="shared" si="44"/>
        <v>0</v>
      </c>
      <c r="AX109" s="124">
        <f t="shared" si="45"/>
        <v>0</v>
      </c>
      <c r="AY109" s="125" t="s">
        <v>642</v>
      </c>
      <c r="AZ109" s="125" t="s">
        <v>1537</v>
      </c>
      <c r="BA109" s="113" t="s">
        <v>1542</v>
      </c>
      <c r="BC109" s="124">
        <f t="shared" si="46"/>
        <v>0</v>
      </c>
      <c r="BD109" s="124">
        <f t="shared" si="47"/>
        <v>0</v>
      </c>
      <c r="BE109" s="124">
        <v>0</v>
      </c>
      <c r="BF109" s="124">
        <f t="shared" si="48"/>
        <v>0</v>
      </c>
      <c r="BH109" s="122">
        <f t="shared" si="49"/>
        <v>0</v>
      </c>
      <c r="BI109" s="122">
        <f t="shared" si="50"/>
        <v>0</v>
      </c>
      <c r="BJ109" s="122">
        <f t="shared" si="51"/>
        <v>0</v>
      </c>
    </row>
    <row r="110" spans="1:62" s="174" customFormat="1" ht="12.75">
      <c r="A110" s="121" t="s">
        <v>145</v>
      </c>
      <c r="B110" s="121" t="s">
        <v>60</v>
      </c>
      <c r="C110" s="121" t="s">
        <v>967</v>
      </c>
      <c r="D110" s="129" t="s">
        <v>1264</v>
      </c>
      <c r="E110" s="121" t="s">
        <v>606</v>
      </c>
      <c r="F110" s="122">
        <f>'Stavební rozpočet'!F276</f>
        <v>1</v>
      </c>
      <c r="G110" s="172"/>
      <c r="H110" s="122">
        <f t="shared" si="26"/>
        <v>0</v>
      </c>
      <c r="I110" s="122">
        <f t="shared" si="27"/>
        <v>0</v>
      </c>
      <c r="J110" s="122">
        <f t="shared" si="28"/>
        <v>0</v>
      </c>
      <c r="K110" s="122">
        <f>'Stavební rozpočet'!K276</f>
        <v>0</v>
      </c>
      <c r="L110" s="122">
        <f t="shared" si="29"/>
        <v>0</v>
      </c>
      <c r="M110" s="123" t="s">
        <v>622</v>
      </c>
      <c r="Z110" s="124">
        <f t="shared" si="30"/>
        <v>0</v>
      </c>
      <c r="AB110" s="124">
        <f t="shared" si="31"/>
        <v>0</v>
      </c>
      <c r="AC110" s="124">
        <f t="shared" si="32"/>
        <v>0</v>
      </c>
      <c r="AD110" s="124">
        <f t="shared" si="33"/>
        <v>0</v>
      </c>
      <c r="AE110" s="124">
        <f t="shared" si="34"/>
        <v>0</v>
      </c>
      <c r="AF110" s="124">
        <f t="shared" si="35"/>
        <v>0</v>
      </c>
      <c r="AG110" s="124">
        <f t="shared" si="36"/>
        <v>0</v>
      </c>
      <c r="AH110" s="124">
        <f t="shared" si="37"/>
        <v>0</v>
      </c>
      <c r="AI110" s="113" t="s">
        <v>60</v>
      </c>
      <c r="AJ110" s="122">
        <f t="shared" si="38"/>
        <v>0</v>
      </c>
      <c r="AK110" s="122">
        <f t="shared" si="39"/>
        <v>0</v>
      </c>
      <c r="AL110" s="122">
        <f t="shared" si="40"/>
        <v>0</v>
      </c>
      <c r="AN110" s="124">
        <v>15</v>
      </c>
      <c r="AO110" s="124">
        <f t="shared" si="41"/>
        <v>0</v>
      </c>
      <c r="AP110" s="124">
        <f t="shared" si="42"/>
        <v>0</v>
      </c>
      <c r="AQ110" s="123" t="s">
        <v>85</v>
      </c>
      <c r="AV110" s="124">
        <f t="shared" si="43"/>
        <v>0</v>
      </c>
      <c r="AW110" s="124">
        <f t="shared" si="44"/>
        <v>0</v>
      </c>
      <c r="AX110" s="124">
        <f t="shared" si="45"/>
        <v>0</v>
      </c>
      <c r="AY110" s="125" t="s">
        <v>642</v>
      </c>
      <c r="AZ110" s="125" t="s">
        <v>1537</v>
      </c>
      <c r="BA110" s="113" t="s">
        <v>1542</v>
      </c>
      <c r="BC110" s="124">
        <f t="shared" si="46"/>
        <v>0</v>
      </c>
      <c r="BD110" s="124">
        <f t="shared" si="47"/>
        <v>0</v>
      </c>
      <c r="BE110" s="124">
        <v>0</v>
      </c>
      <c r="BF110" s="124">
        <f t="shared" si="48"/>
        <v>0</v>
      </c>
      <c r="BH110" s="122">
        <f t="shared" si="49"/>
        <v>0</v>
      </c>
      <c r="BI110" s="122">
        <f t="shared" si="50"/>
        <v>0</v>
      </c>
      <c r="BJ110" s="122">
        <f t="shared" si="51"/>
        <v>0</v>
      </c>
    </row>
    <row r="111" spans="1:62" s="174" customFormat="1" ht="12.75" hidden="1">
      <c r="A111" s="121" t="s">
        <v>146</v>
      </c>
      <c r="B111" s="121" t="s">
        <v>60</v>
      </c>
      <c r="C111" s="121" t="s">
        <v>968</v>
      </c>
      <c r="D111" s="129" t="s">
        <v>1265</v>
      </c>
      <c r="E111" s="121" t="s">
        <v>606</v>
      </c>
      <c r="F111" s="122">
        <f>'Stavební rozpočet'!F277</f>
        <v>0</v>
      </c>
      <c r="G111" s="172"/>
      <c r="H111" s="122">
        <f t="shared" si="26"/>
        <v>0</v>
      </c>
      <c r="I111" s="122">
        <f t="shared" si="27"/>
        <v>0</v>
      </c>
      <c r="J111" s="122">
        <f t="shared" si="28"/>
        <v>0</v>
      </c>
      <c r="K111" s="122">
        <f>'Stavební rozpočet'!K277</f>
        <v>0</v>
      </c>
      <c r="L111" s="122">
        <f t="shared" si="29"/>
        <v>0</v>
      </c>
      <c r="M111" s="123" t="s">
        <v>622</v>
      </c>
      <c r="Z111" s="124">
        <f t="shared" si="30"/>
        <v>0</v>
      </c>
      <c r="AB111" s="124">
        <f t="shared" si="31"/>
        <v>0</v>
      </c>
      <c r="AC111" s="124">
        <f t="shared" si="32"/>
        <v>0</v>
      </c>
      <c r="AD111" s="124">
        <f t="shared" si="33"/>
        <v>0</v>
      </c>
      <c r="AE111" s="124">
        <f t="shared" si="34"/>
        <v>0</v>
      </c>
      <c r="AF111" s="124">
        <f t="shared" si="35"/>
        <v>0</v>
      </c>
      <c r="AG111" s="124">
        <f t="shared" si="36"/>
        <v>0</v>
      </c>
      <c r="AH111" s="124">
        <f t="shared" si="37"/>
        <v>0</v>
      </c>
      <c r="AI111" s="113" t="s">
        <v>60</v>
      </c>
      <c r="AJ111" s="122">
        <f t="shared" si="38"/>
        <v>0</v>
      </c>
      <c r="AK111" s="122">
        <f t="shared" si="39"/>
        <v>0</v>
      </c>
      <c r="AL111" s="122">
        <f t="shared" si="40"/>
        <v>0</v>
      </c>
      <c r="AN111" s="124">
        <v>15</v>
      </c>
      <c r="AO111" s="124">
        <f t="shared" si="41"/>
        <v>0</v>
      </c>
      <c r="AP111" s="124">
        <f t="shared" si="42"/>
        <v>0</v>
      </c>
      <c r="AQ111" s="123" t="s">
        <v>85</v>
      </c>
      <c r="AV111" s="124">
        <f t="shared" si="43"/>
        <v>0</v>
      </c>
      <c r="AW111" s="124">
        <f t="shared" si="44"/>
        <v>0</v>
      </c>
      <c r="AX111" s="124">
        <f t="shared" si="45"/>
        <v>0</v>
      </c>
      <c r="AY111" s="125" t="s">
        <v>642</v>
      </c>
      <c r="AZ111" s="125" t="s">
        <v>1537</v>
      </c>
      <c r="BA111" s="113" t="s">
        <v>1542</v>
      </c>
      <c r="BC111" s="124">
        <f t="shared" si="46"/>
        <v>0</v>
      </c>
      <c r="BD111" s="124">
        <f t="shared" si="47"/>
        <v>0</v>
      </c>
      <c r="BE111" s="124">
        <v>0</v>
      </c>
      <c r="BF111" s="124">
        <f t="shared" si="48"/>
        <v>0</v>
      </c>
      <c r="BH111" s="122">
        <f t="shared" si="49"/>
        <v>0</v>
      </c>
      <c r="BI111" s="122">
        <f t="shared" si="50"/>
        <v>0</v>
      </c>
      <c r="BJ111" s="122">
        <f t="shared" si="51"/>
        <v>0</v>
      </c>
    </row>
    <row r="112" spans="1:62" s="174" customFormat="1" ht="12.75">
      <c r="A112" s="121" t="s">
        <v>147</v>
      </c>
      <c r="B112" s="121" t="s">
        <v>60</v>
      </c>
      <c r="C112" s="121" t="s">
        <v>969</v>
      </c>
      <c r="D112" s="129" t="s">
        <v>1266</v>
      </c>
      <c r="E112" s="121" t="s">
        <v>606</v>
      </c>
      <c r="F112" s="122">
        <f>'Stavební rozpočet'!F278</f>
        <v>1</v>
      </c>
      <c r="G112" s="172"/>
      <c r="H112" s="122">
        <f t="shared" si="26"/>
        <v>0</v>
      </c>
      <c r="I112" s="122">
        <f t="shared" si="27"/>
        <v>0</v>
      </c>
      <c r="J112" s="122">
        <f t="shared" si="28"/>
        <v>0</v>
      </c>
      <c r="K112" s="122">
        <f>'Stavební rozpočet'!K278</f>
        <v>0</v>
      </c>
      <c r="L112" s="122">
        <f t="shared" si="29"/>
        <v>0</v>
      </c>
      <c r="M112" s="123" t="s">
        <v>622</v>
      </c>
      <c r="Z112" s="124">
        <f t="shared" si="30"/>
        <v>0</v>
      </c>
      <c r="AB112" s="124">
        <f t="shared" si="31"/>
        <v>0</v>
      </c>
      <c r="AC112" s="124">
        <f t="shared" si="32"/>
        <v>0</v>
      </c>
      <c r="AD112" s="124">
        <f t="shared" si="33"/>
        <v>0</v>
      </c>
      <c r="AE112" s="124">
        <f t="shared" si="34"/>
        <v>0</v>
      </c>
      <c r="AF112" s="124">
        <f t="shared" si="35"/>
        <v>0</v>
      </c>
      <c r="AG112" s="124">
        <f t="shared" si="36"/>
        <v>0</v>
      </c>
      <c r="AH112" s="124">
        <f t="shared" si="37"/>
        <v>0</v>
      </c>
      <c r="AI112" s="113" t="s">
        <v>60</v>
      </c>
      <c r="AJ112" s="122">
        <f t="shared" si="38"/>
        <v>0</v>
      </c>
      <c r="AK112" s="122">
        <f t="shared" si="39"/>
        <v>0</v>
      </c>
      <c r="AL112" s="122">
        <f t="shared" si="40"/>
        <v>0</v>
      </c>
      <c r="AN112" s="124">
        <v>15</v>
      </c>
      <c r="AO112" s="124">
        <f t="shared" si="41"/>
        <v>0</v>
      </c>
      <c r="AP112" s="124">
        <f t="shared" si="42"/>
        <v>0</v>
      </c>
      <c r="AQ112" s="123" t="s">
        <v>85</v>
      </c>
      <c r="AV112" s="124">
        <f t="shared" si="43"/>
        <v>0</v>
      </c>
      <c r="AW112" s="124">
        <f t="shared" si="44"/>
        <v>0</v>
      </c>
      <c r="AX112" s="124">
        <f t="shared" si="45"/>
        <v>0</v>
      </c>
      <c r="AY112" s="125" t="s">
        <v>642</v>
      </c>
      <c r="AZ112" s="125" t="s">
        <v>1537</v>
      </c>
      <c r="BA112" s="113" t="s">
        <v>1542</v>
      </c>
      <c r="BC112" s="124">
        <f t="shared" si="46"/>
        <v>0</v>
      </c>
      <c r="BD112" s="124">
        <f t="shared" si="47"/>
        <v>0</v>
      </c>
      <c r="BE112" s="124">
        <v>0</v>
      </c>
      <c r="BF112" s="124">
        <f t="shared" si="48"/>
        <v>0</v>
      </c>
      <c r="BH112" s="122">
        <f t="shared" si="49"/>
        <v>0</v>
      </c>
      <c r="BI112" s="122">
        <f t="shared" si="50"/>
        <v>0</v>
      </c>
      <c r="BJ112" s="122">
        <f t="shared" si="51"/>
        <v>0</v>
      </c>
    </row>
    <row r="113" spans="1:62" s="174" customFormat="1" ht="12.75">
      <c r="A113" s="121" t="s">
        <v>148</v>
      </c>
      <c r="B113" s="121" t="s">
        <v>60</v>
      </c>
      <c r="C113" s="121" t="s">
        <v>970</v>
      </c>
      <c r="D113" s="129" t="s">
        <v>1267</v>
      </c>
      <c r="E113" s="121" t="s">
        <v>606</v>
      </c>
      <c r="F113" s="122">
        <f>'Stavební rozpočet'!F279</f>
        <v>8</v>
      </c>
      <c r="G113" s="172"/>
      <c r="H113" s="122">
        <f t="shared" si="26"/>
        <v>0</v>
      </c>
      <c r="I113" s="122">
        <f t="shared" si="27"/>
        <v>0</v>
      </c>
      <c r="J113" s="122">
        <f t="shared" si="28"/>
        <v>0</v>
      </c>
      <c r="K113" s="122">
        <f>'Stavební rozpočet'!K279</f>
        <v>0</v>
      </c>
      <c r="L113" s="122">
        <f t="shared" si="29"/>
        <v>0</v>
      </c>
      <c r="M113" s="123" t="s">
        <v>622</v>
      </c>
      <c r="Z113" s="124">
        <f t="shared" si="30"/>
        <v>0</v>
      </c>
      <c r="AB113" s="124">
        <f t="shared" si="31"/>
        <v>0</v>
      </c>
      <c r="AC113" s="124">
        <f t="shared" si="32"/>
        <v>0</v>
      </c>
      <c r="AD113" s="124">
        <f t="shared" si="33"/>
        <v>0</v>
      </c>
      <c r="AE113" s="124">
        <f t="shared" si="34"/>
        <v>0</v>
      </c>
      <c r="AF113" s="124">
        <f t="shared" si="35"/>
        <v>0</v>
      </c>
      <c r="AG113" s="124">
        <f t="shared" si="36"/>
        <v>0</v>
      </c>
      <c r="AH113" s="124">
        <f t="shared" si="37"/>
        <v>0</v>
      </c>
      <c r="AI113" s="113" t="s">
        <v>60</v>
      </c>
      <c r="AJ113" s="122">
        <f t="shared" si="38"/>
        <v>0</v>
      </c>
      <c r="AK113" s="122">
        <f t="shared" si="39"/>
        <v>0</v>
      </c>
      <c r="AL113" s="122">
        <f t="shared" si="40"/>
        <v>0</v>
      </c>
      <c r="AN113" s="124">
        <v>15</v>
      </c>
      <c r="AO113" s="124">
        <f t="shared" si="41"/>
        <v>0</v>
      </c>
      <c r="AP113" s="124">
        <f t="shared" si="42"/>
        <v>0</v>
      </c>
      <c r="AQ113" s="123" t="s">
        <v>85</v>
      </c>
      <c r="AV113" s="124">
        <f t="shared" si="43"/>
        <v>0</v>
      </c>
      <c r="AW113" s="124">
        <f t="shared" si="44"/>
        <v>0</v>
      </c>
      <c r="AX113" s="124">
        <f t="shared" si="45"/>
        <v>0</v>
      </c>
      <c r="AY113" s="125" t="s">
        <v>642</v>
      </c>
      <c r="AZ113" s="125" t="s">
        <v>1537</v>
      </c>
      <c r="BA113" s="113" t="s">
        <v>1542</v>
      </c>
      <c r="BC113" s="124">
        <f t="shared" si="46"/>
        <v>0</v>
      </c>
      <c r="BD113" s="124">
        <f t="shared" si="47"/>
        <v>0</v>
      </c>
      <c r="BE113" s="124">
        <v>0</v>
      </c>
      <c r="BF113" s="124">
        <f t="shared" si="48"/>
        <v>0</v>
      </c>
      <c r="BH113" s="122">
        <f t="shared" si="49"/>
        <v>0</v>
      </c>
      <c r="BI113" s="122">
        <f t="shared" si="50"/>
        <v>0</v>
      </c>
      <c r="BJ113" s="122">
        <f t="shared" si="51"/>
        <v>0</v>
      </c>
    </row>
    <row r="114" spans="1:62" s="174" customFormat="1" ht="12.75">
      <c r="A114" s="121" t="s">
        <v>149</v>
      </c>
      <c r="B114" s="121" t="s">
        <v>60</v>
      </c>
      <c r="C114" s="121" t="s">
        <v>971</v>
      </c>
      <c r="D114" s="129" t="s">
        <v>1268</v>
      </c>
      <c r="E114" s="121" t="s">
        <v>606</v>
      </c>
      <c r="F114" s="122">
        <f>'Stavební rozpočet'!F280</f>
        <v>3</v>
      </c>
      <c r="G114" s="172"/>
      <c r="H114" s="122">
        <f t="shared" si="26"/>
        <v>0</v>
      </c>
      <c r="I114" s="122">
        <f t="shared" si="27"/>
        <v>0</v>
      </c>
      <c r="J114" s="122">
        <f t="shared" si="28"/>
        <v>0</v>
      </c>
      <c r="K114" s="122">
        <f>'Stavební rozpočet'!K280</f>
        <v>0</v>
      </c>
      <c r="L114" s="122">
        <f t="shared" si="29"/>
        <v>0</v>
      </c>
      <c r="M114" s="123" t="s">
        <v>622</v>
      </c>
      <c r="Z114" s="124">
        <f t="shared" si="30"/>
        <v>0</v>
      </c>
      <c r="AB114" s="124">
        <f t="shared" si="31"/>
        <v>0</v>
      </c>
      <c r="AC114" s="124">
        <f t="shared" si="32"/>
        <v>0</v>
      </c>
      <c r="AD114" s="124">
        <f t="shared" si="33"/>
        <v>0</v>
      </c>
      <c r="AE114" s="124">
        <f t="shared" si="34"/>
        <v>0</v>
      </c>
      <c r="AF114" s="124">
        <f t="shared" si="35"/>
        <v>0</v>
      </c>
      <c r="AG114" s="124">
        <f t="shared" si="36"/>
        <v>0</v>
      </c>
      <c r="AH114" s="124">
        <f t="shared" si="37"/>
        <v>0</v>
      </c>
      <c r="AI114" s="113" t="s">
        <v>60</v>
      </c>
      <c r="AJ114" s="122">
        <f t="shared" si="38"/>
        <v>0</v>
      </c>
      <c r="AK114" s="122">
        <f t="shared" si="39"/>
        <v>0</v>
      </c>
      <c r="AL114" s="122">
        <f t="shared" si="40"/>
        <v>0</v>
      </c>
      <c r="AN114" s="124">
        <v>15</v>
      </c>
      <c r="AO114" s="124">
        <f t="shared" si="41"/>
        <v>0</v>
      </c>
      <c r="AP114" s="124">
        <f t="shared" si="42"/>
        <v>0</v>
      </c>
      <c r="AQ114" s="123" t="s">
        <v>85</v>
      </c>
      <c r="AV114" s="124">
        <f t="shared" si="43"/>
        <v>0</v>
      </c>
      <c r="AW114" s="124">
        <f t="shared" si="44"/>
        <v>0</v>
      </c>
      <c r="AX114" s="124">
        <f t="shared" si="45"/>
        <v>0</v>
      </c>
      <c r="AY114" s="125" t="s">
        <v>642</v>
      </c>
      <c r="AZ114" s="125" t="s">
        <v>1537</v>
      </c>
      <c r="BA114" s="113" t="s">
        <v>1542</v>
      </c>
      <c r="BC114" s="124">
        <f t="shared" si="46"/>
        <v>0</v>
      </c>
      <c r="BD114" s="124">
        <f t="shared" si="47"/>
        <v>0</v>
      </c>
      <c r="BE114" s="124">
        <v>0</v>
      </c>
      <c r="BF114" s="124">
        <f t="shared" si="48"/>
        <v>0</v>
      </c>
      <c r="BH114" s="122">
        <f t="shared" si="49"/>
        <v>0</v>
      </c>
      <c r="BI114" s="122">
        <f t="shared" si="50"/>
        <v>0</v>
      </c>
      <c r="BJ114" s="122">
        <f t="shared" si="51"/>
        <v>0</v>
      </c>
    </row>
    <row r="115" spans="1:62" s="174" customFormat="1" ht="12.75">
      <c r="A115" s="121" t="s">
        <v>150</v>
      </c>
      <c r="B115" s="121" t="s">
        <v>60</v>
      </c>
      <c r="C115" s="121" t="s">
        <v>972</v>
      </c>
      <c r="D115" s="129" t="s">
        <v>1269</v>
      </c>
      <c r="E115" s="121" t="s">
        <v>606</v>
      </c>
      <c r="F115" s="122">
        <f>'Stavební rozpočet'!F281</f>
        <v>1</v>
      </c>
      <c r="G115" s="172"/>
      <c r="H115" s="122">
        <f t="shared" si="26"/>
        <v>0</v>
      </c>
      <c r="I115" s="122">
        <f t="shared" si="27"/>
        <v>0</v>
      </c>
      <c r="J115" s="122">
        <f t="shared" si="28"/>
        <v>0</v>
      </c>
      <c r="K115" s="122">
        <f>'Stavební rozpočet'!K281</f>
        <v>0</v>
      </c>
      <c r="L115" s="122">
        <f t="shared" si="29"/>
        <v>0</v>
      </c>
      <c r="M115" s="123" t="s">
        <v>622</v>
      </c>
      <c r="Z115" s="124">
        <f t="shared" si="30"/>
        <v>0</v>
      </c>
      <c r="AB115" s="124">
        <f t="shared" si="31"/>
        <v>0</v>
      </c>
      <c r="AC115" s="124">
        <f t="shared" si="32"/>
        <v>0</v>
      </c>
      <c r="AD115" s="124">
        <f t="shared" si="33"/>
        <v>0</v>
      </c>
      <c r="AE115" s="124">
        <f t="shared" si="34"/>
        <v>0</v>
      </c>
      <c r="AF115" s="124">
        <f t="shared" si="35"/>
        <v>0</v>
      </c>
      <c r="AG115" s="124">
        <f t="shared" si="36"/>
        <v>0</v>
      </c>
      <c r="AH115" s="124">
        <f t="shared" si="37"/>
        <v>0</v>
      </c>
      <c r="AI115" s="113" t="s">
        <v>60</v>
      </c>
      <c r="AJ115" s="122">
        <f t="shared" si="38"/>
        <v>0</v>
      </c>
      <c r="AK115" s="122">
        <f t="shared" si="39"/>
        <v>0</v>
      </c>
      <c r="AL115" s="122">
        <f t="shared" si="40"/>
        <v>0</v>
      </c>
      <c r="AN115" s="124">
        <v>15</v>
      </c>
      <c r="AO115" s="124">
        <f t="shared" si="41"/>
        <v>0</v>
      </c>
      <c r="AP115" s="124">
        <f t="shared" si="42"/>
        <v>0</v>
      </c>
      <c r="AQ115" s="123" t="s">
        <v>85</v>
      </c>
      <c r="AV115" s="124">
        <f t="shared" si="43"/>
        <v>0</v>
      </c>
      <c r="AW115" s="124">
        <f t="shared" si="44"/>
        <v>0</v>
      </c>
      <c r="AX115" s="124">
        <f t="shared" si="45"/>
        <v>0</v>
      </c>
      <c r="AY115" s="125" t="s">
        <v>642</v>
      </c>
      <c r="AZ115" s="125" t="s">
        <v>1537</v>
      </c>
      <c r="BA115" s="113" t="s">
        <v>1542</v>
      </c>
      <c r="BC115" s="124">
        <f t="shared" si="46"/>
        <v>0</v>
      </c>
      <c r="BD115" s="124">
        <f t="shared" si="47"/>
        <v>0</v>
      </c>
      <c r="BE115" s="124">
        <v>0</v>
      </c>
      <c r="BF115" s="124">
        <f t="shared" si="48"/>
        <v>0</v>
      </c>
      <c r="BH115" s="122">
        <f t="shared" si="49"/>
        <v>0</v>
      </c>
      <c r="BI115" s="122">
        <f t="shared" si="50"/>
        <v>0</v>
      </c>
      <c r="BJ115" s="122">
        <f t="shared" si="51"/>
        <v>0</v>
      </c>
    </row>
    <row r="116" spans="1:62" s="174" customFormat="1" ht="12.75">
      <c r="A116" s="121" t="s">
        <v>151</v>
      </c>
      <c r="B116" s="121" t="s">
        <v>60</v>
      </c>
      <c r="C116" s="121" t="s">
        <v>973</v>
      </c>
      <c r="D116" s="129" t="s">
        <v>1270</v>
      </c>
      <c r="E116" s="121" t="s">
        <v>606</v>
      </c>
      <c r="F116" s="122">
        <f>'Stavební rozpočet'!F282</f>
        <v>1</v>
      </c>
      <c r="G116" s="172"/>
      <c r="H116" s="122">
        <f t="shared" si="26"/>
        <v>0</v>
      </c>
      <c r="I116" s="122">
        <f t="shared" si="27"/>
        <v>0</v>
      </c>
      <c r="J116" s="122">
        <f t="shared" si="28"/>
        <v>0</v>
      </c>
      <c r="K116" s="122">
        <f>'Stavební rozpočet'!K282</f>
        <v>0</v>
      </c>
      <c r="L116" s="122">
        <f t="shared" si="29"/>
        <v>0</v>
      </c>
      <c r="M116" s="123" t="s">
        <v>622</v>
      </c>
      <c r="Z116" s="124">
        <f t="shared" si="30"/>
        <v>0</v>
      </c>
      <c r="AB116" s="124">
        <f t="shared" si="31"/>
        <v>0</v>
      </c>
      <c r="AC116" s="124">
        <f t="shared" si="32"/>
        <v>0</v>
      </c>
      <c r="AD116" s="124">
        <f t="shared" si="33"/>
        <v>0</v>
      </c>
      <c r="AE116" s="124">
        <f t="shared" si="34"/>
        <v>0</v>
      </c>
      <c r="AF116" s="124">
        <f t="shared" si="35"/>
        <v>0</v>
      </c>
      <c r="AG116" s="124">
        <f t="shared" si="36"/>
        <v>0</v>
      </c>
      <c r="AH116" s="124">
        <f t="shared" si="37"/>
        <v>0</v>
      </c>
      <c r="AI116" s="113" t="s">
        <v>60</v>
      </c>
      <c r="AJ116" s="122">
        <f t="shared" si="38"/>
        <v>0</v>
      </c>
      <c r="AK116" s="122">
        <f t="shared" si="39"/>
        <v>0</v>
      </c>
      <c r="AL116" s="122">
        <f t="shared" si="40"/>
        <v>0</v>
      </c>
      <c r="AN116" s="124">
        <v>15</v>
      </c>
      <c r="AO116" s="124">
        <f t="shared" si="41"/>
        <v>0</v>
      </c>
      <c r="AP116" s="124">
        <f t="shared" si="42"/>
        <v>0</v>
      </c>
      <c r="AQ116" s="123" t="s">
        <v>85</v>
      </c>
      <c r="AV116" s="124">
        <f t="shared" si="43"/>
        <v>0</v>
      </c>
      <c r="AW116" s="124">
        <f t="shared" si="44"/>
        <v>0</v>
      </c>
      <c r="AX116" s="124">
        <f t="shared" si="45"/>
        <v>0</v>
      </c>
      <c r="AY116" s="125" t="s">
        <v>642</v>
      </c>
      <c r="AZ116" s="125" t="s">
        <v>1537</v>
      </c>
      <c r="BA116" s="113" t="s">
        <v>1542</v>
      </c>
      <c r="BC116" s="124">
        <f t="shared" si="46"/>
        <v>0</v>
      </c>
      <c r="BD116" s="124">
        <f t="shared" si="47"/>
        <v>0</v>
      </c>
      <c r="BE116" s="124">
        <v>0</v>
      </c>
      <c r="BF116" s="124">
        <f t="shared" si="48"/>
        <v>0</v>
      </c>
      <c r="BH116" s="122">
        <f t="shared" si="49"/>
        <v>0</v>
      </c>
      <c r="BI116" s="122">
        <f t="shared" si="50"/>
        <v>0</v>
      </c>
      <c r="BJ116" s="122">
        <f t="shared" si="51"/>
        <v>0</v>
      </c>
    </row>
    <row r="117" spans="1:62" s="174" customFormat="1" ht="12.75">
      <c r="A117" s="121" t="s">
        <v>152</v>
      </c>
      <c r="B117" s="121" t="s">
        <v>60</v>
      </c>
      <c r="C117" s="121" t="s">
        <v>974</v>
      </c>
      <c r="D117" s="129" t="s">
        <v>1271</v>
      </c>
      <c r="E117" s="121" t="s">
        <v>606</v>
      </c>
      <c r="F117" s="122">
        <f>'Stavební rozpočet'!F283</f>
        <v>3</v>
      </c>
      <c r="G117" s="172"/>
      <c r="H117" s="122">
        <f t="shared" si="26"/>
        <v>0</v>
      </c>
      <c r="I117" s="122">
        <f t="shared" si="27"/>
        <v>0</v>
      </c>
      <c r="J117" s="122">
        <f t="shared" si="28"/>
        <v>0</v>
      </c>
      <c r="K117" s="122">
        <f>'Stavební rozpočet'!K283</f>
        <v>0</v>
      </c>
      <c r="L117" s="122">
        <f t="shared" si="29"/>
        <v>0</v>
      </c>
      <c r="M117" s="123" t="s">
        <v>622</v>
      </c>
      <c r="Z117" s="124">
        <f t="shared" si="30"/>
        <v>0</v>
      </c>
      <c r="AB117" s="124">
        <f t="shared" si="31"/>
        <v>0</v>
      </c>
      <c r="AC117" s="124">
        <f t="shared" si="32"/>
        <v>0</v>
      </c>
      <c r="AD117" s="124">
        <f t="shared" si="33"/>
        <v>0</v>
      </c>
      <c r="AE117" s="124">
        <f t="shared" si="34"/>
        <v>0</v>
      </c>
      <c r="AF117" s="124">
        <f t="shared" si="35"/>
        <v>0</v>
      </c>
      <c r="AG117" s="124">
        <f t="shared" si="36"/>
        <v>0</v>
      </c>
      <c r="AH117" s="124">
        <f t="shared" si="37"/>
        <v>0</v>
      </c>
      <c r="AI117" s="113" t="s">
        <v>60</v>
      </c>
      <c r="AJ117" s="122">
        <f t="shared" si="38"/>
        <v>0</v>
      </c>
      <c r="AK117" s="122">
        <f t="shared" si="39"/>
        <v>0</v>
      </c>
      <c r="AL117" s="122">
        <f t="shared" si="40"/>
        <v>0</v>
      </c>
      <c r="AN117" s="124">
        <v>15</v>
      </c>
      <c r="AO117" s="124">
        <f t="shared" si="41"/>
        <v>0</v>
      </c>
      <c r="AP117" s="124">
        <f t="shared" si="42"/>
        <v>0</v>
      </c>
      <c r="AQ117" s="123" t="s">
        <v>85</v>
      </c>
      <c r="AV117" s="124">
        <f t="shared" si="43"/>
        <v>0</v>
      </c>
      <c r="AW117" s="124">
        <f t="shared" si="44"/>
        <v>0</v>
      </c>
      <c r="AX117" s="124">
        <f t="shared" si="45"/>
        <v>0</v>
      </c>
      <c r="AY117" s="125" t="s">
        <v>642</v>
      </c>
      <c r="AZ117" s="125" t="s">
        <v>1537</v>
      </c>
      <c r="BA117" s="113" t="s">
        <v>1542</v>
      </c>
      <c r="BC117" s="124">
        <f t="shared" si="46"/>
        <v>0</v>
      </c>
      <c r="BD117" s="124">
        <f t="shared" si="47"/>
        <v>0</v>
      </c>
      <c r="BE117" s="124">
        <v>0</v>
      </c>
      <c r="BF117" s="124">
        <f t="shared" si="48"/>
        <v>0</v>
      </c>
      <c r="BH117" s="122">
        <f t="shared" si="49"/>
        <v>0</v>
      </c>
      <c r="BI117" s="122">
        <f t="shared" si="50"/>
        <v>0</v>
      </c>
      <c r="BJ117" s="122">
        <f t="shared" si="51"/>
        <v>0</v>
      </c>
    </row>
    <row r="118" spans="1:62" s="174" customFormat="1" ht="12.75">
      <c r="A118" s="121" t="s">
        <v>153</v>
      </c>
      <c r="B118" s="121" t="s">
        <v>60</v>
      </c>
      <c r="C118" s="121" t="s">
        <v>975</v>
      </c>
      <c r="D118" s="129" t="s">
        <v>1272</v>
      </c>
      <c r="E118" s="121" t="s">
        <v>606</v>
      </c>
      <c r="F118" s="122">
        <f>'Stavební rozpočet'!F284</f>
        <v>1</v>
      </c>
      <c r="G118" s="172"/>
      <c r="H118" s="122">
        <f t="shared" si="26"/>
        <v>0</v>
      </c>
      <c r="I118" s="122">
        <f t="shared" si="27"/>
        <v>0</v>
      </c>
      <c r="J118" s="122">
        <f t="shared" si="28"/>
        <v>0</v>
      </c>
      <c r="K118" s="122">
        <f>'Stavební rozpočet'!K284</f>
        <v>0</v>
      </c>
      <c r="L118" s="122">
        <f t="shared" si="29"/>
        <v>0</v>
      </c>
      <c r="M118" s="123" t="s">
        <v>622</v>
      </c>
      <c r="Z118" s="124">
        <f t="shared" si="30"/>
        <v>0</v>
      </c>
      <c r="AB118" s="124">
        <f t="shared" si="31"/>
        <v>0</v>
      </c>
      <c r="AC118" s="124">
        <f t="shared" si="32"/>
        <v>0</v>
      </c>
      <c r="AD118" s="124">
        <f t="shared" si="33"/>
        <v>0</v>
      </c>
      <c r="AE118" s="124">
        <f t="shared" si="34"/>
        <v>0</v>
      </c>
      <c r="AF118" s="124">
        <f t="shared" si="35"/>
        <v>0</v>
      </c>
      <c r="AG118" s="124">
        <f t="shared" si="36"/>
        <v>0</v>
      </c>
      <c r="AH118" s="124">
        <f t="shared" si="37"/>
        <v>0</v>
      </c>
      <c r="AI118" s="113" t="s">
        <v>60</v>
      </c>
      <c r="AJ118" s="122">
        <f t="shared" si="38"/>
        <v>0</v>
      </c>
      <c r="AK118" s="122">
        <f t="shared" si="39"/>
        <v>0</v>
      </c>
      <c r="AL118" s="122">
        <f t="shared" si="40"/>
        <v>0</v>
      </c>
      <c r="AN118" s="124">
        <v>15</v>
      </c>
      <c r="AO118" s="124">
        <f t="shared" si="41"/>
        <v>0</v>
      </c>
      <c r="AP118" s="124">
        <f t="shared" si="42"/>
        <v>0</v>
      </c>
      <c r="AQ118" s="123" t="s">
        <v>85</v>
      </c>
      <c r="AV118" s="124">
        <f t="shared" si="43"/>
        <v>0</v>
      </c>
      <c r="AW118" s="124">
        <f t="shared" si="44"/>
        <v>0</v>
      </c>
      <c r="AX118" s="124">
        <f t="shared" si="45"/>
        <v>0</v>
      </c>
      <c r="AY118" s="125" t="s">
        <v>642</v>
      </c>
      <c r="AZ118" s="125" t="s">
        <v>1537</v>
      </c>
      <c r="BA118" s="113" t="s">
        <v>1542</v>
      </c>
      <c r="BC118" s="124">
        <f t="shared" si="46"/>
        <v>0</v>
      </c>
      <c r="BD118" s="124">
        <f t="shared" si="47"/>
        <v>0</v>
      </c>
      <c r="BE118" s="124">
        <v>0</v>
      </c>
      <c r="BF118" s="124">
        <f t="shared" si="48"/>
        <v>0</v>
      </c>
      <c r="BH118" s="122">
        <f t="shared" si="49"/>
        <v>0</v>
      </c>
      <c r="BI118" s="122">
        <f t="shared" si="50"/>
        <v>0</v>
      </c>
      <c r="BJ118" s="122">
        <f t="shared" si="51"/>
        <v>0</v>
      </c>
    </row>
    <row r="119" spans="1:62" s="174" customFormat="1" ht="12.75">
      <c r="A119" s="121" t="s">
        <v>154</v>
      </c>
      <c r="B119" s="121" t="s">
        <v>60</v>
      </c>
      <c r="C119" s="121" t="s">
        <v>976</v>
      </c>
      <c r="D119" s="129" t="s">
        <v>1273</v>
      </c>
      <c r="E119" s="121" t="s">
        <v>606</v>
      </c>
      <c r="F119" s="122">
        <f>'Stavební rozpočet'!F285</f>
        <v>1</v>
      </c>
      <c r="G119" s="172"/>
      <c r="H119" s="122">
        <f t="shared" si="26"/>
        <v>0</v>
      </c>
      <c r="I119" s="122">
        <f t="shared" si="27"/>
        <v>0</v>
      </c>
      <c r="J119" s="122">
        <f t="shared" si="28"/>
        <v>0</v>
      </c>
      <c r="K119" s="122">
        <f>'Stavební rozpočet'!K285</f>
        <v>0</v>
      </c>
      <c r="L119" s="122">
        <f t="shared" si="29"/>
        <v>0</v>
      </c>
      <c r="M119" s="123" t="s">
        <v>622</v>
      </c>
      <c r="Z119" s="124">
        <f t="shared" si="30"/>
        <v>0</v>
      </c>
      <c r="AB119" s="124">
        <f t="shared" si="31"/>
        <v>0</v>
      </c>
      <c r="AC119" s="124">
        <f t="shared" si="32"/>
        <v>0</v>
      </c>
      <c r="AD119" s="124">
        <f t="shared" si="33"/>
        <v>0</v>
      </c>
      <c r="AE119" s="124">
        <f t="shared" si="34"/>
        <v>0</v>
      </c>
      <c r="AF119" s="124">
        <f t="shared" si="35"/>
        <v>0</v>
      </c>
      <c r="AG119" s="124">
        <f t="shared" si="36"/>
        <v>0</v>
      </c>
      <c r="AH119" s="124">
        <f t="shared" si="37"/>
        <v>0</v>
      </c>
      <c r="AI119" s="113" t="s">
        <v>60</v>
      </c>
      <c r="AJ119" s="122">
        <f t="shared" si="38"/>
        <v>0</v>
      </c>
      <c r="AK119" s="122">
        <f t="shared" si="39"/>
        <v>0</v>
      </c>
      <c r="AL119" s="122">
        <f t="shared" si="40"/>
        <v>0</v>
      </c>
      <c r="AN119" s="124">
        <v>15</v>
      </c>
      <c r="AO119" s="124">
        <f t="shared" si="41"/>
        <v>0</v>
      </c>
      <c r="AP119" s="124">
        <f t="shared" si="42"/>
        <v>0</v>
      </c>
      <c r="AQ119" s="123" t="s">
        <v>85</v>
      </c>
      <c r="AV119" s="124">
        <f t="shared" si="43"/>
        <v>0</v>
      </c>
      <c r="AW119" s="124">
        <f t="shared" si="44"/>
        <v>0</v>
      </c>
      <c r="AX119" s="124">
        <f t="shared" si="45"/>
        <v>0</v>
      </c>
      <c r="AY119" s="125" t="s">
        <v>642</v>
      </c>
      <c r="AZ119" s="125" t="s">
        <v>1537</v>
      </c>
      <c r="BA119" s="113" t="s">
        <v>1542</v>
      </c>
      <c r="BC119" s="124">
        <f t="shared" si="46"/>
        <v>0</v>
      </c>
      <c r="BD119" s="124">
        <f t="shared" si="47"/>
        <v>0</v>
      </c>
      <c r="BE119" s="124">
        <v>0</v>
      </c>
      <c r="BF119" s="124">
        <f t="shared" si="48"/>
        <v>0</v>
      </c>
      <c r="BH119" s="122">
        <f t="shared" si="49"/>
        <v>0</v>
      </c>
      <c r="BI119" s="122">
        <f t="shared" si="50"/>
        <v>0</v>
      </c>
      <c r="BJ119" s="122">
        <f t="shared" si="51"/>
        <v>0</v>
      </c>
    </row>
    <row r="120" spans="1:62" s="174" customFormat="1" ht="12.75">
      <c r="A120" s="121" t="s">
        <v>155</v>
      </c>
      <c r="B120" s="121" t="s">
        <v>60</v>
      </c>
      <c r="C120" s="121" t="s">
        <v>977</v>
      </c>
      <c r="D120" s="129" t="s">
        <v>1274</v>
      </c>
      <c r="E120" s="121" t="s">
        <v>606</v>
      </c>
      <c r="F120" s="122">
        <f>'Stavební rozpočet'!F286</f>
        <v>1</v>
      </c>
      <c r="G120" s="172"/>
      <c r="H120" s="122">
        <f t="shared" si="26"/>
        <v>0</v>
      </c>
      <c r="I120" s="122">
        <f t="shared" si="27"/>
        <v>0</v>
      </c>
      <c r="J120" s="122">
        <f t="shared" si="28"/>
        <v>0</v>
      </c>
      <c r="K120" s="122">
        <f>'Stavební rozpočet'!K286</f>
        <v>0</v>
      </c>
      <c r="L120" s="122">
        <f t="shared" si="29"/>
        <v>0</v>
      </c>
      <c r="M120" s="123" t="s">
        <v>622</v>
      </c>
      <c r="Z120" s="124">
        <f t="shared" si="30"/>
        <v>0</v>
      </c>
      <c r="AB120" s="124">
        <f t="shared" si="31"/>
        <v>0</v>
      </c>
      <c r="AC120" s="124">
        <f t="shared" si="32"/>
        <v>0</v>
      </c>
      <c r="AD120" s="124">
        <f t="shared" si="33"/>
        <v>0</v>
      </c>
      <c r="AE120" s="124">
        <f t="shared" si="34"/>
        <v>0</v>
      </c>
      <c r="AF120" s="124">
        <f t="shared" si="35"/>
        <v>0</v>
      </c>
      <c r="AG120" s="124">
        <f t="shared" si="36"/>
        <v>0</v>
      </c>
      <c r="AH120" s="124">
        <f t="shared" si="37"/>
        <v>0</v>
      </c>
      <c r="AI120" s="113" t="s">
        <v>60</v>
      </c>
      <c r="AJ120" s="122">
        <f t="shared" si="38"/>
        <v>0</v>
      </c>
      <c r="AK120" s="122">
        <f t="shared" si="39"/>
        <v>0</v>
      </c>
      <c r="AL120" s="122">
        <f t="shared" si="40"/>
        <v>0</v>
      </c>
      <c r="AN120" s="124">
        <v>15</v>
      </c>
      <c r="AO120" s="124">
        <f t="shared" si="41"/>
        <v>0</v>
      </c>
      <c r="AP120" s="124">
        <f t="shared" si="42"/>
        <v>0</v>
      </c>
      <c r="AQ120" s="123" t="s">
        <v>85</v>
      </c>
      <c r="AV120" s="124">
        <f t="shared" si="43"/>
        <v>0</v>
      </c>
      <c r="AW120" s="124">
        <f t="shared" si="44"/>
        <v>0</v>
      </c>
      <c r="AX120" s="124">
        <f t="shared" si="45"/>
        <v>0</v>
      </c>
      <c r="AY120" s="125" t="s">
        <v>642</v>
      </c>
      <c r="AZ120" s="125" t="s">
        <v>1537</v>
      </c>
      <c r="BA120" s="113" t="s">
        <v>1542</v>
      </c>
      <c r="BC120" s="124">
        <f t="shared" si="46"/>
        <v>0</v>
      </c>
      <c r="BD120" s="124">
        <f t="shared" si="47"/>
        <v>0</v>
      </c>
      <c r="BE120" s="124">
        <v>0</v>
      </c>
      <c r="BF120" s="124">
        <f t="shared" si="48"/>
        <v>0</v>
      </c>
      <c r="BH120" s="122">
        <f t="shared" si="49"/>
        <v>0</v>
      </c>
      <c r="BI120" s="122">
        <f t="shared" si="50"/>
        <v>0</v>
      </c>
      <c r="BJ120" s="122">
        <f t="shared" si="51"/>
        <v>0</v>
      </c>
    </row>
    <row r="121" spans="1:62" s="174" customFormat="1" ht="12.75" hidden="1">
      <c r="A121" s="121" t="s">
        <v>156</v>
      </c>
      <c r="B121" s="121" t="s">
        <v>60</v>
      </c>
      <c r="C121" s="121" t="s">
        <v>978</v>
      </c>
      <c r="D121" s="129" t="s">
        <v>1275</v>
      </c>
      <c r="E121" s="121" t="s">
        <v>606</v>
      </c>
      <c r="F121" s="122">
        <f>'Stavební rozpočet'!F287</f>
        <v>0</v>
      </c>
      <c r="G121" s="172"/>
      <c r="H121" s="122">
        <f t="shared" si="26"/>
        <v>0</v>
      </c>
      <c r="I121" s="122">
        <f t="shared" si="27"/>
        <v>0</v>
      </c>
      <c r="J121" s="122">
        <f t="shared" si="28"/>
        <v>0</v>
      </c>
      <c r="K121" s="122">
        <f>'Stavební rozpočet'!K287</f>
        <v>0</v>
      </c>
      <c r="L121" s="122">
        <f t="shared" si="29"/>
        <v>0</v>
      </c>
      <c r="M121" s="123" t="s">
        <v>622</v>
      </c>
      <c r="Z121" s="124">
        <f t="shared" si="30"/>
        <v>0</v>
      </c>
      <c r="AB121" s="124">
        <f t="shared" si="31"/>
        <v>0</v>
      </c>
      <c r="AC121" s="124">
        <f t="shared" si="32"/>
        <v>0</v>
      </c>
      <c r="AD121" s="124">
        <f t="shared" si="33"/>
        <v>0</v>
      </c>
      <c r="AE121" s="124">
        <f t="shared" si="34"/>
        <v>0</v>
      </c>
      <c r="AF121" s="124">
        <f t="shared" si="35"/>
        <v>0</v>
      </c>
      <c r="AG121" s="124">
        <f t="shared" si="36"/>
        <v>0</v>
      </c>
      <c r="AH121" s="124">
        <f t="shared" si="37"/>
        <v>0</v>
      </c>
      <c r="AI121" s="113" t="s">
        <v>60</v>
      </c>
      <c r="AJ121" s="122">
        <f t="shared" si="38"/>
        <v>0</v>
      </c>
      <c r="AK121" s="122">
        <f t="shared" si="39"/>
        <v>0</v>
      </c>
      <c r="AL121" s="122">
        <f t="shared" si="40"/>
        <v>0</v>
      </c>
      <c r="AN121" s="124">
        <v>15</v>
      </c>
      <c r="AO121" s="124">
        <f t="shared" si="41"/>
        <v>0</v>
      </c>
      <c r="AP121" s="124">
        <f t="shared" si="42"/>
        <v>0</v>
      </c>
      <c r="AQ121" s="123" t="s">
        <v>85</v>
      </c>
      <c r="AV121" s="124">
        <f t="shared" si="43"/>
        <v>0</v>
      </c>
      <c r="AW121" s="124">
        <f t="shared" si="44"/>
        <v>0</v>
      </c>
      <c r="AX121" s="124">
        <f t="shared" si="45"/>
        <v>0</v>
      </c>
      <c r="AY121" s="125" t="s">
        <v>642</v>
      </c>
      <c r="AZ121" s="125" t="s">
        <v>1537</v>
      </c>
      <c r="BA121" s="113" t="s">
        <v>1542</v>
      </c>
      <c r="BC121" s="124">
        <f t="shared" si="46"/>
        <v>0</v>
      </c>
      <c r="BD121" s="124">
        <f t="shared" si="47"/>
        <v>0</v>
      </c>
      <c r="BE121" s="124">
        <v>0</v>
      </c>
      <c r="BF121" s="124">
        <f t="shared" si="48"/>
        <v>0</v>
      </c>
      <c r="BH121" s="122">
        <f t="shared" si="49"/>
        <v>0</v>
      </c>
      <c r="BI121" s="122">
        <f t="shared" si="50"/>
        <v>0</v>
      </c>
      <c r="BJ121" s="122">
        <f t="shared" si="51"/>
        <v>0</v>
      </c>
    </row>
    <row r="122" spans="1:62" s="174" customFormat="1" ht="12.75" hidden="1">
      <c r="A122" s="121" t="s">
        <v>157</v>
      </c>
      <c r="B122" s="121" t="s">
        <v>60</v>
      </c>
      <c r="C122" s="121" t="s">
        <v>979</v>
      </c>
      <c r="D122" s="129" t="s">
        <v>1276</v>
      </c>
      <c r="E122" s="121" t="s">
        <v>606</v>
      </c>
      <c r="F122" s="122">
        <f>'Stavební rozpočet'!F288</f>
        <v>0</v>
      </c>
      <c r="G122" s="172"/>
      <c r="H122" s="122">
        <f t="shared" si="26"/>
        <v>0</v>
      </c>
      <c r="I122" s="122">
        <f t="shared" si="27"/>
        <v>0</v>
      </c>
      <c r="J122" s="122">
        <f t="shared" si="28"/>
        <v>0</v>
      </c>
      <c r="K122" s="122">
        <f>'Stavební rozpočet'!K288</f>
        <v>0</v>
      </c>
      <c r="L122" s="122">
        <f t="shared" si="29"/>
        <v>0</v>
      </c>
      <c r="M122" s="123" t="s">
        <v>622</v>
      </c>
      <c r="Z122" s="124">
        <f t="shared" si="30"/>
        <v>0</v>
      </c>
      <c r="AB122" s="124">
        <f t="shared" si="31"/>
        <v>0</v>
      </c>
      <c r="AC122" s="124">
        <f t="shared" si="32"/>
        <v>0</v>
      </c>
      <c r="AD122" s="124">
        <f t="shared" si="33"/>
        <v>0</v>
      </c>
      <c r="AE122" s="124">
        <f t="shared" si="34"/>
        <v>0</v>
      </c>
      <c r="AF122" s="124">
        <f t="shared" si="35"/>
        <v>0</v>
      </c>
      <c r="AG122" s="124">
        <f t="shared" si="36"/>
        <v>0</v>
      </c>
      <c r="AH122" s="124">
        <f t="shared" si="37"/>
        <v>0</v>
      </c>
      <c r="AI122" s="113" t="s">
        <v>60</v>
      </c>
      <c r="AJ122" s="122">
        <f t="shared" si="38"/>
        <v>0</v>
      </c>
      <c r="AK122" s="122">
        <f t="shared" si="39"/>
        <v>0</v>
      </c>
      <c r="AL122" s="122">
        <f t="shared" si="40"/>
        <v>0</v>
      </c>
      <c r="AN122" s="124">
        <v>15</v>
      </c>
      <c r="AO122" s="124">
        <f t="shared" si="41"/>
        <v>0</v>
      </c>
      <c r="AP122" s="124">
        <f t="shared" si="42"/>
        <v>0</v>
      </c>
      <c r="AQ122" s="123" t="s">
        <v>85</v>
      </c>
      <c r="AV122" s="124">
        <f t="shared" si="43"/>
        <v>0</v>
      </c>
      <c r="AW122" s="124">
        <f t="shared" si="44"/>
        <v>0</v>
      </c>
      <c r="AX122" s="124">
        <f t="shared" si="45"/>
        <v>0</v>
      </c>
      <c r="AY122" s="125" t="s">
        <v>642</v>
      </c>
      <c r="AZ122" s="125" t="s">
        <v>1537</v>
      </c>
      <c r="BA122" s="113" t="s">
        <v>1542</v>
      </c>
      <c r="BC122" s="124">
        <f t="shared" si="46"/>
        <v>0</v>
      </c>
      <c r="BD122" s="124">
        <f t="shared" si="47"/>
        <v>0</v>
      </c>
      <c r="BE122" s="124">
        <v>0</v>
      </c>
      <c r="BF122" s="124">
        <f t="shared" si="48"/>
        <v>0</v>
      </c>
      <c r="BH122" s="122">
        <f t="shared" si="49"/>
        <v>0</v>
      </c>
      <c r="BI122" s="122">
        <f t="shared" si="50"/>
        <v>0</v>
      </c>
      <c r="BJ122" s="122">
        <f t="shared" si="51"/>
        <v>0</v>
      </c>
    </row>
    <row r="123" spans="1:62" s="174" customFormat="1" ht="12.75" hidden="1">
      <c r="A123" s="121" t="s">
        <v>158</v>
      </c>
      <c r="B123" s="121" t="s">
        <v>60</v>
      </c>
      <c r="C123" s="121" t="s">
        <v>980</v>
      </c>
      <c r="D123" s="129" t="s">
        <v>1277</v>
      </c>
      <c r="E123" s="121" t="s">
        <v>606</v>
      </c>
      <c r="F123" s="122">
        <f>'Stavební rozpočet'!F289</f>
        <v>0</v>
      </c>
      <c r="G123" s="172"/>
      <c r="H123" s="122">
        <f t="shared" si="26"/>
        <v>0</v>
      </c>
      <c r="I123" s="122">
        <f t="shared" si="27"/>
        <v>0</v>
      </c>
      <c r="J123" s="122">
        <f t="shared" si="28"/>
        <v>0</v>
      </c>
      <c r="K123" s="122">
        <f>'Stavební rozpočet'!K289</f>
        <v>0</v>
      </c>
      <c r="L123" s="122">
        <f t="shared" si="29"/>
        <v>0</v>
      </c>
      <c r="M123" s="123" t="s">
        <v>622</v>
      </c>
      <c r="Z123" s="124">
        <f t="shared" si="30"/>
        <v>0</v>
      </c>
      <c r="AB123" s="124">
        <f t="shared" si="31"/>
        <v>0</v>
      </c>
      <c r="AC123" s="124">
        <f t="shared" si="32"/>
        <v>0</v>
      </c>
      <c r="AD123" s="124">
        <f t="shared" si="33"/>
        <v>0</v>
      </c>
      <c r="AE123" s="124">
        <f t="shared" si="34"/>
        <v>0</v>
      </c>
      <c r="AF123" s="124">
        <f t="shared" si="35"/>
        <v>0</v>
      </c>
      <c r="AG123" s="124">
        <f t="shared" si="36"/>
        <v>0</v>
      </c>
      <c r="AH123" s="124">
        <f t="shared" si="37"/>
        <v>0</v>
      </c>
      <c r="AI123" s="113" t="s">
        <v>60</v>
      </c>
      <c r="AJ123" s="122">
        <f t="shared" si="38"/>
        <v>0</v>
      </c>
      <c r="AK123" s="122">
        <f t="shared" si="39"/>
        <v>0</v>
      </c>
      <c r="AL123" s="122">
        <f t="shared" si="40"/>
        <v>0</v>
      </c>
      <c r="AN123" s="124">
        <v>15</v>
      </c>
      <c r="AO123" s="124">
        <f t="shared" si="41"/>
        <v>0</v>
      </c>
      <c r="AP123" s="124">
        <f t="shared" si="42"/>
        <v>0</v>
      </c>
      <c r="AQ123" s="123" t="s">
        <v>85</v>
      </c>
      <c r="AV123" s="124">
        <f t="shared" si="43"/>
        <v>0</v>
      </c>
      <c r="AW123" s="124">
        <f t="shared" si="44"/>
        <v>0</v>
      </c>
      <c r="AX123" s="124">
        <f t="shared" si="45"/>
        <v>0</v>
      </c>
      <c r="AY123" s="125" t="s">
        <v>642</v>
      </c>
      <c r="AZ123" s="125" t="s">
        <v>1537</v>
      </c>
      <c r="BA123" s="113" t="s">
        <v>1542</v>
      </c>
      <c r="BC123" s="124">
        <f t="shared" si="46"/>
        <v>0</v>
      </c>
      <c r="BD123" s="124">
        <f t="shared" si="47"/>
        <v>0</v>
      </c>
      <c r="BE123" s="124">
        <v>0</v>
      </c>
      <c r="BF123" s="124">
        <f t="shared" si="48"/>
        <v>0</v>
      </c>
      <c r="BH123" s="122">
        <f t="shared" si="49"/>
        <v>0</v>
      </c>
      <c r="BI123" s="122">
        <f t="shared" si="50"/>
        <v>0</v>
      </c>
      <c r="BJ123" s="122">
        <f t="shared" si="51"/>
        <v>0</v>
      </c>
    </row>
    <row r="124" spans="1:62" s="174" customFormat="1" ht="12.75">
      <c r="A124" s="121" t="s">
        <v>159</v>
      </c>
      <c r="B124" s="121" t="s">
        <v>60</v>
      </c>
      <c r="C124" s="121" t="s">
        <v>981</v>
      </c>
      <c r="D124" s="129" t="s">
        <v>1278</v>
      </c>
      <c r="E124" s="121" t="s">
        <v>606</v>
      </c>
      <c r="F124" s="122">
        <f>'Stavební rozpočet'!F290</f>
        <v>2</v>
      </c>
      <c r="G124" s="172"/>
      <c r="H124" s="122">
        <f t="shared" si="26"/>
        <v>0</v>
      </c>
      <c r="I124" s="122">
        <f t="shared" si="27"/>
        <v>0</v>
      </c>
      <c r="J124" s="122">
        <f t="shared" si="28"/>
        <v>0</v>
      </c>
      <c r="K124" s="122">
        <f>'Stavební rozpočet'!K290</f>
        <v>0</v>
      </c>
      <c r="L124" s="122">
        <f t="shared" si="29"/>
        <v>0</v>
      </c>
      <c r="M124" s="123" t="s">
        <v>622</v>
      </c>
      <c r="Z124" s="124">
        <f t="shared" si="30"/>
        <v>0</v>
      </c>
      <c r="AB124" s="124">
        <f t="shared" si="31"/>
        <v>0</v>
      </c>
      <c r="AC124" s="124">
        <f t="shared" si="32"/>
        <v>0</v>
      </c>
      <c r="AD124" s="124">
        <f t="shared" si="33"/>
        <v>0</v>
      </c>
      <c r="AE124" s="124">
        <f t="shared" si="34"/>
        <v>0</v>
      </c>
      <c r="AF124" s="124">
        <f t="shared" si="35"/>
        <v>0</v>
      </c>
      <c r="AG124" s="124">
        <f t="shared" si="36"/>
        <v>0</v>
      </c>
      <c r="AH124" s="124">
        <f t="shared" si="37"/>
        <v>0</v>
      </c>
      <c r="AI124" s="113" t="s">
        <v>60</v>
      </c>
      <c r="AJ124" s="122">
        <f t="shared" si="38"/>
        <v>0</v>
      </c>
      <c r="AK124" s="122">
        <f t="shared" si="39"/>
        <v>0</v>
      </c>
      <c r="AL124" s="122">
        <f t="shared" si="40"/>
        <v>0</v>
      </c>
      <c r="AN124" s="124">
        <v>15</v>
      </c>
      <c r="AO124" s="124">
        <f t="shared" si="41"/>
        <v>0</v>
      </c>
      <c r="AP124" s="124">
        <f t="shared" si="42"/>
        <v>0</v>
      </c>
      <c r="AQ124" s="123" t="s">
        <v>85</v>
      </c>
      <c r="AV124" s="124">
        <f t="shared" si="43"/>
        <v>0</v>
      </c>
      <c r="AW124" s="124">
        <f t="shared" si="44"/>
        <v>0</v>
      </c>
      <c r="AX124" s="124">
        <f t="shared" si="45"/>
        <v>0</v>
      </c>
      <c r="AY124" s="125" t="s">
        <v>642</v>
      </c>
      <c r="AZ124" s="125" t="s">
        <v>1537</v>
      </c>
      <c r="BA124" s="113" t="s">
        <v>1542</v>
      </c>
      <c r="BC124" s="124">
        <f t="shared" si="46"/>
        <v>0</v>
      </c>
      <c r="BD124" s="124">
        <f t="shared" si="47"/>
        <v>0</v>
      </c>
      <c r="BE124" s="124">
        <v>0</v>
      </c>
      <c r="BF124" s="124">
        <f t="shared" si="48"/>
        <v>0</v>
      </c>
      <c r="BH124" s="122">
        <f t="shared" si="49"/>
        <v>0</v>
      </c>
      <c r="BI124" s="122">
        <f t="shared" si="50"/>
        <v>0</v>
      </c>
      <c r="BJ124" s="122">
        <f t="shared" si="51"/>
        <v>0</v>
      </c>
    </row>
    <row r="125" spans="1:62" s="174" customFormat="1" ht="12.75">
      <c r="A125" s="121" t="s">
        <v>160</v>
      </c>
      <c r="B125" s="121" t="s">
        <v>60</v>
      </c>
      <c r="C125" s="121" t="s">
        <v>982</v>
      </c>
      <c r="D125" s="129" t="s">
        <v>1279</v>
      </c>
      <c r="E125" s="121" t="s">
        <v>606</v>
      </c>
      <c r="F125" s="122">
        <f>'Stavební rozpočet'!F291</f>
        <v>1</v>
      </c>
      <c r="G125" s="172"/>
      <c r="H125" s="122">
        <f t="shared" si="26"/>
        <v>0</v>
      </c>
      <c r="I125" s="122">
        <f t="shared" si="27"/>
        <v>0</v>
      </c>
      <c r="J125" s="122">
        <f t="shared" si="28"/>
        <v>0</v>
      </c>
      <c r="K125" s="122">
        <f>'Stavební rozpočet'!K291</f>
        <v>0</v>
      </c>
      <c r="L125" s="122">
        <f t="shared" si="29"/>
        <v>0</v>
      </c>
      <c r="M125" s="123" t="s">
        <v>622</v>
      </c>
      <c r="Z125" s="124">
        <f t="shared" si="30"/>
        <v>0</v>
      </c>
      <c r="AB125" s="124">
        <f t="shared" si="31"/>
        <v>0</v>
      </c>
      <c r="AC125" s="124">
        <f t="shared" si="32"/>
        <v>0</v>
      </c>
      <c r="AD125" s="124">
        <f t="shared" si="33"/>
        <v>0</v>
      </c>
      <c r="AE125" s="124">
        <f t="shared" si="34"/>
        <v>0</v>
      </c>
      <c r="AF125" s="124">
        <f t="shared" si="35"/>
        <v>0</v>
      </c>
      <c r="AG125" s="124">
        <f t="shared" si="36"/>
        <v>0</v>
      </c>
      <c r="AH125" s="124">
        <f t="shared" si="37"/>
        <v>0</v>
      </c>
      <c r="AI125" s="113" t="s">
        <v>60</v>
      </c>
      <c r="AJ125" s="122">
        <f t="shared" si="38"/>
        <v>0</v>
      </c>
      <c r="AK125" s="122">
        <f t="shared" si="39"/>
        <v>0</v>
      </c>
      <c r="AL125" s="122">
        <f t="shared" si="40"/>
        <v>0</v>
      </c>
      <c r="AN125" s="124">
        <v>15</v>
      </c>
      <c r="AO125" s="124">
        <f t="shared" si="41"/>
        <v>0</v>
      </c>
      <c r="AP125" s="124">
        <f t="shared" si="42"/>
        <v>0</v>
      </c>
      <c r="AQ125" s="123" t="s">
        <v>85</v>
      </c>
      <c r="AV125" s="124">
        <f t="shared" si="43"/>
        <v>0</v>
      </c>
      <c r="AW125" s="124">
        <f t="shared" si="44"/>
        <v>0</v>
      </c>
      <c r="AX125" s="124">
        <f t="shared" si="45"/>
        <v>0</v>
      </c>
      <c r="AY125" s="125" t="s">
        <v>642</v>
      </c>
      <c r="AZ125" s="125" t="s">
        <v>1537</v>
      </c>
      <c r="BA125" s="113" t="s">
        <v>1542</v>
      </c>
      <c r="BC125" s="124">
        <f t="shared" si="46"/>
        <v>0</v>
      </c>
      <c r="BD125" s="124">
        <f t="shared" si="47"/>
        <v>0</v>
      </c>
      <c r="BE125" s="124">
        <v>0</v>
      </c>
      <c r="BF125" s="124">
        <f t="shared" si="48"/>
        <v>0</v>
      </c>
      <c r="BH125" s="122">
        <f t="shared" si="49"/>
        <v>0</v>
      </c>
      <c r="BI125" s="122">
        <f t="shared" si="50"/>
        <v>0</v>
      </c>
      <c r="BJ125" s="122">
        <f t="shared" si="51"/>
        <v>0</v>
      </c>
    </row>
    <row r="126" spans="1:62" s="174" customFormat="1" ht="12.75">
      <c r="A126" s="121" t="s">
        <v>161</v>
      </c>
      <c r="B126" s="121" t="s">
        <v>60</v>
      </c>
      <c r="C126" s="121" t="s">
        <v>983</v>
      </c>
      <c r="D126" s="129" t="s">
        <v>1280</v>
      </c>
      <c r="E126" s="121" t="s">
        <v>606</v>
      </c>
      <c r="F126" s="122">
        <f>'Stavební rozpočet'!F292</f>
        <v>1</v>
      </c>
      <c r="G126" s="172"/>
      <c r="H126" s="122">
        <f aca="true" t="shared" si="52" ref="H126:H152">F126*AO126</f>
        <v>0</v>
      </c>
      <c r="I126" s="122">
        <f aca="true" t="shared" si="53" ref="I126:I152">F126*AP126</f>
        <v>0</v>
      </c>
      <c r="J126" s="122">
        <f aca="true" t="shared" si="54" ref="J126:J152">F126*G126</f>
        <v>0</v>
      </c>
      <c r="K126" s="122">
        <f>'Stavební rozpočet'!K292</f>
        <v>0</v>
      </c>
      <c r="L126" s="122">
        <f aca="true" t="shared" si="55" ref="L126:L152">F126*K126</f>
        <v>0</v>
      </c>
      <c r="M126" s="123" t="s">
        <v>622</v>
      </c>
      <c r="Z126" s="124">
        <f aca="true" t="shared" si="56" ref="Z126:Z152">IF(AQ126="5",BJ126,0)</f>
        <v>0</v>
      </c>
      <c r="AB126" s="124">
        <f aca="true" t="shared" si="57" ref="AB126:AB152">IF(AQ126="1",BH126,0)</f>
        <v>0</v>
      </c>
      <c r="AC126" s="124">
        <f aca="true" t="shared" si="58" ref="AC126:AC152">IF(AQ126="1",BI126,0)</f>
        <v>0</v>
      </c>
      <c r="AD126" s="124">
        <f aca="true" t="shared" si="59" ref="AD126:AD152">IF(AQ126="7",BH126,0)</f>
        <v>0</v>
      </c>
      <c r="AE126" s="124">
        <f aca="true" t="shared" si="60" ref="AE126:AE152">IF(AQ126="7",BI126,0)</f>
        <v>0</v>
      </c>
      <c r="AF126" s="124">
        <f aca="true" t="shared" si="61" ref="AF126:AF152">IF(AQ126="2",BH126,0)</f>
        <v>0</v>
      </c>
      <c r="AG126" s="124">
        <f aca="true" t="shared" si="62" ref="AG126:AG152">IF(AQ126="2",BI126,0)</f>
        <v>0</v>
      </c>
      <c r="AH126" s="124">
        <f aca="true" t="shared" si="63" ref="AH126:AH152">IF(AQ126="0",BJ126,0)</f>
        <v>0</v>
      </c>
      <c r="AI126" s="113" t="s">
        <v>60</v>
      </c>
      <c r="AJ126" s="122">
        <f aca="true" t="shared" si="64" ref="AJ126:AJ152">IF(AN126=0,J126,0)</f>
        <v>0</v>
      </c>
      <c r="AK126" s="122">
        <f aca="true" t="shared" si="65" ref="AK126:AK152">IF(AN126=15,J126,0)</f>
        <v>0</v>
      </c>
      <c r="AL126" s="122">
        <f aca="true" t="shared" si="66" ref="AL126:AL152">IF(AN126=21,J126,0)</f>
        <v>0</v>
      </c>
      <c r="AN126" s="124">
        <v>15</v>
      </c>
      <c r="AO126" s="124">
        <f aca="true" t="shared" si="67" ref="AO126:AO152">G126*0</f>
        <v>0</v>
      </c>
      <c r="AP126" s="124">
        <f aca="true" t="shared" si="68" ref="AP126:AP152">G126*(1-0)</f>
        <v>0</v>
      </c>
      <c r="AQ126" s="123" t="s">
        <v>85</v>
      </c>
      <c r="AV126" s="124">
        <f aca="true" t="shared" si="69" ref="AV126:AV152">AW126+AX126</f>
        <v>0</v>
      </c>
      <c r="AW126" s="124">
        <f aca="true" t="shared" si="70" ref="AW126:AW152">F126*AO126</f>
        <v>0</v>
      </c>
      <c r="AX126" s="124">
        <f aca="true" t="shared" si="71" ref="AX126:AX152">F126*AP126</f>
        <v>0</v>
      </c>
      <c r="AY126" s="125" t="s">
        <v>642</v>
      </c>
      <c r="AZ126" s="125" t="s">
        <v>1537</v>
      </c>
      <c r="BA126" s="113" t="s">
        <v>1542</v>
      </c>
      <c r="BC126" s="124">
        <f aca="true" t="shared" si="72" ref="BC126:BC152">AW126+AX126</f>
        <v>0</v>
      </c>
      <c r="BD126" s="124">
        <f aca="true" t="shared" si="73" ref="BD126:BD152">G126/(100-BE126)*100</f>
        <v>0</v>
      </c>
      <c r="BE126" s="124">
        <v>0</v>
      </c>
      <c r="BF126" s="124">
        <f aca="true" t="shared" si="74" ref="BF126:BF152">L126</f>
        <v>0</v>
      </c>
      <c r="BH126" s="122">
        <f aca="true" t="shared" si="75" ref="BH126:BH152">F126*AO126</f>
        <v>0</v>
      </c>
      <c r="BI126" s="122">
        <f aca="true" t="shared" si="76" ref="BI126:BI152">F126*AP126</f>
        <v>0</v>
      </c>
      <c r="BJ126" s="122">
        <f aca="true" t="shared" si="77" ref="BJ126:BJ152">F126*G126</f>
        <v>0</v>
      </c>
    </row>
    <row r="127" spans="1:62" s="174" customFormat="1" ht="12.75">
      <c r="A127" s="121" t="s">
        <v>162</v>
      </c>
      <c r="B127" s="121" t="s">
        <v>60</v>
      </c>
      <c r="C127" s="121" t="s">
        <v>984</v>
      </c>
      <c r="D127" s="129" t="s">
        <v>1281</v>
      </c>
      <c r="E127" s="121" t="s">
        <v>606</v>
      </c>
      <c r="F127" s="122">
        <f>'Stavební rozpočet'!F293</f>
        <v>1</v>
      </c>
      <c r="G127" s="172"/>
      <c r="H127" s="122">
        <f t="shared" si="52"/>
        <v>0</v>
      </c>
      <c r="I127" s="122">
        <f t="shared" si="53"/>
        <v>0</v>
      </c>
      <c r="J127" s="122">
        <f t="shared" si="54"/>
        <v>0</v>
      </c>
      <c r="K127" s="122">
        <f>'Stavební rozpočet'!K293</f>
        <v>0</v>
      </c>
      <c r="L127" s="122">
        <f t="shared" si="55"/>
        <v>0</v>
      </c>
      <c r="M127" s="123" t="s">
        <v>622</v>
      </c>
      <c r="Z127" s="124">
        <f t="shared" si="56"/>
        <v>0</v>
      </c>
      <c r="AB127" s="124">
        <f t="shared" si="57"/>
        <v>0</v>
      </c>
      <c r="AC127" s="124">
        <f t="shared" si="58"/>
        <v>0</v>
      </c>
      <c r="AD127" s="124">
        <f t="shared" si="59"/>
        <v>0</v>
      </c>
      <c r="AE127" s="124">
        <f t="shared" si="60"/>
        <v>0</v>
      </c>
      <c r="AF127" s="124">
        <f t="shared" si="61"/>
        <v>0</v>
      </c>
      <c r="AG127" s="124">
        <f t="shared" si="62"/>
        <v>0</v>
      </c>
      <c r="AH127" s="124">
        <f t="shared" si="63"/>
        <v>0</v>
      </c>
      <c r="AI127" s="113" t="s">
        <v>60</v>
      </c>
      <c r="AJ127" s="122">
        <f t="shared" si="64"/>
        <v>0</v>
      </c>
      <c r="AK127" s="122">
        <f t="shared" si="65"/>
        <v>0</v>
      </c>
      <c r="AL127" s="122">
        <f t="shared" si="66"/>
        <v>0</v>
      </c>
      <c r="AN127" s="124">
        <v>15</v>
      </c>
      <c r="AO127" s="124">
        <f t="shared" si="67"/>
        <v>0</v>
      </c>
      <c r="AP127" s="124">
        <f t="shared" si="68"/>
        <v>0</v>
      </c>
      <c r="AQ127" s="123" t="s">
        <v>85</v>
      </c>
      <c r="AV127" s="124">
        <f t="shared" si="69"/>
        <v>0</v>
      </c>
      <c r="AW127" s="124">
        <f t="shared" si="70"/>
        <v>0</v>
      </c>
      <c r="AX127" s="124">
        <f t="shared" si="71"/>
        <v>0</v>
      </c>
      <c r="AY127" s="125" t="s">
        <v>642</v>
      </c>
      <c r="AZ127" s="125" t="s">
        <v>1537</v>
      </c>
      <c r="BA127" s="113" t="s">
        <v>1542</v>
      </c>
      <c r="BC127" s="124">
        <f t="shared" si="72"/>
        <v>0</v>
      </c>
      <c r="BD127" s="124">
        <f t="shared" si="73"/>
        <v>0</v>
      </c>
      <c r="BE127" s="124">
        <v>0</v>
      </c>
      <c r="BF127" s="124">
        <f t="shared" si="74"/>
        <v>0</v>
      </c>
      <c r="BH127" s="122">
        <f t="shared" si="75"/>
        <v>0</v>
      </c>
      <c r="BI127" s="122">
        <f t="shared" si="76"/>
        <v>0</v>
      </c>
      <c r="BJ127" s="122">
        <f t="shared" si="77"/>
        <v>0</v>
      </c>
    </row>
    <row r="128" spans="1:62" s="174" customFormat="1" ht="12.75">
      <c r="A128" s="121" t="s">
        <v>163</v>
      </c>
      <c r="B128" s="121" t="s">
        <v>60</v>
      </c>
      <c r="C128" s="121" t="s">
        <v>985</v>
      </c>
      <c r="D128" s="129" t="s">
        <v>1282</v>
      </c>
      <c r="E128" s="121" t="s">
        <v>606</v>
      </c>
      <c r="F128" s="122">
        <f>'Stavební rozpočet'!F294</f>
        <v>1</v>
      </c>
      <c r="G128" s="172"/>
      <c r="H128" s="122">
        <f t="shared" si="52"/>
        <v>0</v>
      </c>
      <c r="I128" s="122">
        <f t="shared" si="53"/>
        <v>0</v>
      </c>
      <c r="J128" s="122">
        <f t="shared" si="54"/>
        <v>0</v>
      </c>
      <c r="K128" s="122">
        <f>'Stavební rozpočet'!K294</f>
        <v>0</v>
      </c>
      <c r="L128" s="122">
        <f t="shared" si="55"/>
        <v>0</v>
      </c>
      <c r="M128" s="123" t="s">
        <v>622</v>
      </c>
      <c r="Z128" s="124">
        <f t="shared" si="56"/>
        <v>0</v>
      </c>
      <c r="AB128" s="124">
        <f t="shared" si="57"/>
        <v>0</v>
      </c>
      <c r="AC128" s="124">
        <f t="shared" si="58"/>
        <v>0</v>
      </c>
      <c r="AD128" s="124">
        <f t="shared" si="59"/>
        <v>0</v>
      </c>
      <c r="AE128" s="124">
        <f t="shared" si="60"/>
        <v>0</v>
      </c>
      <c r="AF128" s="124">
        <f t="shared" si="61"/>
        <v>0</v>
      </c>
      <c r="AG128" s="124">
        <f t="shared" si="62"/>
        <v>0</v>
      </c>
      <c r="AH128" s="124">
        <f t="shared" si="63"/>
        <v>0</v>
      </c>
      <c r="AI128" s="113" t="s">
        <v>60</v>
      </c>
      <c r="AJ128" s="122">
        <f t="shared" si="64"/>
        <v>0</v>
      </c>
      <c r="AK128" s="122">
        <f t="shared" si="65"/>
        <v>0</v>
      </c>
      <c r="AL128" s="122">
        <f t="shared" si="66"/>
        <v>0</v>
      </c>
      <c r="AN128" s="124">
        <v>15</v>
      </c>
      <c r="AO128" s="124">
        <f t="shared" si="67"/>
        <v>0</v>
      </c>
      <c r="AP128" s="124">
        <f t="shared" si="68"/>
        <v>0</v>
      </c>
      <c r="AQ128" s="123" t="s">
        <v>85</v>
      </c>
      <c r="AV128" s="124">
        <f t="shared" si="69"/>
        <v>0</v>
      </c>
      <c r="AW128" s="124">
        <f t="shared" si="70"/>
        <v>0</v>
      </c>
      <c r="AX128" s="124">
        <f t="shared" si="71"/>
        <v>0</v>
      </c>
      <c r="AY128" s="125" t="s">
        <v>642</v>
      </c>
      <c r="AZ128" s="125" t="s">
        <v>1537</v>
      </c>
      <c r="BA128" s="113" t="s">
        <v>1542</v>
      </c>
      <c r="BC128" s="124">
        <f t="shared" si="72"/>
        <v>0</v>
      </c>
      <c r="BD128" s="124">
        <f t="shared" si="73"/>
        <v>0</v>
      </c>
      <c r="BE128" s="124">
        <v>0</v>
      </c>
      <c r="BF128" s="124">
        <f t="shared" si="74"/>
        <v>0</v>
      </c>
      <c r="BH128" s="122">
        <f t="shared" si="75"/>
        <v>0</v>
      </c>
      <c r="BI128" s="122">
        <f t="shared" si="76"/>
        <v>0</v>
      </c>
      <c r="BJ128" s="122">
        <f t="shared" si="77"/>
        <v>0</v>
      </c>
    </row>
    <row r="129" spans="1:62" s="174" customFormat="1" ht="12.75">
      <c r="A129" s="121" t="s">
        <v>164</v>
      </c>
      <c r="B129" s="121" t="s">
        <v>60</v>
      </c>
      <c r="C129" s="121" t="s">
        <v>986</v>
      </c>
      <c r="D129" s="129" t="s">
        <v>1283</v>
      </c>
      <c r="E129" s="121" t="s">
        <v>606</v>
      </c>
      <c r="F129" s="122">
        <f>'Stavební rozpočet'!F295</f>
        <v>1</v>
      </c>
      <c r="G129" s="172"/>
      <c r="H129" s="122">
        <f t="shared" si="52"/>
        <v>0</v>
      </c>
      <c r="I129" s="122">
        <f t="shared" si="53"/>
        <v>0</v>
      </c>
      <c r="J129" s="122">
        <f t="shared" si="54"/>
        <v>0</v>
      </c>
      <c r="K129" s="122">
        <f>'Stavební rozpočet'!K295</f>
        <v>0</v>
      </c>
      <c r="L129" s="122">
        <f t="shared" si="55"/>
        <v>0</v>
      </c>
      <c r="M129" s="123" t="s">
        <v>622</v>
      </c>
      <c r="Z129" s="124">
        <f t="shared" si="56"/>
        <v>0</v>
      </c>
      <c r="AB129" s="124">
        <f t="shared" si="57"/>
        <v>0</v>
      </c>
      <c r="AC129" s="124">
        <f t="shared" si="58"/>
        <v>0</v>
      </c>
      <c r="AD129" s="124">
        <f t="shared" si="59"/>
        <v>0</v>
      </c>
      <c r="AE129" s="124">
        <f t="shared" si="60"/>
        <v>0</v>
      </c>
      <c r="AF129" s="124">
        <f t="shared" si="61"/>
        <v>0</v>
      </c>
      <c r="AG129" s="124">
        <f t="shared" si="62"/>
        <v>0</v>
      </c>
      <c r="AH129" s="124">
        <f t="shared" si="63"/>
        <v>0</v>
      </c>
      <c r="AI129" s="113" t="s">
        <v>60</v>
      </c>
      <c r="AJ129" s="122">
        <f t="shared" si="64"/>
        <v>0</v>
      </c>
      <c r="AK129" s="122">
        <f t="shared" si="65"/>
        <v>0</v>
      </c>
      <c r="AL129" s="122">
        <f t="shared" si="66"/>
        <v>0</v>
      </c>
      <c r="AN129" s="124">
        <v>15</v>
      </c>
      <c r="AO129" s="124">
        <f t="shared" si="67"/>
        <v>0</v>
      </c>
      <c r="AP129" s="124">
        <f t="shared" si="68"/>
        <v>0</v>
      </c>
      <c r="AQ129" s="123" t="s">
        <v>85</v>
      </c>
      <c r="AV129" s="124">
        <f t="shared" si="69"/>
        <v>0</v>
      </c>
      <c r="AW129" s="124">
        <f t="shared" si="70"/>
        <v>0</v>
      </c>
      <c r="AX129" s="124">
        <f t="shared" si="71"/>
        <v>0</v>
      </c>
      <c r="AY129" s="125" t="s">
        <v>642</v>
      </c>
      <c r="AZ129" s="125" t="s">
        <v>1537</v>
      </c>
      <c r="BA129" s="113" t="s">
        <v>1542</v>
      </c>
      <c r="BC129" s="124">
        <f t="shared" si="72"/>
        <v>0</v>
      </c>
      <c r="BD129" s="124">
        <f t="shared" si="73"/>
        <v>0</v>
      </c>
      <c r="BE129" s="124">
        <v>0</v>
      </c>
      <c r="BF129" s="124">
        <f t="shared" si="74"/>
        <v>0</v>
      </c>
      <c r="BH129" s="122">
        <f t="shared" si="75"/>
        <v>0</v>
      </c>
      <c r="BI129" s="122">
        <f t="shared" si="76"/>
        <v>0</v>
      </c>
      <c r="BJ129" s="122">
        <f t="shared" si="77"/>
        <v>0</v>
      </c>
    </row>
    <row r="130" spans="1:62" s="174" customFormat="1" ht="12.75" hidden="1">
      <c r="A130" s="121" t="s">
        <v>165</v>
      </c>
      <c r="B130" s="121" t="s">
        <v>60</v>
      </c>
      <c r="C130" s="121" t="s">
        <v>987</v>
      </c>
      <c r="D130" s="129" t="s">
        <v>1284</v>
      </c>
      <c r="E130" s="121" t="s">
        <v>606</v>
      </c>
      <c r="F130" s="122">
        <f>'Stavební rozpočet'!F296</f>
        <v>0</v>
      </c>
      <c r="G130" s="172"/>
      <c r="H130" s="122">
        <f t="shared" si="52"/>
        <v>0</v>
      </c>
      <c r="I130" s="122">
        <f t="shared" si="53"/>
        <v>0</v>
      </c>
      <c r="J130" s="122">
        <f t="shared" si="54"/>
        <v>0</v>
      </c>
      <c r="K130" s="122">
        <f>'Stavební rozpočet'!K296</f>
        <v>0</v>
      </c>
      <c r="L130" s="122">
        <f t="shared" si="55"/>
        <v>0</v>
      </c>
      <c r="M130" s="123" t="s">
        <v>622</v>
      </c>
      <c r="Z130" s="124">
        <f t="shared" si="56"/>
        <v>0</v>
      </c>
      <c r="AB130" s="124">
        <f t="shared" si="57"/>
        <v>0</v>
      </c>
      <c r="AC130" s="124">
        <f t="shared" si="58"/>
        <v>0</v>
      </c>
      <c r="AD130" s="124">
        <f t="shared" si="59"/>
        <v>0</v>
      </c>
      <c r="AE130" s="124">
        <f t="shared" si="60"/>
        <v>0</v>
      </c>
      <c r="AF130" s="124">
        <f t="shared" si="61"/>
        <v>0</v>
      </c>
      <c r="AG130" s="124">
        <f t="shared" si="62"/>
        <v>0</v>
      </c>
      <c r="AH130" s="124">
        <f t="shared" si="63"/>
        <v>0</v>
      </c>
      <c r="AI130" s="113" t="s">
        <v>60</v>
      </c>
      <c r="AJ130" s="122">
        <f t="shared" si="64"/>
        <v>0</v>
      </c>
      <c r="AK130" s="122">
        <f t="shared" si="65"/>
        <v>0</v>
      </c>
      <c r="AL130" s="122">
        <f t="shared" si="66"/>
        <v>0</v>
      </c>
      <c r="AN130" s="124">
        <v>15</v>
      </c>
      <c r="AO130" s="124">
        <f t="shared" si="67"/>
        <v>0</v>
      </c>
      <c r="AP130" s="124">
        <f t="shared" si="68"/>
        <v>0</v>
      </c>
      <c r="AQ130" s="123" t="s">
        <v>85</v>
      </c>
      <c r="AV130" s="124">
        <f t="shared" si="69"/>
        <v>0</v>
      </c>
      <c r="AW130" s="124">
        <f t="shared" si="70"/>
        <v>0</v>
      </c>
      <c r="AX130" s="124">
        <f t="shared" si="71"/>
        <v>0</v>
      </c>
      <c r="AY130" s="125" t="s">
        <v>642</v>
      </c>
      <c r="AZ130" s="125" t="s">
        <v>1537</v>
      </c>
      <c r="BA130" s="113" t="s">
        <v>1542</v>
      </c>
      <c r="BC130" s="124">
        <f t="shared" si="72"/>
        <v>0</v>
      </c>
      <c r="BD130" s="124">
        <f t="shared" si="73"/>
        <v>0</v>
      </c>
      <c r="BE130" s="124">
        <v>0</v>
      </c>
      <c r="BF130" s="124">
        <f t="shared" si="74"/>
        <v>0</v>
      </c>
      <c r="BH130" s="122">
        <f t="shared" si="75"/>
        <v>0</v>
      </c>
      <c r="BI130" s="122">
        <f t="shared" si="76"/>
        <v>0</v>
      </c>
      <c r="BJ130" s="122">
        <f t="shared" si="77"/>
        <v>0</v>
      </c>
    </row>
    <row r="131" spans="1:62" s="174" customFormat="1" ht="12.75">
      <c r="A131" s="121" t="s">
        <v>166</v>
      </c>
      <c r="B131" s="121" t="s">
        <v>60</v>
      </c>
      <c r="C131" s="121" t="s">
        <v>988</v>
      </c>
      <c r="D131" s="129" t="s">
        <v>1285</v>
      </c>
      <c r="E131" s="121" t="s">
        <v>1526</v>
      </c>
      <c r="F131" s="122">
        <f>'Stavební rozpočet'!F297</f>
        <v>1</v>
      </c>
      <c r="G131" s="172"/>
      <c r="H131" s="122">
        <f t="shared" si="52"/>
        <v>0</v>
      </c>
      <c r="I131" s="122">
        <f t="shared" si="53"/>
        <v>0</v>
      </c>
      <c r="J131" s="122">
        <f t="shared" si="54"/>
        <v>0</v>
      </c>
      <c r="K131" s="122">
        <f>'Stavební rozpočet'!K297</f>
        <v>0</v>
      </c>
      <c r="L131" s="122">
        <f t="shared" si="55"/>
        <v>0</v>
      </c>
      <c r="M131" s="123" t="s">
        <v>622</v>
      </c>
      <c r="Z131" s="124">
        <f t="shared" si="56"/>
        <v>0</v>
      </c>
      <c r="AB131" s="124">
        <f t="shared" si="57"/>
        <v>0</v>
      </c>
      <c r="AC131" s="124">
        <f t="shared" si="58"/>
        <v>0</v>
      </c>
      <c r="AD131" s="124">
        <f t="shared" si="59"/>
        <v>0</v>
      </c>
      <c r="AE131" s="124">
        <f t="shared" si="60"/>
        <v>0</v>
      </c>
      <c r="AF131" s="124">
        <f t="shared" si="61"/>
        <v>0</v>
      </c>
      <c r="AG131" s="124">
        <f t="shared" si="62"/>
        <v>0</v>
      </c>
      <c r="AH131" s="124">
        <f t="shared" si="63"/>
        <v>0</v>
      </c>
      <c r="AI131" s="113" t="s">
        <v>60</v>
      </c>
      <c r="AJ131" s="122">
        <f t="shared" si="64"/>
        <v>0</v>
      </c>
      <c r="AK131" s="122">
        <f t="shared" si="65"/>
        <v>0</v>
      </c>
      <c r="AL131" s="122">
        <f t="shared" si="66"/>
        <v>0</v>
      </c>
      <c r="AN131" s="124">
        <v>15</v>
      </c>
      <c r="AO131" s="124">
        <f t="shared" si="67"/>
        <v>0</v>
      </c>
      <c r="AP131" s="124">
        <f t="shared" si="68"/>
        <v>0</v>
      </c>
      <c r="AQ131" s="123" t="s">
        <v>85</v>
      </c>
      <c r="AV131" s="124">
        <f t="shared" si="69"/>
        <v>0</v>
      </c>
      <c r="AW131" s="124">
        <f t="shared" si="70"/>
        <v>0</v>
      </c>
      <c r="AX131" s="124">
        <f t="shared" si="71"/>
        <v>0</v>
      </c>
      <c r="AY131" s="125" t="s">
        <v>642</v>
      </c>
      <c r="AZ131" s="125" t="s">
        <v>1537</v>
      </c>
      <c r="BA131" s="113" t="s">
        <v>1542</v>
      </c>
      <c r="BC131" s="124">
        <f t="shared" si="72"/>
        <v>0</v>
      </c>
      <c r="BD131" s="124">
        <f t="shared" si="73"/>
        <v>0</v>
      </c>
      <c r="BE131" s="124">
        <v>0</v>
      </c>
      <c r="BF131" s="124">
        <f t="shared" si="74"/>
        <v>0</v>
      </c>
      <c r="BH131" s="122">
        <f t="shared" si="75"/>
        <v>0</v>
      </c>
      <c r="BI131" s="122">
        <f t="shared" si="76"/>
        <v>0</v>
      </c>
      <c r="BJ131" s="122">
        <f t="shared" si="77"/>
        <v>0</v>
      </c>
    </row>
    <row r="132" spans="1:62" s="174" customFormat="1" ht="12.75">
      <c r="A132" s="121" t="s">
        <v>167</v>
      </c>
      <c r="B132" s="121" t="s">
        <v>60</v>
      </c>
      <c r="C132" s="121" t="s">
        <v>989</v>
      </c>
      <c r="D132" s="129" t="s">
        <v>1286</v>
      </c>
      <c r="E132" s="121" t="s">
        <v>609</v>
      </c>
      <c r="F132" s="122">
        <f>'Stavební rozpočet'!F298</f>
        <v>2.6</v>
      </c>
      <c r="G132" s="172"/>
      <c r="H132" s="122">
        <f t="shared" si="52"/>
        <v>0</v>
      </c>
      <c r="I132" s="122">
        <f t="shared" si="53"/>
        <v>0</v>
      </c>
      <c r="J132" s="122">
        <f t="shared" si="54"/>
        <v>0</v>
      </c>
      <c r="K132" s="122">
        <f>'Stavební rozpočet'!K298</f>
        <v>0</v>
      </c>
      <c r="L132" s="122">
        <f t="shared" si="55"/>
        <v>0</v>
      </c>
      <c r="M132" s="123" t="s">
        <v>622</v>
      </c>
      <c r="Z132" s="124">
        <f t="shared" si="56"/>
        <v>0</v>
      </c>
      <c r="AB132" s="124">
        <f t="shared" si="57"/>
        <v>0</v>
      </c>
      <c r="AC132" s="124">
        <f t="shared" si="58"/>
        <v>0</v>
      </c>
      <c r="AD132" s="124">
        <f t="shared" si="59"/>
        <v>0</v>
      </c>
      <c r="AE132" s="124">
        <f t="shared" si="60"/>
        <v>0</v>
      </c>
      <c r="AF132" s="124">
        <f t="shared" si="61"/>
        <v>0</v>
      </c>
      <c r="AG132" s="124">
        <f t="shared" si="62"/>
        <v>0</v>
      </c>
      <c r="AH132" s="124">
        <f t="shared" si="63"/>
        <v>0</v>
      </c>
      <c r="AI132" s="113" t="s">
        <v>60</v>
      </c>
      <c r="AJ132" s="122">
        <f t="shared" si="64"/>
        <v>0</v>
      </c>
      <c r="AK132" s="122">
        <f t="shared" si="65"/>
        <v>0</v>
      </c>
      <c r="AL132" s="122">
        <f t="shared" si="66"/>
        <v>0</v>
      </c>
      <c r="AN132" s="124">
        <v>15</v>
      </c>
      <c r="AO132" s="124">
        <f t="shared" si="67"/>
        <v>0</v>
      </c>
      <c r="AP132" s="124">
        <f t="shared" si="68"/>
        <v>0</v>
      </c>
      <c r="AQ132" s="123" t="s">
        <v>85</v>
      </c>
      <c r="AV132" s="124">
        <f t="shared" si="69"/>
        <v>0</v>
      </c>
      <c r="AW132" s="124">
        <f t="shared" si="70"/>
        <v>0</v>
      </c>
      <c r="AX132" s="124">
        <f t="shared" si="71"/>
        <v>0</v>
      </c>
      <c r="AY132" s="125" t="s">
        <v>642</v>
      </c>
      <c r="AZ132" s="125" t="s">
        <v>1537</v>
      </c>
      <c r="BA132" s="113" t="s">
        <v>1542</v>
      </c>
      <c r="BC132" s="124">
        <f t="shared" si="72"/>
        <v>0</v>
      </c>
      <c r="BD132" s="124">
        <f t="shared" si="73"/>
        <v>0</v>
      </c>
      <c r="BE132" s="124">
        <v>0</v>
      </c>
      <c r="BF132" s="124">
        <f t="shared" si="74"/>
        <v>0</v>
      </c>
      <c r="BH132" s="122">
        <f t="shared" si="75"/>
        <v>0</v>
      </c>
      <c r="BI132" s="122">
        <f t="shared" si="76"/>
        <v>0</v>
      </c>
      <c r="BJ132" s="122">
        <f t="shared" si="77"/>
        <v>0</v>
      </c>
    </row>
    <row r="133" spans="1:62" s="174" customFormat="1" ht="12.75">
      <c r="A133" s="121" t="s">
        <v>168</v>
      </c>
      <c r="B133" s="121" t="s">
        <v>60</v>
      </c>
      <c r="C133" s="121" t="s">
        <v>990</v>
      </c>
      <c r="D133" s="129" t="s">
        <v>1287</v>
      </c>
      <c r="E133" s="121" t="s">
        <v>609</v>
      </c>
      <c r="F133" s="122">
        <f>'Stavební rozpočet'!F299</f>
        <v>2.6</v>
      </c>
      <c r="G133" s="172"/>
      <c r="H133" s="122">
        <f t="shared" si="52"/>
        <v>0</v>
      </c>
      <c r="I133" s="122">
        <f t="shared" si="53"/>
        <v>0</v>
      </c>
      <c r="J133" s="122">
        <f t="shared" si="54"/>
        <v>0</v>
      </c>
      <c r="K133" s="122">
        <f>'Stavební rozpočet'!K299</f>
        <v>0</v>
      </c>
      <c r="L133" s="122">
        <f t="shared" si="55"/>
        <v>0</v>
      </c>
      <c r="M133" s="123" t="s">
        <v>622</v>
      </c>
      <c r="Z133" s="124">
        <f t="shared" si="56"/>
        <v>0</v>
      </c>
      <c r="AB133" s="124">
        <f t="shared" si="57"/>
        <v>0</v>
      </c>
      <c r="AC133" s="124">
        <f t="shared" si="58"/>
        <v>0</v>
      </c>
      <c r="AD133" s="124">
        <f t="shared" si="59"/>
        <v>0</v>
      </c>
      <c r="AE133" s="124">
        <f t="shared" si="60"/>
        <v>0</v>
      </c>
      <c r="AF133" s="124">
        <f t="shared" si="61"/>
        <v>0</v>
      </c>
      <c r="AG133" s="124">
        <f t="shared" si="62"/>
        <v>0</v>
      </c>
      <c r="AH133" s="124">
        <f t="shared" si="63"/>
        <v>0</v>
      </c>
      <c r="AI133" s="113" t="s">
        <v>60</v>
      </c>
      <c r="AJ133" s="122">
        <f t="shared" si="64"/>
        <v>0</v>
      </c>
      <c r="AK133" s="122">
        <f t="shared" si="65"/>
        <v>0</v>
      </c>
      <c r="AL133" s="122">
        <f t="shared" si="66"/>
        <v>0</v>
      </c>
      <c r="AN133" s="124">
        <v>15</v>
      </c>
      <c r="AO133" s="124">
        <f t="shared" si="67"/>
        <v>0</v>
      </c>
      <c r="AP133" s="124">
        <f t="shared" si="68"/>
        <v>0</v>
      </c>
      <c r="AQ133" s="123" t="s">
        <v>85</v>
      </c>
      <c r="AV133" s="124">
        <f t="shared" si="69"/>
        <v>0</v>
      </c>
      <c r="AW133" s="124">
        <f t="shared" si="70"/>
        <v>0</v>
      </c>
      <c r="AX133" s="124">
        <f t="shared" si="71"/>
        <v>0</v>
      </c>
      <c r="AY133" s="125" t="s">
        <v>642</v>
      </c>
      <c r="AZ133" s="125" t="s">
        <v>1537</v>
      </c>
      <c r="BA133" s="113" t="s">
        <v>1542</v>
      </c>
      <c r="BC133" s="124">
        <f t="shared" si="72"/>
        <v>0</v>
      </c>
      <c r="BD133" s="124">
        <f t="shared" si="73"/>
        <v>0</v>
      </c>
      <c r="BE133" s="124">
        <v>0</v>
      </c>
      <c r="BF133" s="124">
        <f t="shared" si="74"/>
        <v>0</v>
      </c>
      <c r="BH133" s="122">
        <f t="shared" si="75"/>
        <v>0</v>
      </c>
      <c r="BI133" s="122">
        <f t="shared" si="76"/>
        <v>0</v>
      </c>
      <c r="BJ133" s="122">
        <f t="shared" si="77"/>
        <v>0</v>
      </c>
    </row>
    <row r="134" spans="1:62" s="174" customFormat="1" ht="12.75">
      <c r="A134" s="121" t="s">
        <v>169</v>
      </c>
      <c r="B134" s="121" t="s">
        <v>60</v>
      </c>
      <c r="C134" s="121" t="s">
        <v>991</v>
      </c>
      <c r="D134" s="129" t="s">
        <v>1288</v>
      </c>
      <c r="E134" s="121" t="s">
        <v>606</v>
      </c>
      <c r="F134" s="122">
        <f>'Stavební rozpočet'!F300</f>
        <v>1</v>
      </c>
      <c r="G134" s="172"/>
      <c r="H134" s="122">
        <f t="shared" si="52"/>
        <v>0</v>
      </c>
      <c r="I134" s="122">
        <f t="shared" si="53"/>
        <v>0</v>
      </c>
      <c r="J134" s="122">
        <f t="shared" si="54"/>
        <v>0</v>
      </c>
      <c r="K134" s="122">
        <f>'Stavební rozpočet'!K300</f>
        <v>0</v>
      </c>
      <c r="L134" s="122">
        <f t="shared" si="55"/>
        <v>0</v>
      </c>
      <c r="M134" s="123" t="s">
        <v>622</v>
      </c>
      <c r="Z134" s="124">
        <f t="shared" si="56"/>
        <v>0</v>
      </c>
      <c r="AB134" s="124">
        <f t="shared" si="57"/>
        <v>0</v>
      </c>
      <c r="AC134" s="124">
        <f t="shared" si="58"/>
        <v>0</v>
      </c>
      <c r="AD134" s="124">
        <f t="shared" si="59"/>
        <v>0</v>
      </c>
      <c r="AE134" s="124">
        <f t="shared" si="60"/>
        <v>0</v>
      </c>
      <c r="AF134" s="124">
        <f t="shared" si="61"/>
        <v>0</v>
      </c>
      <c r="AG134" s="124">
        <f t="shared" si="62"/>
        <v>0</v>
      </c>
      <c r="AH134" s="124">
        <f t="shared" si="63"/>
        <v>0</v>
      </c>
      <c r="AI134" s="113" t="s">
        <v>60</v>
      </c>
      <c r="AJ134" s="122">
        <f t="shared" si="64"/>
        <v>0</v>
      </c>
      <c r="AK134" s="122">
        <f t="shared" si="65"/>
        <v>0</v>
      </c>
      <c r="AL134" s="122">
        <f t="shared" si="66"/>
        <v>0</v>
      </c>
      <c r="AN134" s="124">
        <v>15</v>
      </c>
      <c r="AO134" s="124">
        <f t="shared" si="67"/>
        <v>0</v>
      </c>
      <c r="AP134" s="124">
        <f t="shared" si="68"/>
        <v>0</v>
      </c>
      <c r="AQ134" s="123" t="s">
        <v>85</v>
      </c>
      <c r="AV134" s="124">
        <f t="shared" si="69"/>
        <v>0</v>
      </c>
      <c r="AW134" s="124">
        <f t="shared" si="70"/>
        <v>0</v>
      </c>
      <c r="AX134" s="124">
        <f t="shared" si="71"/>
        <v>0</v>
      </c>
      <c r="AY134" s="125" t="s">
        <v>642</v>
      </c>
      <c r="AZ134" s="125" t="s">
        <v>1537</v>
      </c>
      <c r="BA134" s="113" t="s">
        <v>1542</v>
      </c>
      <c r="BC134" s="124">
        <f t="shared" si="72"/>
        <v>0</v>
      </c>
      <c r="BD134" s="124">
        <f t="shared" si="73"/>
        <v>0</v>
      </c>
      <c r="BE134" s="124">
        <v>0</v>
      </c>
      <c r="BF134" s="124">
        <f t="shared" si="74"/>
        <v>0</v>
      </c>
      <c r="BH134" s="122">
        <f t="shared" si="75"/>
        <v>0</v>
      </c>
      <c r="BI134" s="122">
        <f t="shared" si="76"/>
        <v>0</v>
      </c>
      <c r="BJ134" s="122">
        <f t="shared" si="77"/>
        <v>0</v>
      </c>
    </row>
    <row r="135" spans="1:62" s="174" customFormat="1" ht="12.75">
      <c r="A135" s="121" t="s">
        <v>170</v>
      </c>
      <c r="B135" s="121" t="s">
        <v>60</v>
      </c>
      <c r="C135" s="121" t="s">
        <v>992</v>
      </c>
      <c r="D135" s="129" t="s">
        <v>1289</v>
      </c>
      <c r="E135" s="121" t="s">
        <v>609</v>
      </c>
      <c r="F135" s="122">
        <f>'Stavební rozpočet'!F301</f>
        <v>13.4</v>
      </c>
      <c r="G135" s="172"/>
      <c r="H135" s="122">
        <f t="shared" si="52"/>
        <v>0</v>
      </c>
      <c r="I135" s="122">
        <f t="shared" si="53"/>
        <v>0</v>
      </c>
      <c r="J135" s="122">
        <f t="shared" si="54"/>
        <v>0</v>
      </c>
      <c r="K135" s="122">
        <f>'Stavební rozpočet'!K301</f>
        <v>0</v>
      </c>
      <c r="L135" s="122">
        <f t="shared" si="55"/>
        <v>0</v>
      </c>
      <c r="M135" s="123" t="s">
        <v>622</v>
      </c>
      <c r="Z135" s="124">
        <f t="shared" si="56"/>
        <v>0</v>
      </c>
      <c r="AB135" s="124">
        <f t="shared" si="57"/>
        <v>0</v>
      </c>
      <c r="AC135" s="124">
        <f t="shared" si="58"/>
        <v>0</v>
      </c>
      <c r="AD135" s="124">
        <f t="shared" si="59"/>
        <v>0</v>
      </c>
      <c r="AE135" s="124">
        <f t="shared" si="60"/>
        <v>0</v>
      </c>
      <c r="AF135" s="124">
        <f t="shared" si="61"/>
        <v>0</v>
      </c>
      <c r="AG135" s="124">
        <f t="shared" si="62"/>
        <v>0</v>
      </c>
      <c r="AH135" s="124">
        <f t="shared" si="63"/>
        <v>0</v>
      </c>
      <c r="AI135" s="113" t="s">
        <v>60</v>
      </c>
      <c r="AJ135" s="122">
        <f t="shared" si="64"/>
        <v>0</v>
      </c>
      <c r="AK135" s="122">
        <f t="shared" si="65"/>
        <v>0</v>
      </c>
      <c r="AL135" s="122">
        <f t="shared" si="66"/>
        <v>0</v>
      </c>
      <c r="AN135" s="124">
        <v>15</v>
      </c>
      <c r="AO135" s="124">
        <f t="shared" si="67"/>
        <v>0</v>
      </c>
      <c r="AP135" s="124">
        <f t="shared" si="68"/>
        <v>0</v>
      </c>
      <c r="AQ135" s="123" t="s">
        <v>85</v>
      </c>
      <c r="AV135" s="124">
        <f t="shared" si="69"/>
        <v>0</v>
      </c>
      <c r="AW135" s="124">
        <f t="shared" si="70"/>
        <v>0</v>
      </c>
      <c r="AX135" s="124">
        <f t="shared" si="71"/>
        <v>0</v>
      </c>
      <c r="AY135" s="125" t="s">
        <v>642</v>
      </c>
      <c r="AZ135" s="125" t="s">
        <v>1537</v>
      </c>
      <c r="BA135" s="113" t="s">
        <v>1542</v>
      </c>
      <c r="BC135" s="124">
        <f t="shared" si="72"/>
        <v>0</v>
      </c>
      <c r="BD135" s="124">
        <f t="shared" si="73"/>
        <v>0</v>
      </c>
      <c r="BE135" s="124">
        <v>0</v>
      </c>
      <c r="BF135" s="124">
        <f t="shared" si="74"/>
        <v>0</v>
      </c>
      <c r="BH135" s="122">
        <f t="shared" si="75"/>
        <v>0</v>
      </c>
      <c r="BI135" s="122">
        <f t="shared" si="76"/>
        <v>0</v>
      </c>
      <c r="BJ135" s="122">
        <f t="shared" si="77"/>
        <v>0</v>
      </c>
    </row>
    <row r="136" spans="1:62" s="174" customFormat="1" ht="12.75">
      <c r="A136" s="121" t="s">
        <v>171</v>
      </c>
      <c r="B136" s="121" t="s">
        <v>60</v>
      </c>
      <c r="C136" s="121" t="s">
        <v>993</v>
      </c>
      <c r="D136" s="129" t="s">
        <v>1290</v>
      </c>
      <c r="E136" s="121" t="s">
        <v>609</v>
      </c>
      <c r="F136" s="122">
        <f>'Stavební rozpočet'!F302</f>
        <v>13.2</v>
      </c>
      <c r="G136" s="172"/>
      <c r="H136" s="122">
        <f t="shared" si="52"/>
        <v>0</v>
      </c>
      <c r="I136" s="122">
        <f t="shared" si="53"/>
        <v>0</v>
      </c>
      <c r="J136" s="122">
        <f t="shared" si="54"/>
        <v>0</v>
      </c>
      <c r="K136" s="122">
        <f>'Stavební rozpočet'!K302</f>
        <v>0</v>
      </c>
      <c r="L136" s="122">
        <f t="shared" si="55"/>
        <v>0</v>
      </c>
      <c r="M136" s="123" t="s">
        <v>622</v>
      </c>
      <c r="Z136" s="124">
        <f t="shared" si="56"/>
        <v>0</v>
      </c>
      <c r="AB136" s="124">
        <f t="shared" si="57"/>
        <v>0</v>
      </c>
      <c r="AC136" s="124">
        <f t="shared" si="58"/>
        <v>0</v>
      </c>
      <c r="AD136" s="124">
        <f t="shared" si="59"/>
        <v>0</v>
      </c>
      <c r="AE136" s="124">
        <f t="shared" si="60"/>
        <v>0</v>
      </c>
      <c r="AF136" s="124">
        <f t="shared" si="61"/>
        <v>0</v>
      </c>
      <c r="AG136" s="124">
        <f t="shared" si="62"/>
        <v>0</v>
      </c>
      <c r="AH136" s="124">
        <f t="shared" si="63"/>
        <v>0</v>
      </c>
      <c r="AI136" s="113" t="s">
        <v>60</v>
      </c>
      <c r="AJ136" s="122">
        <f t="shared" si="64"/>
        <v>0</v>
      </c>
      <c r="AK136" s="122">
        <f t="shared" si="65"/>
        <v>0</v>
      </c>
      <c r="AL136" s="122">
        <f t="shared" si="66"/>
        <v>0</v>
      </c>
      <c r="AN136" s="124">
        <v>15</v>
      </c>
      <c r="AO136" s="124">
        <f t="shared" si="67"/>
        <v>0</v>
      </c>
      <c r="AP136" s="124">
        <f t="shared" si="68"/>
        <v>0</v>
      </c>
      <c r="AQ136" s="123" t="s">
        <v>85</v>
      </c>
      <c r="AV136" s="124">
        <f t="shared" si="69"/>
        <v>0</v>
      </c>
      <c r="AW136" s="124">
        <f t="shared" si="70"/>
        <v>0</v>
      </c>
      <c r="AX136" s="124">
        <f t="shared" si="71"/>
        <v>0</v>
      </c>
      <c r="AY136" s="125" t="s">
        <v>642</v>
      </c>
      <c r="AZ136" s="125" t="s">
        <v>1537</v>
      </c>
      <c r="BA136" s="113" t="s">
        <v>1542</v>
      </c>
      <c r="BC136" s="124">
        <f t="shared" si="72"/>
        <v>0</v>
      </c>
      <c r="BD136" s="124">
        <f t="shared" si="73"/>
        <v>0</v>
      </c>
      <c r="BE136" s="124">
        <v>0</v>
      </c>
      <c r="BF136" s="124">
        <f t="shared" si="74"/>
        <v>0</v>
      </c>
      <c r="BH136" s="122">
        <f t="shared" si="75"/>
        <v>0</v>
      </c>
      <c r="BI136" s="122">
        <f t="shared" si="76"/>
        <v>0</v>
      </c>
      <c r="BJ136" s="122">
        <f t="shared" si="77"/>
        <v>0</v>
      </c>
    </row>
    <row r="137" spans="1:62" s="174" customFormat="1" ht="12.75">
      <c r="A137" s="121" t="s">
        <v>172</v>
      </c>
      <c r="B137" s="121" t="s">
        <v>60</v>
      </c>
      <c r="C137" s="121" t="s">
        <v>994</v>
      </c>
      <c r="D137" s="129" t="s">
        <v>1291</v>
      </c>
      <c r="E137" s="121" t="s">
        <v>609</v>
      </c>
      <c r="F137" s="122">
        <f>'Stavební rozpočet'!F303</f>
        <v>33.4</v>
      </c>
      <c r="G137" s="172"/>
      <c r="H137" s="122">
        <f t="shared" si="52"/>
        <v>0</v>
      </c>
      <c r="I137" s="122">
        <f t="shared" si="53"/>
        <v>0</v>
      </c>
      <c r="J137" s="122">
        <f t="shared" si="54"/>
        <v>0</v>
      </c>
      <c r="K137" s="122">
        <f>'Stavební rozpočet'!K303</f>
        <v>0</v>
      </c>
      <c r="L137" s="122">
        <f t="shared" si="55"/>
        <v>0</v>
      </c>
      <c r="M137" s="123" t="s">
        <v>622</v>
      </c>
      <c r="Z137" s="124">
        <f t="shared" si="56"/>
        <v>0</v>
      </c>
      <c r="AB137" s="124">
        <f t="shared" si="57"/>
        <v>0</v>
      </c>
      <c r="AC137" s="124">
        <f t="shared" si="58"/>
        <v>0</v>
      </c>
      <c r="AD137" s="124">
        <f t="shared" si="59"/>
        <v>0</v>
      </c>
      <c r="AE137" s="124">
        <f t="shared" si="60"/>
        <v>0</v>
      </c>
      <c r="AF137" s="124">
        <f t="shared" si="61"/>
        <v>0</v>
      </c>
      <c r="AG137" s="124">
        <f t="shared" si="62"/>
        <v>0</v>
      </c>
      <c r="AH137" s="124">
        <f t="shared" si="63"/>
        <v>0</v>
      </c>
      <c r="AI137" s="113" t="s">
        <v>60</v>
      </c>
      <c r="AJ137" s="122">
        <f t="shared" si="64"/>
        <v>0</v>
      </c>
      <c r="AK137" s="122">
        <f t="shared" si="65"/>
        <v>0</v>
      </c>
      <c r="AL137" s="122">
        <f t="shared" si="66"/>
        <v>0</v>
      </c>
      <c r="AN137" s="124">
        <v>15</v>
      </c>
      <c r="AO137" s="124">
        <f t="shared" si="67"/>
        <v>0</v>
      </c>
      <c r="AP137" s="124">
        <f t="shared" si="68"/>
        <v>0</v>
      </c>
      <c r="AQ137" s="123" t="s">
        <v>85</v>
      </c>
      <c r="AV137" s="124">
        <f t="shared" si="69"/>
        <v>0</v>
      </c>
      <c r="AW137" s="124">
        <f t="shared" si="70"/>
        <v>0</v>
      </c>
      <c r="AX137" s="124">
        <f t="shared" si="71"/>
        <v>0</v>
      </c>
      <c r="AY137" s="125" t="s">
        <v>642</v>
      </c>
      <c r="AZ137" s="125" t="s">
        <v>1537</v>
      </c>
      <c r="BA137" s="113" t="s">
        <v>1542</v>
      </c>
      <c r="BC137" s="124">
        <f t="shared" si="72"/>
        <v>0</v>
      </c>
      <c r="BD137" s="124">
        <f t="shared" si="73"/>
        <v>0</v>
      </c>
      <c r="BE137" s="124">
        <v>0</v>
      </c>
      <c r="BF137" s="124">
        <f t="shared" si="74"/>
        <v>0</v>
      </c>
      <c r="BH137" s="122">
        <f t="shared" si="75"/>
        <v>0</v>
      </c>
      <c r="BI137" s="122">
        <f t="shared" si="76"/>
        <v>0</v>
      </c>
      <c r="BJ137" s="122">
        <f t="shared" si="77"/>
        <v>0</v>
      </c>
    </row>
    <row r="138" spans="1:62" s="174" customFormat="1" ht="12.75">
      <c r="A138" s="121" t="s">
        <v>173</v>
      </c>
      <c r="B138" s="121" t="s">
        <v>60</v>
      </c>
      <c r="C138" s="121" t="s">
        <v>995</v>
      </c>
      <c r="D138" s="129" t="s">
        <v>1292</v>
      </c>
      <c r="E138" s="121" t="s">
        <v>606</v>
      </c>
      <c r="F138" s="122">
        <f>'Stavební rozpočet'!F304</f>
        <v>6</v>
      </c>
      <c r="G138" s="172"/>
      <c r="H138" s="122">
        <f t="shared" si="52"/>
        <v>0</v>
      </c>
      <c r="I138" s="122">
        <f t="shared" si="53"/>
        <v>0</v>
      </c>
      <c r="J138" s="122">
        <f t="shared" si="54"/>
        <v>0</v>
      </c>
      <c r="K138" s="122">
        <f>'Stavební rozpočet'!K304</f>
        <v>0</v>
      </c>
      <c r="L138" s="122">
        <f t="shared" si="55"/>
        <v>0</v>
      </c>
      <c r="M138" s="123" t="s">
        <v>622</v>
      </c>
      <c r="Z138" s="124">
        <f t="shared" si="56"/>
        <v>0</v>
      </c>
      <c r="AB138" s="124">
        <f t="shared" si="57"/>
        <v>0</v>
      </c>
      <c r="AC138" s="124">
        <f t="shared" si="58"/>
        <v>0</v>
      </c>
      <c r="AD138" s="124">
        <f t="shared" si="59"/>
        <v>0</v>
      </c>
      <c r="AE138" s="124">
        <f t="shared" si="60"/>
        <v>0</v>
      </c>
      <c r="AF138" s="124">
        <f t="shared" si="61"/>
        <v>0</v>
      </c>
      <c r="AG138" s="124">
        <f t="shared" si="62"/>
        <v>0</v>
      </c>
      <c r="AH138" s="124">
        <f t="shared" si="63"/>
        <v>0</v>
      </c>
      <c r="AI138" s="113" t="s">
        <v>60</v>
      </c>
      <c r="AJ138" s="122">
        <f t="shared" si="64"/>
        <v>0</v>
      </c>
      <c r="AK138" s="122">
        <f t="shared" si="65"/>
        <v>0</v>
      </c>
      <c r="AL138" s="122">
        <f t="shared" si="66"/>
        <v>0</v>
      </c>
      <c r="AN138" s="124">
        <v>15</v>
      </c>
      <c r="AO138" s="124">
        <f t="shared" si="67"/>
        <v>0</v>
      </c>
      <c r="AP138" s="124">
        <f t="shared" si="68"/>
        <v>0</v>
      </c>
      <c r="AQ138" s="123" t="s">
        <v>85</v>
      </c>
      <c r="AV138" s="124">
        <f t="shared" si="69"/>
        <v>0</v>
      </c>
      <c r="AW138" s="124">
        <f t="shared" si="70"/>
        <v>0</v>
      </c>
      <c r="AX138" s="124">
        <f t="shared" si="71"/>
        <v>0</v>
      </c>
      <c r="AY138" s="125" t="s">
        <v>642</v>
      </c>
      <c r="AZ138" s="125" t="s">
        <v>1537</v>
      </c>
      <c r="BA138" s="113" t="s">
        <v>1542</v>
      </c>
      <c r="BC138" s="124">
        <f t="shared" si="72"/>
        <v>0</v>
      </c>
      <c r="BD138" s="124">
        <f t="shared" si="73"/>
        <v>0</v>
      </c>
      <c r="BE138" s="124">
        <v>0</v>
      </c>
      <c r="BF138" s="124">
        <f t="shared" si="74"/>
        <v>0</v>
      </c>
      <c r="BH138" s="122">
        <f t="shared" si="75"/>
        <v>0</v>
      </c>
      <c r="BI138" s="122">
        <f t="shared" si="76"/>
        <v>0</v>
      </c>
      <c r="BJ138" s="122">
        <f t="shared" si="77"/>
        <v>0</v>
      </c>
    </row>
    <row r="139" spans="1:62" s="174" customFormat="1" ht="12.75">
      <c r="A139" s="121" t="s">
        <v>174</v>
      </c>
      <c r="B139" s="121" t="s">
        <v>60</v>
      </c>
      <c r="C139" s="121" t="s">
        <v>996</v>
      </c>
      <c r="D139" s="129" t="s">
        <v>1246</v>
      </c>
      <c r="E139" s="121" t="s">
        <v>606</v>
      </c>
      <c r="F139" s="122">
        <f>'Stavební rozpočet'!F305</f>
        <v>3</v>
      </c>
      <c r="G139" s="172"/>
      <c r="H139" s="122">
        <f t="shared" si="52"/>
        <v>0</v>
      </c>
      <c r="I139" s="122">
        <f t="shared" si="53"/>
        <v>0</v>
      </c>
      <c r="J139" s="122">
        <f t="shared" si="54"/>
        <v>0</v>
      </c>
      <c r="K139" s="122">
        <f>'Stavební rozpočet'!K305</f>
        <v>0</v>
      </c>
      <c r="L139" s="122">
        <f t="shared" si="55"/>
        <v>0</v>
      </c>
      <c r="M139" s="123" t="s">
        <v>622</v>
      </c>
      <c r="Z139" s="124">
        <f t="shared" si="56"/>
        <v>0</v>
      </c>
      <c r="AB139" s="124">
        <f t="shared" si="57"/>
        <v>0</v>
      </c>
      <c r="AC139" s="124">
        <f t="shared" si="58"/>
        <v>0</v>
      </c>
      <c r="AD139" s="124">
        <f t="shared" si="59"/>
        <v>0</v>
      </c>
      <c r="AE139" s="124">
        <f t="shared" si="60"/>
        <v>0</v>
      </c>
      <c r="AF139" s="124">
        <f t="shared" si="61"/>
        <v>0</v>
      </c>
      <c r="AG139" s="124">
        <f t="shared" si="62"/>
        <v>0</v>
      </c>
      <c r="AH139" s="124">
        <f t="shared" si="63"/>
        <v>0</v>
      </c>
      <c r="AI139" s="113" t="s">
        <v>60</v>
      </c>
      <c r="AJ139" s="122">
        <f t="shared" si="64"/>
        <v>0</v>
      </c>
      <c r="AK139" s="122">
        <f t="shared" si="65"/>
        <v>0</v>
      </c>
      <c r="AL139" s="122">
        <f t="shared" si="66"/>
        <v>0</v>
      </c>
      <c r="AN139" s="124">
        <v>15</v>
      </c>
      <c r="AO139" s="124">
        <f t="shared" si="67"/>
        <v>0</v>
      </c>
      <c r="AP139" s="124">
        <f t="shared" si="68"/>
        <v>0</v>
      </c>
      <c r="AQ139" s="123" t="s">
        <v>85</v>
      </c>
      <c r="AV139" s="124">
        <f t="shared" si="69"/>
        <v>0</v>
      </c>
      <c r="AW139" s="124">
        <f t="shared" si="70"/>
        <v>0</v>
      </c>
      <c r="AX139" s="124">
        <f t="shared" si="71"/>
        <v>0</v>
      </c>
      <c r="AY139" s="125" t="s">
        <v>642</v>
      </c>
      <c r="AZ139" s="125" t="s">
        <v>1537</v>
      </c>
      <c r="BA139" s="113" t="s">
        <v>1542</v>
      </c>
      <c r="BC139" s="124">
        <f t="shared" si="72"/>
        <v>0</v>
      </c>
      <c r="BD139" s="124">
        <f t="shared" si="73"/>
        <v>0</v>
      </c>
      <c r="BE139" s="124">
        <v>0</v>
      </c>
      <c r="BF139" s="124">
        <f t="shared" si="74"/>
        <v>0</v>
      </c>
      <c r="BH139" s="122">
        <f t="shared" si="75"/>
        <v>0</v>
      </c>
      <c r="BI139" s="122">
        <f t="shared" si="76"/>
        <v>0</v>
      </c>
      <c r="BJ139" s="122">
        <f t="shared" si="77"/>
        <v>0</v>
      </c>
    </row>
    <row r="140" spans="1:62" s="174" customFormat="1" ht="12.75">
      <c r="A140" s="121" t="s">
        <v>175</v>
      </c>
      <c r="B140" s="121" t="s">
        <v>60</v>
      </c>
      <c r="C140" s="121" t="s">
        <v>997</v>
      </c>
      <c r="D140" s="129" t="s">
        <v>1293</v>
      </c>
      <c r="E140" s="121" t="s">
        <v>606</v>
      </c>
      <c r="F140" s="122">
        <f>'Stavební rozpočet'!F306</f>
        <v>3</v>
      </c>
      <c r="G140" s="172"/>
      <c r="H140" s="122">
        <f t="shared" si="52"/>
        <v>0</v>
      </c>
      <c r="I140" s="122">
        <f t="shared" si="53"/>
        <v>0</v>
      </c>
      <c r="J140" s="122">
        <f t="shared" si="54"/>
        <v>0</v>
      </c>
      <c r="K140" s="122">
        <f>'Stavební rozpočet'!K306</f>
        <v>0</v>
      </c>
      <c r="L140" s="122">
        <f t="shared" si="55"/>
        <v>0</v>
      </c>
      <c r="M140" s="123" t="s">
        <v>622</v>
      </c>
      <c r="Z140" s="124">
        <f t="shared" si="56"/>
        <v>0</v>
      </c>
      <c r="AB140" s="124">
        <f t="shared" si="57"/>
        <v>0</v>
      </c>
      <c r="AC140" s="124">
        <f t="shared" si="58"/>
        <v>0</v>
      </c>
      <c r="AD140" s="124">
        <f t="shared" si="59"/>
        <v>0</v>
      </c>
      <c r="AE140" s="124">
        <f t="shared" si="60"/>
        <v>0</v>
      </c>
      <c r="AF140" s="124">
        <f t="shared" si="61"/>
        <v>0</v>
      </c>
      <c r="AG140" s="124">
        <f t="shared" si="62"/>
        <v>0</v>
      </c>
      <c r="AH140" s="124">
        <f t="shared" si="63"/>
        <v>0</v>
      </c>
      <c r="AI140" s="113" t="s">
        <v>60</v>
      </c>
      <c r="AJ140" s="122">
        <f t="shared" si="64"/>
        <v>0</v>
      </c>
      <c r="AK140" s="122">
        <f t="shared" si="65"/>
        <v>0</v>
      </c>
      <c r="AL140" s="122">
        <f t="shared" si="66"/>
        <v>0</v>
      </c>
      <c r="AN140" s="124">
        <v>15</v>
      </c>
      <c r="AO140" s="124">
        <f t="shared" si="67"/>
        <v>0</v>
      </c>
      <c r="AP140" s="124">
        <f t="shared" si="68"/>
        <v>0</v>
      </c>
      <c r="AQ140" s="123" t="s">
        <v>85</v>
      </c>
      <c r="AV140" s="124">
        <f t="shared" si="69"/>
        <v>0</v>
      </c>
      <c r="AW140" s="124">
        <f t="shared" si="70"/>
        <v>0</v>
      </c>
      <c r="AX140" s="124">
        <f t="shared" si="71"/>
        <v>0</v>
      </c>
      <c r="AY140" s="125" t="s">
        <v>642</v>
      </c>
      <c r="AZ140" s="125" t="s">
        <v>1537</v>
      </c>
      <c r="BA140" s="113" t="s">
        <v>1542</v>
      </c>
      <c r="BC140" s="124">
        <f t="shared" si="72"/>
        <v>0</v>
      </c>
      <c r="BD140" s="124">
        <f t="shared" si="73"/>
        <v>0</v>
      </c>
      <c r="BE140" s="124">
        <v>0</v>
      </c>
      <c r="BF140" s="124">
        <f t="shared" si="74"/>
        <v>0</v>
      </c>
      <c r="BH140" s="122">
        <f t="shared" si="75"/>
        <v>0</v>
      </c>
      <c r="BI140" s="122">
        <f t="shared" si="76"/>
        <v>0</v>
      </c>
      <c r="BJ140" s="122">
        <f t="shared" si="77"/>
        <v>0</v>
      </c>
    </row>
    <row r="141" spans="1:62" s="174" customFormat="1" ht="12.75">
      <c r="A141" s="121" t="s">
        <v>176</v>
      </c>
      <c r="B141" s="121" t="s">
        <v>60</v>
      </c>
      <c r="C141" s="121" t="s">
        <v>998</v>
      </c>
      <c r="D141" s="129" t="s">
        <v>497</v>
      </c>
      <c r="E141" s="121" t="s">
        <v>611</v>
      </c>
      <c r="F141" s="122">
        <f>'Stavební rozpočet'!F307</f>
        <v>25</v>
      </c>
      <c r="G141" s="172"/>
      <c r="H141" s="122">
        <f t="shared" si="52"/>
        <v>0</v>
      </c>
      <c r="I141" s="122">
        <f t="shared" si="53"/>
        <v>0</v>
      </c>
      <c r="J141" s="122">
        <f t="shared" si="54"/>
        <v>0</v>
      </c>
      <c r="K141" s="122">
        <f>'Stavební rozpočet'!K307</f>
        <v>0</v>
      </c>
      <c r="L141" s="122">
        <f t="shared" si="55"/>
        <v>0</v>
      </c>
      <c r="M141" s="123" t="s">
        <v>622</v>
      </c>
      <c r="Z141" s="124">
        <f t="shared" si="56"/>
        <v>0</v>
      </c>
      <c r="AB141" s="124">
        <f t="shared" si="57"/>
        <v>0</v>
      </c>
      <c r="AC141" s="124">
        <f t="shared" si="58"/>
        <v>0</v>
      </c>
      <c r="AD141" s="124">
        <f t="shared" si="59"/>
        <v>0</v>
      </c>
      <c r="AE141" s="124">
        <f t="shared" si="60"/>
        <v>0</v>
      </c>
      <c r="AF141" s="124">
        <f t="shared" si="61"/>
        <v>0</v>
      </c>
      <c r="AG141" s="124">
        <f t="shared" si="62"/>
        <v>0</v>
      </c>
      <c r="AH141" s="124">
        <f t="shared" si="63"/>
        <v>0</v>
      </c>
      <c r="AI141" s="113" t="s">
        <v>60</v>
      </c>
      <c r="AJ141" s="122">
        <f t="shared" si="64"/>
        <v>0</v>
      </c>
      <c r="AK141" s="122">
        <f t="shared" si="65"/>
        <v>0</v>
      </c>
      <c r="AL141" s="122">
        <f t="shared" si="66"/>
        <v>0</v>
      </c>
      <c r="AN141" s="124">
        <v>15</v>
      </c>
      <c r="AO141" s="124">
        <f t="shared" si="67"/>
        <v>0</v>
      </c>
      <c r="AP141" s="124">
        <f t="shared" si="68"/>
        <v>0</v>
      </c>
      <c r="AQ141" s="123" t="s">
        <v>85</v>
      </c>
      <c r="AV141" s="124">
        <f t="shared" si="69"/>
        <v>0</v>
      </c>
      <c r="AW141" s="124">
        <f t="shared" si="70"/>
        <v>0</v>
      </c>
      <c r="AX141" s="124">
        <f t="shared" si="71"/>
        <v>0</v>
      </c>
      <c r="AY141" s="125" t="s">
        <v>642</v>
      </c>
      <c r="AZ141" s="125" t="s">
        <v>1537</v>
      </c>
      <c r="BA141" s="113" t="s">
        <v>1542</v>
      </c>
      <c r="BC141" s="124">
        <f t="shared" si="72"/>
        <v>0</v>
      </c>
      <c r="BD141" s="124">
        <f t="shared" si="73"/>
        <v>0</v>
      </c>
      <c r="BE141" s="124">
        <v>0</v>
      </c>
      <c r="BF141" s="124">
        <f t="shared" si="74"/>
        <v>0</v>
      </c>
      <c r="BH141" s="122">
        <f t="shared" si="75"/>
        <v>0</v>
      </c>
      <c r="BI141" s="122">
        <f t="shared" si="76"/>
        <v>0</v>
      </c>
      <c r="BJ141" s="122">
        <f t="shared" si="77"/>
        <v>0</v>
      </c>
    </row>
    <row r="142" spans="1:62" s="174" customFormat="1" ht="12.75">
      <c r="A142" s="121" t="s">
        <v>177</v>
      </c>
      <c r="B142" s="121" t="s">
        <v>60</v>
      </c>
      <c r="C142" s="121" t="s">
        <v>999</v>
      </c>
      <c r="D142" s="129" t="s">
        <v>1294</v>
      </c>
      <c r="E142" s="121" t="s">
        <v>609</v>
      </c>
      <c r="F142" s="122">
        <f>'Stavební rozpočet'!F308</f>
        <v>155.6</v>
      </c>
      <c r="G142" s="172"/>
      <c r="H142" s="122">
        <f t="shared" si="52"/>
        <v>0</v>
      </c>
      <c r="I142" s="122">
        <f t="shared" si="53"/>
        <v>0</v>
      </c>
      <c r="J142" s="122">
        <f t="shared" si="54"/>
        <v>0</v>
      </c>
      <c r="K142" s="122">
        <f>'Stavební rozpočet'!K308</f>
        <v>0</v>
      </c>
      <c r="L142" s="122">
        <f t="shared" si="55"/>
        <v>0</v>
      </c>
      <c r="M142" s="123" t="s">
        <v>622</v>
      </c>
      <c r="Z142" s="124">
        <f t="shared" si="56"/>
        <v>0</v>
      </c>
      <c r="AB142" s="124">
        <f t="shared" si="57"/>
        <v>0</v>
      </c>
      <c r="AC142" s="124">
        <f t="shared" si="58"/>
        <v>0</v>
      </c>
      <c r="AD142" s="124">
        <f t="shared" si="59"/>
        <v>0</v>
      </c>
      <c r="AE142" s="124">
        <f t="shared" si="60"/>
        <v>0</v>
      </c>
      <c r="AF142" s="124">
        <f t="shared" si="61"/>
        <v>0</v>
      </c>
      <c r="AG142" s="124">
        <f t="shared" si="62"/>
        <v>0</v>
      </c>
      <c r="AH142" s="124">
        <f t="shared" si="63"/>
        <v>0</v>
      </c>
      <c r="AI142" s="113" t="s">
        <v>60</v>
      </c>
      <c r="AJ142" s="122">
        <f t="shared" si="64"/>
        <v>0</v>
      </c>
      <c r="AK142" s="122">
        <f t="shared" si="65"/>
        <v>0</v>
      </c>
      <c r="AL142" s="122">
        <f t="shared" si="66"/>
        <v>0</v>
      </c>
      <c r="AN142" s="124">
        <v>15</v>
      </c>
      <c r="AO142" s="124">
        <f t="shared" si="67"/>
        <v>0</v>
      </c>
      <c r="AP142" s="124">
        <f t="shared" si="68"/>
        <v>0</v>
      </c>
      <c r="AQ142" s="123" t="s">
        <v>85</v>
      </c>
      <c r="AV142" s="124">
        <f t="shared" si="69"/>
        <v>0</v>
      </c>
      <c r="AW142" s="124">
        <f t="shared" si="70"/>
        <v>0</v>
      </c>
      <c r="AX142" s="124">
        <f t="shared" si="71"/>
        <v>0</v>
      </c>
      <c r="AY142" s="125" t="s">
        <v>642</v>
      </c>
      <c r="AZ142" s="125" t="s">
        <v>1537</v>
      </c>
      <c r="BA142" s="113" t="s">
        <v>1542</v>
      </c>
      <c r="BC142" s="124">
        <f t="shared" si="72"/>
        <v>0</v>
      </c>
      <c r="BD142" s="124">
        <f t="shared" si="73"/>
        <v>0</v>
      </c>
      <c r="BE142" s="124">
        <v>0</v>
      </c>
      <c r="BF142" s="124">
        <f t="shared" si="74"/>
        <v>0</v>
      </c>
      <c r="BH142" s="122">
        <f t="shared" si="75"/>
        <v>0</v>
      </c>
      <c r="BI142" s="122">
        <f t="shared" si="76"/>
        <v>0</v>
      </c>
      <c r="BJ142" s="122">
        <f t="shared" si="77"/>
        <v>0</v>
      </c>
    </row>
    <row r="143" spans="1:62" s="174" customFormat="1" ht="12.75">
      <c r="A143" s="121" t="s">
        <v>178</v>
      </c>
      <c r="B143" s="121" t="s">
        <v>60</v>
      </c>
      <c r="C143" s="121" t="s">
        <v>1000</v>
      </c>
      <c r="D143" s="129" t="s">
        <v>487</v>
      </c>
      <c r="E143" s="121" t="s">
        <v>609</v>
      </c>
      <c r="F143" s="122">
        <f>'Stavební rozpočet'!F309</f>
        <v>155.6</v>
      </c>
      <c r="G143" s="172"/>
      <c r="H143" s="122">
        <f t="shared" si="52"/>
        <v>0</v>
      </c>
      <c r="I143" s="122">
        <f t="shared" si="53"/>
        <v>0</v>
      </c>
      <c r="J143" s="122">
        <f t="shared" si="54"/>
        <v>0</v>
      </c>
      <c r="K143" s="122">
        <f>'Stavební rozpočet'!K309</f>
        <v>0</v>
      </c>
      <c r="L143" s="122">
        <f t="shared" si="55"/>
        <v>0</v>
      </c>
      <c r="M143" s="123" t="s">
        <v>622</v>
      </c>
      <c r="Z143" s="124">
        <f t="shared" si="56"/>
        <v>0</v>
      </c>
      <c r="AB143" s="124">
        <f t="shared" si="57"/>
        <v>0</v>
      </c>
      <c r="AC143" s="124">
        <f t="shared" si="58"/>
        <v>0</v>
      </c>
      <c r="AD143" s="124">
        <f t="shared" si="59"/>
        <v>0</v>
      </c>
      <c r="AE143" s="124">
        <f t="shared" si="60"/>
        <v>0</v>
      </c>
      <c r="AF143" s="124">
        <f t="shared" si="61"/>
        <v>0</v>
      </c>
      <c r="AG143" s="124">
        <f t="shared" si="62"/>
        <v>0</v>
      </c>
      <c r="AH143" s="124">
        <f t="shared" si="63"/>
        <v>0</v>
      </c>
      <c r="AI143" s="113" t="s">
        <v>60</v>
      </c>
      <c r="AJ143" s="122">
        <f t="shared" si="64"/>
        <v>0</v>
      </c>
      <c r="AK143" s="122">
        <f t="shared" si="65"/>
        <v>0</v>
      </c>
      <c r="AL143" s="122">
        <f t="shared" si="66"/>
        <v>0</v>
      </c>
      <c r="AN143" s="124">
        <v>15</v>
      </c>
      <c r="AO143" s="124">
        <f t="shared" si="67"/>
        <v>0</v>
      </c>
      <c r="AP143" s="124">
        <f t="shared" si="68"/>
        <v>0</v>
      </c>
      <c r="AQ143" s="123" t="s">
        <v>85</v>
      </c>
      <c r="AV143" s="124">
        <f t="shared" si="69"/>
        <v>0</v>
      </c>
      <c r="AW143" s="124">
        <f t="shared" si="70"/>
        <v>0</v>
      </c>
      <c r="AX143" s="124">
        <f t="shared" si="71"/>
        <v>0</v>
      </c>
      <c r="AY143" s="125" t="s">
        <v>642</v>
      </c>
      <c r="AZ143" s="125" t="s">
        <v>1537</v>
      </c>
      <c r="BA143" s="113" t="s">
        <v>1542</v>
      </c>
      <c r="BC143" s="124">
        <f t="shared" si="72"/>
        <v>0</v>
      </c>
      <c r="BD143" s="124">
        <f t="shared" si="73"/>
        <v>0</v>
      </c>
      <c r="BE143" s="124">
        <v>0</v>
      </c>
      <c r="BF143" s="124">
        <f t="shared" si="74"/>
        <v>0</v>
      </c>
      <c r="BH143" s="122">
        <f t="shared" si="75"/>
        <v>0</v>
      </c>
      <c r="BI143" s="122">
        <f t="shared" si="76"/>
        <v>0</v>
      </c>
      <c r="BJ143" s="122">
        <f t="shared" si="77"/>
        <v>0</v>
      </c>
    </row>
    <row r="144" spans="1:62" s="174" customFormat="1" ht="12.75">
      <c r="A144" s="121" t="s">
        <v>179</v>
      </c>
      <c r="B144" s="121" t="s">
        <v>60</v>
      </c>
      <c r="C144" s="121" t="s">
        <v>1001</v>
      </c>
      <c r="D144" s="129" t="s">
        <v>488</v>
      </c>
      <c r="E144" s="121" t="s">
        <v>609</v>
      </c>
      <c r="F144" s="122">
        <f>'Stavební rozpočet'!F310</f>
        <v>155.6</v>
      </c>
      <c r="G144" s="172"/>
      <c r="H144" s="122">
        <f t="shared" si="52"/>
        <v>0</v>
      </c>
      <c r="I144" s="122">
        <f t="shared" si="53"/>
        <v>0</v>
      </c>
      <c r="J144" s="122">
        <f t="shared" si="54"/>
        <v>0</v>
      </c>
      <c r="K144" s="122">
        <f>'Stavební rozpočet'!K310</f>
        <v>0</v>
      </c>
      <c r="L144" s="122">
        <f t="shared" si="55"/>
        <v>0</v>
      </c>
      <c r="M144" s="123" t="s">
        <v>622</v>
      </c>
      <c r="Z144" s="124">
        <f t="shared" si="56"/>
        <v>0</v>
      </c>
      <c r="AB144" s="124">
        <f t="shared" si="57"/>
        <v>0</v>
      </c>
      <c r="AC144" s="124">
        <f t="shared" si="58"/>
        <v>0</v>
      </c>
      <c r="AD144" s="124">
        <f t="shared" si="59"/>
        <v>0</v>
      </c>
      <c r="AE144" s="124">
        <f t="shared" si="60"/>
        <v>0</v>
      </c>
      <c r="AF144" s="124">
        <f t="shared" si="61"/>
        <v>0</v>
      </c>
      <c r="AG144" s="124">
        <f t="shared" si="62"/>
        <v>0</v>
      </c>
      <c r="AH144" s="124">
        <f t="shared" si="63"/>
        <v>0</v>
      </c>
      <c r="AI144" s="113" t="s">
        <v>60</v>
      </c>
      <c r="AJ144" s="122">
        <f t="shared" si="64"/>
        <v>0</v>
      </c>
      <c r="AK144" s="122">
        <f t="shared" si="65"/>
        <v>0</v>
      </c>
      <c r="AL144" s="122">
        <f t="shared" si="66"/>
        <v>0</v>
      </c>
      <c r="AN144" s="124">
        <v>15</v>
      </c>
      <c r="AO144" s="124">
        <f t="shared" si="67"/>
        <v>0</v>
      </c>
      <c r="AP144" s="124">
        <f t="shared" si="68"/>
        <v>0</v>
      </c>
      <c r="AQ144" s="123" t="s">
        <v>85</v>
      </c>
      <c r="AV144" s="124">
        <f t="shared" si="69"/>
        <v>0</v>
      </c>
      <c r="AW144" s="124">
        <f t="shared" si="70"/>
        <v>0</v>
      </c>
      <c r="AX144" s="124">
        <f t="shared" si="71"/>
        <v>0</v>
      </c>
      <c r="AY144" s="125" t="s">
        <v>642</v>
      </c>
      <c r="AZ144" s="125" t="s">
        <v>1537</v>
      </c>
      <c r="BA144" s="113" t="s">
        <v>1542</v>
      </c>
      <c r="BC144" s="124">
        <f t="shared" si="72"/>
        <v>0</v>
      </c>
      <c r="BD144" s="124">
        <f t="shared" si="73"/>
        <v>0</v>
      </c>
      <c r="BE144" s="124">
        <v>0</v>
      </c>
      <c r="BF144" s="124">
        <f t="shared" si="74"/>
        <v>0</v>
      </c>
      <c r="BH144" s="122">
        <f t="shared" si="75"/>
        <v>0</v>
      </c>
      <c r="BI144" s="122">
        <f t="shared" si="76"/>
        <v>0</v>
      </c>
      <c r="BJ144" s="122">
        <f t="shared" si="77"/>
        <v>0</v>
      </c>
    </row>
    <row r="145" spans="1:62" s="174" customFormat="1" ht="12.75">
      <c r="A145" s="121" t="s">
        <v>180</v>
      </c>
      <c r="B145" s="121" t="s">
        <v>60</v>
      </c>
      <c r="C145" s="121" t="s">
        <v>1002</v>
      </c>
      <c r="D145" s="129" t="s">
        <v>1295</v>
      </c>
      <c r="E145" s="121" t="s">
        <v>606</v>
      </c>
      <c r="F145" s="122">
        <f>'Stavební rozpočet'!F311</f>
        <v>8</v>
      </c>
      <c r="G145" s="172"/>
      <c r="H145" s="122">
        <f t="shared" si="52"/>
        <v>0</v>
      </c>
      <c r="I145" s="122">
        <f t="shared" si="53"/>
        <v>0</v>
      </c>
      <c r="J145" s="122">
        <f t="shared" si="54"/>
        <v>0</v>
      </c>
      <c r="K145" s="122">
        <f>'Stavební rozpočet'!K311</f>
        <v>0</v>
      </c>
      <c r="L145" s="122">
        <f t="shared" si="55"/>
        <v>0</v>
      </c>
      <c r="M145" s="123" t="s">
        <v>622</v>
      </c>
      <c r="Z145" s="124">
        <f t="shared" si="56"/>
        <v>0</v>
      </c>
      <c r="AB145" s="124">
        <f t="shared" si="57"/>
        <v>0</v>
      </c>
      <c r="AC145" s="124">
        <f t="shared" si="58"/>
        <v>0</v>
      </c>
      <c r="AD145" s="124">
        <f t="shared" si="59"/>
        <v>0</v>
      </c>
      <c r="AE145" s="124">
        <f t="shared" si="60"/>
        <v>0</v>
      </c>
      <c r="AF145" s="124">
        <f t="shared" si="61"/>
        <v>0</v>
      </c>
      <c r="AG145" s="124">
        <f t="shared" si="62"/>
        <v>0</v>
      </c>
      <c r="AH145" s="124">
        <f t="shared" si="63"/>
        <v>0</v>
      </c>
      <c r="AI145" s="113" t="s">
        <v>60</v>
      </c>
      <c r="AJ145" s="122">
        <f t="shared" si="64"/>
        <v>0</v>
      </c>
      <c r="AK145" s="122">
        <f t="shared" si="65"/>
        <v>0</v>
      </c>
      <c r="AL145" s="122">
        <f t="shared" si="66"/>
        <v>0</v>
      </c>
      <c r="AN145" s="124">
        <v>15</v>
      </c>
      <c r="AO145" s="124">
        <f t="shared" si="67"/>
        <v>0</v>
      </c>
      <c r="AP145" s="124">
        <f t="shared" si="68"/>
        <v>0</v>
      </c>
      <c r="AQ145" s="123" t="s">
        <v>85</v>
      </c>
      <c r="AV145" s="124">
        <f t="shared" si="69"/>
        <v>0</v>
      </c>
      <c r="AW145" s="124">
        <f t="shared" si="70"/>
        <v>0</v>
      </c>
      <c r="AX145" s="124">
        <f t="shared" si="71"/>
        <v>0</v>
      </c>
      <c r="AY145" s="125" t="s">
        <v>642</v>
      </c>
      <c r="AZ145" s="125" t="s">
        <v>1537</v>
      </c>
      <c r="BA145" s="113" t="s">
        <v>1542</v>
      </c>
      <c r="BC145" s="124">
        <f t="shared" si="72"/>
        <v>0</v>
      </c>
      <c r="BD145" s="124">
        <f t="shared" si="73"/>
        <v>0</v>
      </c>
      <c r="BE145" s="124">
        <v>0</v>
      </c>
      <c r="BF145" s="124">
        <f t="shared" si="74"/>
        <v>0</v>
      </c>
      <c r="BH145" s="122">
        <f t="shared" si="75"/>
        <v>0</v>
      </c>
      <c r="BI145" s="122">
        <f t="shared" si="76"/>
        <v>0</v>
      </c>
      <c r="BJ145" s="122">
        <f t="shared" si="77"/>
        <v>0</v>
      </c>
    </row>
    <row r="146" spans="1:62" s="174" customFormat="1" ht="12.75">
      <c r="A146" s="121" t="s">
        <v>181</v>
      </c>
      <c r="B146" s="121" t="s">
        <v>60</v>
      </c>
      <c r="C146" s="121" t="s">
        <v>1003</v>
      </c>
      <c r="D146" s="129" t="s">
        <v>1296</v>
      </c>
      <c r="E146" s="121" t="s">
        <v>606</v>
      </c>
      <c r="F146" s="122">
        <f>'Stavební rozpočet'!F312</f>
        <v>1</v>
      </c>
      <c r="G146" s="172"/>
      <c r="H146" s="122">
        <f t="shared" si="52"/>
        <v>0</v>
      </c>
      <c r="I146" s="122">
        <f t="shared" si="53"/>
        <v>0</v>
      </c>
      <c r="J146" s="122">
        <f t="shared" si="54"/>
        <v>0</v>
      </c>
      <c r="K146" s="122">
        <f>'Stavební rozpočet'!K312</f>
        <v>0</v>
      </c>
      <c r="L146" s="122">
        <f t="shared" si="55"/>
        <v>0</v>
      </c>
      <c r="M146" s="123" t="s">
        <v>622</v>
      </c>
      <c r="Z146" s="124">
        <f t="shared" si="56"/>
        <v>0</v>
      </c>
      <c r="AB146" s="124">
        <f t="shared" si="57"/>
        <v>0</v>
      </c>
      <c r="AC146" s="124">
        <f t="shared" si="58"/>
        <v>0</v>
      </c>
      <c r="AD146" s="124">
        <f t="shared" si="59"/>
        <v>0</v>
      </c>
      <c r="AE146" s="124">
        <f t="shared" si="60"/>
        <v>0</v>
      </c>
      <c r="AF146" s="124">
        <f t="shared" si="61"/>
        <v>0</v>
      </c>
      <c r="AG146" s="124">
        <f t="shared" si="62"/>
        <v>0</v>
      </c>
      <c r="AH146" s="124">
        <f t="shared" si="63"/>
        <v>0</v>
      </c>
      <c r="AI146" s="113" t="s">
        <v>60</v>
      </c>
      <c r="AJ146" s="122">
        <f t="shared" si="64"/>
        <v>0</v>
      </c>
      <c r="AK146" s="122">
        <f t="shared" si="65"/>
        <v>0</v>
      </c>
      <c r="AL146" s="122">
        <f t="shared" si="66"/>
        <v>0</v>
      </c>
      <c r="AN146" s="124">
        <v>15</v>
      </c>
      <c r="AO146" s="124">
        <f t="shared" si="67"/>
        <v>0</v>
      </c>
      <c r="AP146" s="124">
        <f t="shared" si="68"/>
        <v>0</v>
      </c>
      <c r="AQ146" s="123" t="s">
        <v>85</v>
      </c>
      <c r="AV146" s="124">
        <f t="shared" si="69"/>
        <v>0</v>
      </c>
      <c r="AW146" s="124">
        <f t="shared" si="70"/>
        <v>0</v>
      </c>
      <c r="AX146" s="124">
        <f t="shared" si="71"/>
        <v>0</v>
      </c>
      <c r="AY146" s="125" t="s">
        <v>642</v>
      </c>
      <c r="AZ146" s="125" t="s">
        <v>1537</v>
      </c>
      <c r="BA146" s="113" t="s">
        <v>1542</v>
      </c>
      <c r="BC146" s="124">
        <f t="shared" si="72"/>
        <v>0</v>
      </c>
      <c r="BD146" s="124">
        <f t="shared" si="73"/>
        <v>0</v>
      </c>
      <c r="BE146" s="124">
        <v>0</v>
      </c>
      <c r="BF146" s="124">
        <f t="shared" si="74"/>
        <v>0</v>
      </c>
      <c r="BH146" s="122">
        <f t="shared" si="75"/>
        <v>0</v>
      </c>
      <c r="BI146" s="122">
        <f t="shared" si="76"/>
        <v>0</v>
      </c>
      <c r="BJ146" s="122">
        <f t="shared" si="77"/>
        <v>0</v>
      </c>
    </row>
    <row r="147" spans="1:62" s="174" customFormat="1" ht="12.75">
      <c r="A147" s="121" t="s">
        <v>182</v>
      </c>
      <c r="B147" s="121" t="s">
        <v>60</v>
      </c>
      <c r="C147" s="121" t="s">
        <v>1004</v>
      </c>
      <c r="D147" s="129" t="s">
        <v>501</v>
      </c>
      <c r="E147" s="121" t="s">
        <v>611</v>
      </c>
      <c r="F147" s="122">
        <f>'Stavební rozpočet'!F313</f>
        <v>15</v>
      </c>
      <c r="G147" s="172"/>
      <c r="H147" s="122">
        <f t="shared" si="52"/>
        <v>0</v>
      </c>
      <c r="I147" s="122">
        <f t="shared" si="53"/>
        <v>0</v>
      </c>
      <c r="J147" s="122">
        <f t="shared" si="54"/>
        <v>0</v>
      </c>
      <c r="K147" s="122">
        <f>'Stavební rozpočet'!K313</f>
        <v>0</v>
      </c>
      <c r="L147" s="122">
        <f t="shared" si="55"/>
        <v>0</v>
      </c>
      <c r="M147" s="123" t="s">
        <v>622</v>
      </c>
      <c r="Z147" s="124">
        <f t="shared" si="56"/>
        <v>0</v>
      </c>
      <c r="AB147" s="124">
        <f t="shared" si="57"/>
        <v>0</v>
      </c>
      <c r="AC147" s="124">
        <f t="shared" si="58"/>
        <v>0</v>
      </c>
      <c r="AD147" s="124">
        <f t="shared" si="59"/>
        <v>0</v>
      </c>
      <c r="AE147" s="124">
        <f t="shared" si="60"/>
        <v>0</v>
      </c>
      <c r="AF147" s="124">
        <f t="shared" si="61"/>
        <v>0</v>
      </c>
      <c r="AG147" s="124">
        <f t="shared" si="62"/>
        <v>0</v>
      </c>
      <c r="AH147" s="124">
        <f t="shared" si="63"/>
        <v>0</v>
      </c>
      <c r="AI147" s="113" t="s">
        <v>60</v>
      </c>
      <c r="AJ147" s="122">
        <f t="shared" si="64"/>
        <v>0</v>
      </c>
      <c r="AK147" s="122">
        <f t="shared" si="65"/>
        <v>0</v>
      </c>
      <c r="AL147" s="122">
        <f t="shared" si="66"/>
        <v>0</v>
      </c>
      <c r="AN147" s="124">
        <v>15</v>
      </c>
      <c r="AO147" s="124">
        <f t="shared" si="67"/>
        <v>0</v>
      </c>
      <c r="AP147" s="124">
        <f t="shared" si="68"/>
        <v>0</v>
      </c>
      <c r="AQ147" s="123" t="s">
        <v>85</v>
      </c>
      <c r="AV147" s="124">
        <f t="shared" si="69"/>
        <v>0</v>
      </c>
      <c r="AW147" s="124">
        <f t="shared" si="70"/>
        <v>0</v>
      </c>
      <c r="AX147" s="124">
        <f t="shared" si="71"/>
        <v>0</v>
      </c>
      <c r="AY147" s="125" t="s">
        <v>642</v>
      </c>
      <c r="AZ147" s="125" t="s">
        <v>1537</v>
      </c>
      <c r="BA147" s="113" t="s">
        <v>1542</v>
      </c>
      <c r="BC147" s="124">
        <f t="shared" si="72"/>
        <v>0</v>
      </c>
      <c r="BD147" s="124">
        <f t="shared" si="73"/>
        <v>0</v>
      </c>
      <c r="BE147" s="124">
        <v>0</v>
      </c>
      <c r="BF147" s="124">
        <f t="shared" si="74"/>
        <v>0</v>
      </c>
      <c r="BH147" s="122">
        <f t="shared" si="75"/>
        <v>0</v>
      </c>
      <c r="BI147" s="122">
        <f t="shared" si="76"/>
        <v>0</v>
      </c>
      <c r="BJ147" s="122">
        <f t="shared" si="77"/>
        <v>0</v>
      </c>
    </row>
    <row r="148" spans="1:62" s="174" customFormat="1" ht="12.75">
      <c r="A148" s="121" t="s">
        <v>183</v>
      </c>
      <c r="B148" s="121" t="s">
        <v>60</v>
      </c>
      <c r="C148" s="121" t="s">
        <v>1005</v>
      </c>
      <c r="D148" s="129" t="s">
        <v>489</v>
      </c>
      <c r="E148" s="121" t="s">
        <v>606</v>
      </c>
      <c r="F148" s="122">
        <f>'Stavební rozpočet'!F314</f>
        <v>1</v>
      </c>
      <c r="G148" s="172"/>
      <c r="H148" s="122">
        <f t="shared" si="52"/>
        <v>0</v>
      </c>
      <c r="I148" s="122">
        <f t="shared" si="53"/>
        <v>0</v>
      </c>
      <c r="J148" s="122">
        <f t="shared" si="54"/>
        <v>0</v>
      </c>
      <c r="K148" s="122">
        <f>'Stavební rozpočet'!K314</f>
        <v>0</v>
      </c>
      <c r="L148" s="122">
        <f t="shared" si="55"/>
        <v>0</v>
      </c>
      <c r="M148" s="123" t="s">
        <v>622</v>
      </c>
      <c r="Z148" s="124">
        <f t="shared" si="56"/>
        <v>0</v>
      </c>
      <c r="AB148" s="124">
        <f t="shared" si="57"/>
        <v>0</v>
      </c>
      <c r="AC148" s="124">
        <f t="shared" si="58"/>
        <v>0</v>
      </c>
      <c r="AD148" s="124">
        <f t="shared" si="59"/>
        <v>0</v>
      </c>
      <c r="AE148" s="124">
        <f t="shared" si="60"/>
        <v>0</v>
      </c>
      <c r="AF148" s="124">
        <f t="shared" si="61"/>
        <v>0</v>
      </c>
      <c r="AG148" s="124">
        <f t="shared" si="62"/>
        <v>0</v>
      </c>
      <c r="AH148" s="124">
        <f t="shared" si="63"/>
        <v>0</v>
      </c>
      <c r="AI148" s="113" t="s">
        <v>60</v>
      </c>
      <c r="AJ148" s="122">
        <f t="shared" si="64"/>
        <v>0</v>
      </c>
      <c r="AK148" s="122">
        <f t="shared" si="65"/>
        <v>0</v>
      </c>
      <c r="AL148" s="122">
        <f t="shared" si="66"/>
        <v>0</v>
      </c>
      <c r="AN148" s="124">
        <v>15</v>
      </c>
      <c r="AO148" s="124">
        <f t="shared" si="67"/>
        <v>0</v>
      </c>
      <c r="AP148" s="124">
        <f t="shared" si="68"/>
        <v>0</v>
      </c>
      <c r="AQ148" s="123" t="s">
        <v>85</v>
      </c>
      <c r="AV148" s="124">
        <f t="shared" si="69"/>
        <v>0</v>
      </c>
      <c r="AW148" s="124">
        <f t="shared" si="70"/>
        <v>0</v>
      </c>
      <c r="AX148" s="124">
        <f t="shared" si="71"/>
        <v>0</v>
      </c>
      <c r="AY148" s="125" t="s">
        <v>642</v>
      </c>
      <c r="AZ148" s="125" t="s">
        <v>1537</v>
      </c>
      <c r="BA148" s="113" t="s">
        <v>1542</v>
      </c>
      <c r="BC148" s="124">
        <f t="shared" si="72"/>
        <v>0</v>
      </c>
      <c r="BD148" s="124">
        <f t="shared" si="73"/>
        <v>0</v>
      </c>
      <c r="BE148" s="124">
        <v>0</v>
      </c>
      <c r="BF148" s="124">
        <f t="shared" si="74"/>
        <v>0</v>
      </c>
      <c r="BH148" s="122">
        <f t="shared" si="75"/>
        <v>0</v>
      </c>
      <c r="BI148" s="122">
        <f t="shared" si="76"/>
        <v>0</v>
      </c>
      <c r="BJ148" s="122">
        <f t="shared" si="77"/>
        <v>0</v>
      </c>
    </row>
    <row r="149" spans="1:62" s="174" customFormat="1" ht="12.75">
      <c r="A149" s="121" t="s">
        <v>184</v>
      </c>
      <c r="B149" s="121" t="s">
        <v>60</v>
      </c>
      <c r="C149" s="121" t="s">
        <v>1006</v>
      </c>
      <c r="D149" s="129" t="s">
        <v>490</v>
      </c>
      <c r="E149" s="121" t="s">
        <v>606</v>
      </c>
      <c r="F149" s="122">
        <f>'Stavební rozpočet'!F315</f>
        <v>1</v>
      </c>
      <c r="G149" s="172"/>
      <c r="H149" s="122">
        <f t="shared" si="52"/>
        <v>0</v>
      </c>
      <c r="I149" s="122">
        <f t="shared" si="53"/>
        <v>0</v>
      </c>
      <c r="J149" s="122">
        <f t="shared" si="54"/>
        <v>0</v>
      </c>
      <c r="K149" s="122">
        <f>'Stavební rozpočet'!K315</f>
        <v>0</v>
      </c>
      <c r="L149" s="122">
        <f t="shared" si="55"/>
        <v>0</v>
      </c>
      <c r="M149" s="123" t="s">
        <v>622</v>
      </c>
      <c r="Z149" s="124">
        <f t="shared" si="56"/>
        <v>0</v>
      </c>
      <c r="AB149" s="124">
        <f t="shared" si="57"/>
        <v>0</v>
      </c>
      <c r="AC149" s="124">
        <f t="shared" si="58"/>
        <v>0</v>
      </c>
      <c r="AD149" s="124">
        <f t="shared" si="59"/>
        <v>0</v>
      </c>
      <c r="AE149" s="124">
        <f t="shared" si="60"/>
        <v>0</v>
      </c>
      <c r="AF149" s="124">
        <f t="shared" si="61"/>
        <v>0</v>
      </c>
      <c r="AG149" s="124">
        <f t="shared" si="62"/>
        <v>0</v>
      </c>
      <c r="AH149" s="124">
        <f t="shared" si="63"/>
        <v>0</v>
      </c>
      <c r="AI149" s="113" t="s">
        <v>60</v>
      </c>
      <c r="AJ149" s="122">
        <f t="shared" si="64"/>
        <v>0</v>
      </c>
      <c r="AK149" s="122">
        <f t="shared" si="65"/>
        <v>0</v>
      </c>
      <c r="AL149" s="122">
        <f t="shared" si="66"/>
        <v>0</v>
      </c>
      <c r="AN149" s="124">
        <v>15</v>
      </c>
      <c r="AO149" s="124">
        <f t="shared" si="67"/>
        <v>0</v>
      </c>
      <c r="AP149" s="124">
        <f t="shared" si="68"/>
        <v>0</v>
      </c>
      <c r="AQ149" s="123" t="s">
        <v>85</v>
      </c>
      <c r="AV149" s="124">
        <f t="shared" si="69"/>
        <v>0</v>
      </c>
      <c r="AW149" s="124">
        <f t="shared" si="70"/>
        <v>0</v>
      </c>
      <c r="AX149" s="124">
        <f t="shared" si="71"/>
        <v>0</v>
      </c>
      <c r="AY149" s="125" t="s">
        <v>642</v>
      </c>
      <c r="AZ149" s="125" t="s">
        <v>1537</v>
      </c>
      <c r="BA149" s="113" t="s">
        <v>1542</v>
      </c>
      <c r="BC149" s="124">
        <f t="shared" si="72"/>
        <v>0</v>
      </c>
      <c r="BD149" s="124">
        <f t="shared" si="73"/>
        <v>0</v>
      </c>
      <c r="BE149" s="124">
        <v>0</v>
      </c>
      <c r="BF149" s="124">
        <f t="shared" si="74"/>
        <v>0</v>
      </c>
      <c r="BH149" s="122">
        <f t="shared" si="75"/>
        <v>0</v>
      </c>
      <c r="BI149" s="122">
        <f t="shared" si="76"/>
        <v>0</v>
      </c>
      <c r="BJ149" s="122">
        <f t="shared" si="77"/>
        <v>0</v>
      </c>
    </row>
    <row r="150" spans="1:62" s="174" customFormat="1" ht="12.75">
      <c r="A150" s="121" t="s">
        <v>185</v>
      </c>
      <c r="B150" s="121" t="s">
        <v>60</v>
      </c>
      <c r="C150" s="121" t="s">
        <v>1007</v>
      </c>
      <c r="D150" s="129" t="s">
        <v>491</v>
      </c>
      <c r="E150" s="121" t="s">
        <v>606</v>
      </c>
      <c r="F150" s="122">
        <f>'Stavební rozpočet'!F316</f>
        <v>1</v>
      </c>
      <c r="G150" s="172"/>
      <c r="H150" s="122">
        <f t="shared" si="52"/>
        <v>0</v>
      </c>
      <c r="I150" s="122">
        <f t="shared" si="53"/>
        <v>0</v>
      </c>
      <c r="J150" s="122">
        <f t="shared" si="54"/>
        <v>0</v>
      </c>
      <c r="K150" s="122">
        <f>'Stavební rozpočet'!K316</f>
        <v>0</v>
      </c>
      <c r="L150" s="122">
        <f t="shared" si="55"/>
        <v>0</v>
      </c>
      <c r="M150" s="123" t="s">
        <v>622</v>
      </c>
      <c r="Z150" s="124">
        <f t="shared" si="56"/>
        <v>0</v>
      </c>
      <c r="AB150" s="124">
        <f t="shared" si="57"/>
        <v>0</v>
      </c>
      <c r="AC150" s="124">
        <f t="shared" si="58"/>
        <v>0</v>
      </c>
      <c r="AD150" s="124">
        <f t="shared" si="59"/>
        <v>0</v>
      </c>
      <c r="AE150" s="124">
        <f t="shared" si="60"/>
        <v>0</v>
      </c>
      <c r="AF150" s="124">
        <f t="shared" si="61"/>
        <v>0</v>
      </c>
      <c r="AG150" s="124">
        <f t="shared" si="62"/>
        <v>0</v>
      </c>
      <c r="AH150" s="124">
        <f t="shared" si="63"/>
        <v>0</v>
      </c>
      <c r="AI150" s="113" t="s">
        <v>60</v>
      </c>
      <c r="AJ150" s="122">
        <f t="shared" si="64"/>
        <v>0</v>
      </c>
      <c r="AK150" s="122">
        <f t="shared" si="65"/>
        <v>0</v>
      </c>
      <c r="AL150" s="122">
        <f t="shared" si="66"/>
        <v>0</v>
      </c>
      <c r="AN150" s="124">
        <v>15</v>
      </c>
      <c r="AO150" s="124">
        <f t="shared" si="67"/>
        <v>0</v>
      </c>
      <c r="AP150" s="124">
        <f t="shared" si="68"/>
        <v>0</v>
      </c>
      <c r="AQ150" s="123" t="s">
        <v>85</v>
      </c>
      <c r="AV150" s="124">
        <f t="shared" si="69"/>
        <v>0</v>
      </c>
      <c r="AW150" s="124">
        <f t="shared" si="70"/>
        <v>0</v>
      </c>
      <c r="AX150" s="124">
        <f t="shared" si="71"/>
        <v>0</v>
      </c>
      <c r="AY150" s="125" t="s">
        <v>642</v>
      </c>
      <c r="AZ150" s="125" t="s">
        <v>1537</v>
      </c>
      <c r="BA150" s="113" t="s">
        <v>1542</v>
      </c>
      <c r="BC150" s="124">
        <f t="shared" si="72"/>
        <v>0</v>
      </c>
      <c r="BD150" s="124">
        <f t="shared" si="73"/>
        <v>0</v>
      </c>
      <c r="BE150" s="124">
        <v>0</v>
      </c>
      <c r="BF150" s="124">
        <f t="shared" si="74"/>
        <v>0</v>
      </c>
      <c r="BH150" s="122">
        <f t="shared" si="75"/>
        <v>0</v>
      </c>
      <c r="BI150" s="122">
        <f t="shared" si="76"/>
        <v>0</v>
      </c>
      <c r="BJ150" s="122">
        <f t="shared" si="77"/>
        <v>0</v>
      </c>
    </row>
    <row r="151" spans="1:62" s="174" customFormat="1" ht="12.75">
      <c r="A151" s="121" t="s">
        <v>186</v>
      </c>
      <c r="B151" s="121" t="s">
        <v>60</v>
      </c>
      <c r="C151" s="121" t="s">
        <v>1008</v>
      </c>
      <c r="D151" s="129" t="s">
        <v>492</v>
      </c>
      <c r="E151" s="121" t="s">
        <v>606</v>
      </c>
      <c r="F151" s="122">
        <f>'Stavební rozpočet'!F317</f>
        <v>1</v>
      </c>
      <c r="G151" s="172"/>
      <c r="H151" s="122">
        <f t="shared" si="52"/>
        <v>0</v>
      </c>
      <c r="I151" s="122">
        <f t="shared" si="53"/>
        <v>0</v>
      </c>
      <c r="J151" s="122">
        <f t="shared" si="54"/>
        <v>0</v>
      </c>
      <c r="K151" s="122">
        <f>'Stavební rozpočet'!K317</f>
        <v>0</v>
      </c>
      <c r="L151" s="122">
        <f t="shared" si="55"/>
        <v>0</v>
      </c>
      <c r="M151" s="123" t="s">
        <v>622</v>
      </c>
      <c r="Z151" s="124">
        <f t="shared" si="56"/>
        <v>0</v>
      </c>
      <c r="AB151" s="124">
        <f t="shared" si="57"/>
        <v>0</v>
      </c>
      <c r="AC151" s="124">
        <f t="shared" si="58"/>
        <v>0</v>
      </c>
      <c r="AD151" s="124">
        <f t="shared" si="59"/>
        <v>0</v>
      </c>
      <c r="AE151" s="124">
        <f t="shared" si="60"/>
        <v>0</v>
      </c>
      <c r="AF151" s="124">
        <f t="shared" si="61"/>
        <v>0</v>
      </c>
      <c r="AG151" s="124">
        <f t="shared" si="62"/>
        <v>0</v>
      </c>
      <c r="AH151" s="124">
        <f t="shared" si="63"/>
        <v>0</v>
      </c>
      <c r="AI151" s="113" t="s">
        <v>60</v>
      </c>
      <c r="AJ151" s="122">
        <f t="shared" si="64"/>
        <v>0</v>
      </c>
      <c r="AK151" s="122">
        <f t="shared" si="65"/>
        <v>0</v>
      </c>
      <c r="AL151" s="122">
        <f t="shared" si="66"/>
        <v>0</v>
      </c>
      <c r="AN151" s="124">
        <v>15</v>
      </c>
      <c r="AO151" s="124">
        <f t="shared" si="67"/>
        <v>0</v>
      </c>
      <c r="AP151" s="124">
        <f t="shared" si="68"/>
        <v>0</v>
      </c>
      <c r="AQ151" s="123" t="s">
        <v>85</v>
      </c>
      <c r="AV151" s="124">
        <f t="shared" si="69"/>
        <v>0</v>
      </c>
      <c r="AW151" s="124">
        <f t="shared" si="70"/>
        <v>0</v>
      </c>
      <c r="AX151" s="124">
        <f t="shared" si="71"/>
        <v>0</v>
      </c>
      <c r="AY151" s="125" t="s">
        <v>642</v>
      </c>
      <c r="AZ151" s="125" t="s">
        <v>1537</v>
      </c>
      <c r="BA151" s="113" t="s">
        <v>1542</v>
      </c>
      <c r="BC151" s="124">
        <f t="shared" si="72"/>
        <v>0</v>
      </c>
      <c r="BD151" s="124">
        <f t="shared" si="73"/>
        <v>0</v>
      </c>
      <c r="BE151" s="124">
        <v>0</v>
      </c>
      <c r="BF151" s="124">
        <f t="shared" si="74"/>
        <v>0</v>
      </c>
      <c r="BH151" s="122">
        <f t="shared" si="75"/>
        <v>0</v>
      </c>
      <c r="BI151" s="122">
        <f t="shared" si="76"/>
        <v>0</v>
      </c>
      <c r="BJ151" s="122">
        <f t="shared" si="77"/>
        <v>0</v>
      </c>
    </row>
    <row r="152" spans="1:62" s="174" customFormat="1" ht="12.75">
      <c r="A152" s="121" t="s">
        <v>187</v>
      </c>
      <c r="B152" s="121" t="s">
        <v>60</v>
      </c>
      <c r="C152" s="121" t="s">
        <v>1009</v>
      </c>
      <c r="D152" s="129" t="s">
        <v>493</v>
      </c>
      <c r="E152" s="121" t="s">
        <v>606</v>
      </c>
      <c r="F152" s="122">
        <f>'Stavební rozpočet'!F318</f>
        <v>1</v>
      </c>
      <c r="G152" s="172"/>
      <c r="H152" s="122">
        <f t="shared" si="52"/>
        <v>0</v>
      </c>
      <c r="I152" s="122">
        <f t="shared" si="53"/>
        <v>0</v>
      </c>
      <c r="J152" s="122">
        <f t="shared" si="54"/>
        <v>0</v>
      </c>
      <c r="K152" s="122">
        <f>'Stavební rozpočet'!K318</f>
        <v>0</v>
      </c>
      <c r="L152" s="122">
        <f t="shared" si="55"/>
        <v>0</v>
      </c>
      <c r="M152" s="123" t="s">
        <v>622</v>
      </c>
      <c r="Z152" s="124">
        <f t="shared" si="56"/>
        <v>0</v>
      </c>
      <c r="AB152" s="124">
        <f t="shared" si="57"/>
        <v>0</v>
      </c>
      <c r="AC152" s="124">
        <f t="shared" si="58"/>
        <v>0</v>
      </c>
      <c r="AD152" s="124">
        <f t="shared" si="59"/>
        <v>0</v>
      </c>
      <c r="AE152" s="124">
        <f t="shared" si="60"/>
        <v>0</v>
      </c>
      <c r="AF152" s="124">
        <f t="shared" si="61"/>
        <v>0</v>
      </c>
      <c r="AG152" s="124">
        <f t="shared" si="62"/>
        <v>0</v>
      </c>
      <c r="AH152" s="124">
        <f t="shared" si="63"/>
        <v>0</v>
      </c>
      <c r="AI152" s="113" t="s">
        <v>60</v>
      </c>
      <c r="AJ152" s="122">
        <f t="shared" si="64"/>
        <v>0</v>
      </c>
      <c r="AK152" s="122">
        <f t="shared" si="65"/>
        <v>0</v>
      </c>
      <c r="AL152" s="122">
        <f t="shared" si="66"/>
        <v>0</v>
      </c>
      <c r="AN152" s="124">
        <v>15</v>
      </c>
      <c r="AO152" s="124">
        <f t="shared" si="67"/>
        <v>0</v>
      </c>
      <c r="AP152" s="124">
        <f t="shared" si="68"/>
        <v>0</v>
      </c>
      <c r="AQ152" s="123" t="s">
        <v>85</v>
      </c>
      <c r="AV152" s="124">
        <f t="shared" si="69"/>
        <v>0</v>
      </c>
      <c r="AW152" s="124">
        <f t="shared" si="70"/>
        <v>0</v>
      </c>
      <c r="AX152" s="124">
        <f t="shared" si="71"/>
        <v>0</v>
      </c>
      <c r="AY152" s="125" t="s">
        <v>642</v>
      </c>
      <c r="AZ152" s="125" t="s">
        <v>1537</v>
      </c>
      <c r="BA152" s="113" t="s">
        <v>1542</v>
      </c>
      <c r="BC152" s="124">
        <f t="shared" si="72"/>
        <v>0</v>
      </c>
      <c r="BD152" s="124">
        <f t="shared" si="73"/>
        <v>0</v>
      </c>
      <c r="BE152" s="124">
        <v>0</v>
      </c>
      <c r="BF152" s="124">
        <f t="shared" si="74"/>
        <v>0</v>
      </c>
      <c r="BH152" s="122">
        <f t="shared" si="75"/>
        <v>0</v>
      </c>
      <c r="BI152" s="122">
        <f t="shared" si="76"/>
        <v>0</v>
      </c>
      <c r="BJ152" s="122">
        <f t="shared" si="77"/>
        <v>0</v>
      </c>
    </row>
    <row r="153" spans="1:47" s="174" customFormat="1" ht="12.75">
      <c r="A153" s="118"/>
      <c r="B153" s="119" t="s">
        <v>60</v>
      </c>
      <c r="C153" s="119" t="s">
        <v>301</v>
      </c>
      <c r="D153" s="136" t="s">
        <v>494</v>
      </c>
      <c r="E153" s="118" t="s">
        <v>57</v>
      </c>
      <c r="F153" s="118" t="s">
        <v>57</v>
      </c>
      <c r="G153" s="118"/>
      <c r="H153" s="120">
        <f>SUM(H154:H200)</f>
        <v>0</v>
      </c>
      <c r="I153" s="120">
        <f>SUM(I154:I200)</f>
        <v>0</v>
      </c>
      <c r="J153" s="120">
        <f>SUM(J154:J200)</f>
        <v>0</v>
      </c>
      <c r="K153" s="113"/>
      <c r="L153" s="120">
        <f>SUM(L154:L200)</f>
        <v>0</v>
      </c>
      <c r="M153" s="113"/>
      <c r="AI153" s="113" t="s">
        <v>60</v>
      </c>
      <c r="AS153" s="120">
        <f>SUM(AJ154:AJ200)</f>
        <v>0</v>
      </c>
      <c r="AT153" s="120">
        <f>SUM(AK154:AK200)</f>
        <v>0</v>
      </c>
      <c r="AU153" s="120">
        <f>SUM(AL154:AL200)</f>
        <v>0</v>
      </c>
    </row>
    <row r="154" spans="1:62" s="174" customFormat="1" ht="12.75" hidden="1">
      <c r="A154" s="121" t="s">
        <v>188</v>
      </c>
      <c r="B154" s="121" t="s">
        <v>60</v>
      </c>
      <c r="C154" s="121" t="s">
        <v>302</v>
      </c>
      <c r="D154" s="129" t="s">
        <v>495</v>
      </c>
      <c r="E154" s="121" t="s">
        <v>609</v>
      </c>
      <c r="F154" s="122">
        <f>'Stavební rozpočet'!F320</f>
        <v>0</v>
      </c>
      <c r="G154" s="172"/>
      <c r="H154" s="122">
        <f aca="true" t="shared" si="78" ref="H154:H200">F154*AO154</f>
        <v>0</v>
      </c>
      <c r="I154" s="122">
        <f aca="true" t="shared" si="79" ref="I154:I200">F154*AP154</f>
        <v>0</v>
      </c>
      <c r="J154" s="122">
        <f aca="true" t="shared" si="80" ref="J154:J200">F154*G154</f>
        <v>0</v>
      </c>
      <c r="K154" s="122">
        <f>'Stavební rozpočet'!K320</f>
        <v>0</v>
      </c>
      <c r="L154" s="122">
        <f aca="true" t="shared" si="81" ref="L154:L200">F154*K154</f>
        <v>0</v>
      </c>
      <c r="M154" s="123" t="s">
        <v>622</v>
      </c>
      <c r="Z154" s="124">
        <f aca="true" t="shared" si="82" ref="Z154:Z200">IF(AQ154="5",BJ154,0)</f>
        <v>0</v>
      </c>
      <c r="AB154" s="124">
        <f aca="true" t="shared" si="83" ref="AB154:AB200">IF(AQ154="1",BH154,0)</f>
        <v>0</v>
      </c>
      <c r="AC154" s="124">
        <f aca="true" t="shared" si="84" ref="AC154:AC200">IF(AQ154="1",BI154,0)</f>
        <v>0</v>
      </c>
      <c r="AD154" s="124">
        <f aca="true" t="shared" si="85" ref="AD154:AD200">IF(AQ154="7",BH154,0)</f>
        <v>0</v>
      </c>
      <c r="AE154" s="124">
        <f aca="true" t="shared" si="86" ref="AE154:AE200">IF(AQ154="7",BI154,0)</f>
        <v>0</v>
      </c>
      <c r="AF154" s="124">
        <f aca="true" t="shared" si="87" ref="AF154:AF200">IF(AQ154="2",BH154,0)</f>
        <v>0</v>
      </c>
      <c r="AG154" s="124">
        <f aca="true" t="shared" si="88" ref="AG154:AG200">IF(AQ154="2",BI154,0)</f>
        <v>0</v>
      </c>
      <c r="AH154" s="124">
        <f aca="true" t="shared" si="89" ref="AH154:AH200">IF(AQ154="0",BJ154,0)</f>
        <v>0</v>
      </c>
      <c r="AI154" s="113" t="s">
        <v>60</v>
      </c>
      <c r="AJ154" s="122">
        <f aca="true" t="shared" si="90" ref="AJ154:AJ200">IF(AN154=0,J154,0)</f>
        <v>0</v>
      </c>
      <c r="AK154" s="122">
        <f aca="true" t="shared" si="91" ref="AK154:AK200">IF(AN154=15,J154,0)</f>
        <v>0</v>
      </c>
      <c r="AL154" s="122">
        <f aca="true" t="shared" si="92" ref="AL154:AL200">IF(AN154=21,J154,0)</f>
        <v>0</v>
      </c>
      <c r="AN154" s="124">
        <v>15</v>
      </c>
      <c r="AO154" s="124">
        <f aca="true" t="shared" si="93" ref="AO154:AO200">G154*0</f>
        <v>0</v>
      </c>
      <c r="AP154" s="124">
        <f aca="true" t="shared" si="94" ref="AP154:AP200">G154*(1-0)</f>
        <v>0</v>
      </c>
      <c r="AQ154" s="123" t="s">
        <v>85</v>
      </c>
      <c r="AV154" s="124">
        <f aca="true" t="shared" si="95" ref="AV154:AV200">AW154+AX154</f>
        <v>0</v>
      </c>
      <c r="AW154" s="124">
        <f aca="true" t="shared" si="96" ref="AW154:AW200">F154*AO154</f>
        <v>0</v>
      </c>
      <c r="AX154" s="124">
        <f aca="true" t="shared" si="97" ref="AX154:AX200">F154*AP154</f>
        <v>0</v>
      </c>
      <c r="AY154" s="125" t="s">
        <v>643</v>
      </c>
      <c r="AZ154" s="125" t="s">
        <v>1537</v>
      </c>
      <c r="BA154" s="113" t="s">
        <v>1542</v>
      </c>
      <c r="BC154" s="124">
        <f aca="true" t="shared" si="98" ref="BC154:BC200">AW154+AX154</f>
        <v>0</v>
      </c>
      <c r="BD154" s="124">
        <f aca="true" t="shared" si="99" ref="BD154:BD200">G154/(100-BE154)*100</f>
        <v>0</v>
      </c>
      <c r="BE154" s="124">
        <v>0</v>
      </c>
      <c r="BF154" s="124">
        <f aca="true" t="shared" si="100" ref="BF154:BF200">L154</f>
        <v>0</v>
      </c>
      <c r="BH154" s="122">
        <f aca="true" t="shared" si="101" ref="BH154:BH200">F154*AO154</f>
        <v>0</v>
      </c>
      <c r="BI154" s="122">
        <f aca="true" t="shared" si="102" ref="BI154:BI200">F154*AP154</f>
        <v>0</v>
      </c>
      <c r="BJ154" s="122">
        <f aca="true" t="shared" si="103" ref="BJ154:BJ200">F154*G154</f>
        <v>0</v>
      </c>
    </row>
    <row r="155" spans="1:62" s="174" customFormat="1" ht="12.75">
      <c r="A155" s="121" t="s">
        <v>189</v>
      </c>
      <c r="B155" s="121" t="s">
        <v>60</v>
      </c>
      <c r="C155" s="121" t="s">
        <v>303</v>
      </c>
      <c r="D155" s="129" t="s">
        <v>1297</v>
      </c>
      <c r="E155" s="121" t="s">
        <v>609</v>
      </c>
      <c r="F155" s="122">
        <f>'Stavební rozpočet'!F321</f>
        <v>76.5</v>
      </c>
      <c r="G155" s="172"/>
      <c r="H155" s="122">
        <f t="shared" si="78"/>
        <v>0</v>
      </c>
      <c r="I155" s="122">
        <f t="shared" si="79"/>
        <v>0</v>
      </c>
      <c r="J155" s="122">
        <f t="shared" si="80"/>
        <v>0</v>
      </c>
      <c r="K155" s="122">
        <f>'Stavební rozpočet'!K321</f>
        <v>0</v>
      </c>
      <c r="L155" s="122">
        <f t="shared" si="81"/>
        <v>0</v>
      </c>
      <c r="M155" s="123" t="s">
        <v>622</v>
      </c>
      <c r="Z155" s="124">
        <f t="shared" si="82"/>
        <v>0</v>
      </c>
      <c r="AB155" s="124">
        <f t="shared" si="83"/>
        <v>0</v>
      </c>
      <c r="AC155" s="124">
        <f t="shared" si="84"/>
        <v>0</v>
      </c>
      <c r="AD155" s="124">
        <f t="shared" si="85"/>
        <v>0</v>
      </c>
      <c r="AE155" s="124">
        <f t="shared" si="86"/>
        <v>0</v>
      </c>
      <c r="AF155" s="124">
        <f t="shared" si="87"/>
        <v>0</v>
      </c>
      <c r="AG155" s="124">
        <f t="shared" si="88"/>
        <v>0</v>
      </c>
      <c r="AH155" s="124">
        <f t="shared" si="89"/>
        <v>0</v>
      </c>
      <c r="AI155" s="113" t="s">
        <v>60</v>
      </c>
      <c r="AJ155" s="122">
        <f t="shared" si="90"/>
        <v>0</v>
      </c>
      <c r="AK155" s="122">
        <f t="shared" si="91"/>
        <v>0</v>
      </c>
      <c r="AL155" s="122">
        <f t="shared" si="92"/>
        <v>0</v>
      </c>
      <c r="AN155" s="124">
        <v>15</v>
      </c>
      <c r="AO155" s="124">
        <f t="shared" si="93"/>
        <v>0</v>
      </c>
      <c r="AP155" s="124">
        <f t="shared" si="94"/>
        <v>0</v>
      </c>
      <c r="AQ155" s="123" t="s">
        <v>85</v>
      </c>
      <c r="AV155" s="124">
        <f t="shared" si="95"/>
        <v>0</v>
      </c>
      <c r="AW155" s="124">
        <f t="shared" si="96"/>
        <v>0</v>
      </c>
      <c r="AX155" s="124">
        <f t="shared" si="97"/>
        <v>0</v>
      </c>
      <c r="AY155" s="125" t="s">
        <v>643</v>
      </c>
      <c r="AZ155" s="125" t="s">
        <v>1537</v>
      </c>
      <c r="BA155" s="113" t="s">
        <v>1542</v>
      </c>
      <c r="BC155" s="124">
        <f t="shared" si="98"/>
        <v>0</v>
      </c>
      <c r="BD155" s="124">
        <f t="shared" si="99"/>
        <v>0</v>
      </c>
      <c r="BE155" s="124">
        <v>0</v>
      </c>
      <c r="BF155" s="124">
        <f t="shared" si="100"/>
        <v>0</v>
      </c>
      <c r="BH155" s="122">
        <f t="shared" si="101"/>
        <v>0</v>
      </c>
      <c r="BI155" s="122">
        <f t="shared" si="102"/>
        <v>0</v>
      </c>
      <c r="BJ155" s="122">
        <f t="shared" si="103"/>
        <v>0</v>
      </c>
    </row>
    <row r="156" spans="1:62" s="174" customFormat="1" ht="12.75">
      <c r="A156" s="121" t="s">
        <v>190</v>
      </c>
      <c r="B156" s="121" t="s">
        <v>60</v>
      </c>
      <c r="C156" s="121" t="s">
        <v>1010</v>
      </c>
      <c r="D156" s="129" t="s">
        <v>1298</v>
      </c>
      <c r="E156" s="121" t="s">
        <v>609</v>
      </c>
      <c r="F156" s="122">
        <f>'Stavební rozpočet'!F322</f>
        <v>9.3</v>
      </c>
      <c r="G156" s="172"/>
      <c r="H156" s="122">
        <f t="shared" si="78"/>
        <v>0</v>
      </c>
      <c r="I156" s="122">
        <f t="shared" si="79"/>
        <v>0</v>
      </c>
      <c r="J156" s="122">
        <f t="shared" si="80"/>
        <v>0</v>
      </c>
      <c r="K156" s="122">
        <f>'Stavební rozpočet'!K322</f>
        <v>0</v>
      </c>
      <c r="L156" s="122">
        <f t="shared" si="81"/>
        <v>0</v>
      </c>
      <c r="M156" s="123" t="s">
        <v>622</v>
      </c>
      <c r="Z156" s="124">
        <f t="shared" si="82"/>
        <v>0</v>
      </c>
      <c r="AB156" s="124">
        <f t="shared" si="83"/>
        <v>0</v>
      </c>
      <c r="AC156" s="124">
        <f t="shared" si="84"/>
        <v>0</v>
      </c>
      <c r="AD156" s="124">
        <f t="shared" si="85"/>
        <v>0</v>
      </c>
      <c r="AE156" s="124">
        <f t="shared" si="86"/>
        <v>0</v>
      </c>
      <c r="AF156" s="124">
        <f t="shared" si="87"/>
        <v>0</v>
      </c>
      <c r="AG156" s="124">
        <f t="shared" si="88"/>
        <v>0</v>
      </c>
      <c r="AH156" s="124">
        <f t="shared" si="89"/>
        <v>0</v>
      </c>
      <c r="AI156" s="113" t="s">
        <v>60</v>
      </c>
      <c r="AJ156" s="122">
        <f t="shared" si="90"/>
        <v>0</v>
      </c>
      <c r="AK156" s="122">
        <f t="shared" si="91"/>
        <v>0</v>
      </c>
      <c r="AL156" s="122">
        <f t="shared" si="92"/>
        <v>0</v>
      </c>
      <c r="AN156" s="124">
        <v>15</v>
      </c>
      <c r="AO156" s="124">
        <f t="shared" si="93"/>
        <v>0</v>
      </c>
      <c r="AP156" s="124">
        <f t="shared" si="94"/>
        <v>0</v>
      </c>
      <c r="AQ156" s="123" t="s">
        <v>85</v>
      </c>
      <c r="AV156" s="124">
        <f t="shared" si="95"/>
        <v>0</v>
      </c>
      <c r="AW156" s="124">
        <f t="shared" si="96"/>
        <v>0</v>
      </c>
      <c r="AX156" s="124">
        <f t="shared" si="97"/>
        <v>0</v>
      </c>
      <c r="AY156" s="125" t="s">
        <v>643</v>
      </c>
      <c r="AZ156" s="125" t="s">
        <v>1537</v>
      </c>
      <c r="BA156" s="113" t="s">
        <v>1542</v>
      </c>
      <c r="BC156" s="124">
        <f t="shared" si="98"/>
        <v>0</v>
      </c>
      <c r="BD156" s="124">
        <f t="shared" si="99"/>
        <v>0</v>
      </c>
      <c r="BE156" s="124">
        <v>0</v>
      </c>
      <c r="BF156" s="124">
        <f t="shared" si="100"/>
        <v>0</v>
      </c>
      <c r="BH156" s="122">
        <f t="shared" si="101"/>
        <v>0</v>
      </c>
      <c r="BI156" s="122">
        <f t="shared" si="102"/>
        <v>0</v>
      </c>
      <c r="BJ156" s="122">
        <f t="shared" si="103"/>
        <v>0</v>
      </c>
    </row>
    <row r="157" spans="1:62" s="174" customFormat="1" ht="12.75">
      <c r="A157" s="121" t="s">
        <v>191</v>
      </c>
      <c r="B157" s="121" t="s">
        <v>60</v>
      </c>
      <c r="C157" s="121" t="s">
        <v>1011</v>
      </c>
      <c r="D157" s="129" t="s">
        <v>1299</v>
      </c>
      <c r="E157" s="121" t="s">
        <v>609</v>
      </c>
      <c r="F157" s="122">
        <f>'Stavební rozpočet'!F323</f>
        <v>5.8</v>
      </c>
      <c r="G157" s="172"/>
      <c r="H157" s="122">
        <f t="shared" si="78"/>
        <v>0</v>
      </c>
      <c r="I157" s="122">
        <f t="shared" si="79"/>
        <v>0</v>
      </c>
      <c r="J157" s="122">
        <f t="shared" si="80"/>
        <v>0</v>
      </c>
      <c r="K157" s="122">
        <f>'Stavební rozpočet'!K323</f>
        <v>0</v>
      </c>
      <c r="L157" s="122">
        <f t="shared" si="81"/>
        <v>0</v>
      </c>
      <c r="M157" s="123" t="s">
        <v>622</v>
      </c>
      <c r="Z157" s="124">
        <f t="shared" si="82"/>
        <v>0</v>
      </c>
      <c r="AB157" s="124">
        <f t="shared" si="83"/>
        <v>0</v>
      </c>
      <c r="AC157" s="124">
        <f t="shared" si="84"/>
        <v>0</v>
      </c>
      <c r="AD157" s="124">
        <f t="shared" si="85"/>
        <v>0</v>
      </c>
      <c r="AE157" s="124">
        <f t="shared" si="86"/>
        <v>0</v>
      </c>
      <c r="AF157" s="124">
        <f t="shared" si="87"/>
        <v>0</v>
      </c>
      <c r="AG157" s="124">
        <f t="shared" si="88"/>
        <v>0</v>
      </c>
      <c r="AH157" s="124">
        <f t="shared" si="89"/>
        <v>0</v>
      </c>
      <c r="AI157" s="113" t="s">
        <v>60</v>
      </c>
      <c r="AJ157" s="122">
        <f t="shared" si="90"/>
        <v>0</v>
      </c>
      <c r="AK157" s="122">
        <f t="shared" si="91"/>
        <v>0</v>
      </c>
      <c r="AL157" s="122">
        <f t="shared" si="92"/>
        <v>0</v>
      </c>
      <c r="AN157" s="124">
        <v>15</v>
      </c>
      <c r="AO157" s="124">
        <f t="shared" si="93"/>
        <v>0</v>
      </c>
      <c r="AP157" s="124">
        <f t="shared" si="94"/>
        <v>0</v>
      </c>
      <c r="AQ157" s="123" t="s">
        <v>85</v>
      </c>
      <c r="AV157" s="124">
        <f t="shared" si="95"/>
        <v>0</v>
      </c>
      <c r="AW157" s="124">
        <f t="shared" si="96"/>
        <v>0</v>
      </c>
      <c r="AX157" s="124">
        <f t="shared" si="97"/>
        <v>0</v>
      </c>
      <c r="AY157" s="125" t="s">
        <v>643</v>
      </c>
      <c r="AZ157" s="125" t="s">
        <v>1537</v>
      </c>
      <c r="BA157" s="113" t="s">
        <v>1542</v>
      </c>
      <c r="BC157" s="124">
        <f t="shared" si="98"/>
        <v>0</v>
      </c>
      <c r="BD157" s="124">
        <f t="shared" si="99"/>
        <v>0</v>
      </c>
      <c r="BE157" s="124">
        <v>0</v>
      </c>
      <c r="BF157" s="124">
        <f t="shared" si="100"/>
        <v>0</v>
      </c>
      <c r="BH157" s="122">
        <f t="shared" si="101"/>
        <v>0</v>
      </c>
      <c r="BI157" s="122">
        <f t="shared" si="102"/>
        <v>0</v>
      </c>
      <c r="BJ157" s="122">
        <f t="shared" si="103"/>
        <v>0</v>
      </c>
    </row>
    <row r="158" spans="1:62" s="174" customFormat="1" ht="12.75">
      <c r="A158" s="121" t="s">
        <v>192</v>
      </c>
      <c r="B158" s="121" t="s">
        <v>60</v>
      </c>
      <c r="C158" s="121" t="s">
        <v>304</v>
      </c>
      <c r="D158" s="129" t="s">
        <v>1300</v>
      </c>
      <c r="E158" s="121" t="s">
        <v>609</v>
      </c>
      <c r="F158" s="122">
        <f>'Stavební rozpočet'!F324</f>
        <v>0.5</v>
      </c>
      <c r="G158" s="172"/>
      <c r="H158" s="122">
        <f t="shared" si="78"/>
        <v>0</v>
      </c>
      <c r="I158" s="122">
        <f t="shared" si="79"/>
        <v>0</v>
      </c>
      <c r="J158" s="122">
        <f t="shared" si="80"/>
        <v>0</v>
      </c>
      <c r="K158" s="122">
        <f>'Stavební rozpočet'!K324</f>
        <v>0</v>
      </c>
      <c r="L158" s="122">
        <f t="shared" si="81"/>
        <v>0</v>
      </c>
      <c r="M158" s="123" t="s">
        <v>622</v>
      </c>
      <c r="Z158" s="124">
        <f t="shared" si="82"/>
        <v>0</v>
      </c>
      <c r="AB158" s="124">
        <f t="shared" si="83"/>
        <v>0</v>
      </c>
      <c r="AC158" s="124">
        <f t="shared" si="84"/>
        <v>0</v>
      </c>
      <c r="AD158" s="124">
        <f t="shared" si="85"/>
        <v>0</v>
      </c>
      <c r="AE158" s="124">
        <f t="shared" si="86"/>
        <v>0</v>
      </c>
      <c r="AF158" s="124">
        <f t="shared" si="87"/>
        <v>0</v>
      </c>
      <c r="AG158" s="124">
        <f t="shared" si="88"/>
        <v>0</v>
      </c>
      <c r="AH158" s="124">
        <f t="shared" si="89"/>
        <v>0</v>
      </c>
      <c r="AI158" s="113" t="s">
        <v>60</v>
      </c>
      <c r="AJ158" s="122">
        <f t="shared" si="90"/>
        <v>0</v>
      </c>
      <c r="AK158" s="122">
        <f t="shared" si="91"/>
        <v>0</v>
      </c>
      <c r="AL158" s="122">
        <f t="shared" si="92"/>
        <v>0</v>
      </c>
      <c r="AN158" s="124">
        <v>15</v>
      </c>
      <c r="AO158" s="124">
        <f t="shared" si="93"/>
        <v>0</v>
      </c>
      <c r="AP158" s="124">
        <f t="shared" si="94"/>
        <v>0</v>
      </c>
      <c r="AQ158" s="123" t="s">
        <v>85</v>
      </c>
      <c r="AV158" s="124">
        <f t="shared" si="95"/>
        <v>0</v>
      </c>
      <c r="AW158" s="124">
        <f t="shared" si="96"/>
        <v>0</v>
      </c>
      <c r="AX158" s="124">
        <f t="shared" si="97"/>
        <v>0</v>
      </c>
      <c r="AY158" s="125" t="s">
        <v>643</v>
      </c>
      <c r="AZ158" s="125" t="s">
        <v>1537</v>
      </c>
      <c r="BA158" s="113" t="s">
        <v>1542</v>
      </c>
      <c r="BC158" s="124">
        <f t="shared" si="98"/>
        <v>0</v>
      </c>
      <c r="BD158" s="124">
        <f t="shared" si="99"/>
        <v>0</v>
      </c>
      <c r="BE158" s="124">
        <v>0</v>
      </c>
      <c r="BF158" s="124">
        <f t="shared" si="100"/>
        <v>0</v>
      </c>
      <c r="BH158" s="122">
        <f t="shared" si="101"/>
        <v>0</v>
      </c>
      <c r="BI158" s="122">
        <f t="shared" si="102"/>
        <v>0</v>
      </c>
      <c r="BJ158" s="122">
        <f t="shared" si="103"/>
        <v>0</v>
      </c>
    </row>
    <row r="159" spans="1:62" s="174" customFormat="1" ht="12.75">
      <c r="A159" s="121" t="s">
        <v>193</v>
      </c>
      <c r="B159" s="121" t="s">
        <v>60</v>
      </c>
      <c r="C159" s="121" t="s">
        <v>1012</v>
      </c>
      <c r="D159" s="129" t="s">
        <v>1301</v>
      </c>
      <c r="E159" s="121" t="s">
        <v>609</v>
      </c>
      <c r="F159" s="122">
        <f>'Stavební rozpočet'!F325</f>
        <v>3.1</v>
      </c>
      <c r="G159" s="172"/>
      <c r="H159" s="122">
        <f t="shared" si="78"/>
        <v>0</v>
      </c>
      <c r="I159" s="122">
        <f t="shared" si="79"/>
        <v>0</v>
      </c>
      <c r="J159" s="122">
        <f t="shared" si="80"/>
        <v>0</v>
      </c>
      <c r="K159" s="122">
        <f>'Stavební rozpočet'!K325</f>
        <v>0</v>
      </c>
      <c r="L159" s="122">
        <f t="shared" si="81"/>
        <v>0</v>
      </c>
      <c r="M159" s="123" t="s">
        <v>622</v>
      </c>
      <c r="Z159" s="124">
        <f t="shared" si="82"/>
        <v>0</v>
      </c>
      <c r="AB159" s="124">
        <f t="shared" si="83"/>
        <v>0</v>
      </c>
      <c r="AC159" s="124">
        <f t="shared" si="84"/>
        <v>0</v>
      </c>
      <c r="AD159" s="124">
        <f t="shared" si="85"/>
        <v>0</v>
      </c>
      <c r="AE159" s="124">
        <f t="shared" si="86"/>
        <v>0</v>
      </c>
      <c r="AF159" s="124">
        <f t="shared" si="87"/>
        <v>0</v>
      </c>
      <c r="AG159" s="124">
        <f t="shared" si="88"/>
        <v>0</v>
      </c>
      <c r="AH159" s="124">
        <f t="shared" si="89"/>
        <v>0</v>
      </c>
      <c r="AI159" s="113" t="s">
        <v>60</v>
      </c>
      <c r="AJ159" s="122">
        <f t="shared" si="90"/>
        <v>0</v>
      </c>
      <c r="AK159" s="122">
        <f t="shared" si="91"/>
        <v>0</v>
      </c>
      <c r="AL159" s="122">
        <f t="shared" si="92"/>
        <v>0</v>
      </c>
      <c r="AN159" s="124">
        <v>15</v>
      </c>
      <c r="AO159" s="124">
        <f t="shared" si="93"/>
        <v>0</v>
      </c>
      <c r="AP159" s="124">
        <f t="shared" si="94"/>
        <v>0</v>
      </c>
      <c r="AQ159" s="123" t="s">
        <v>85</v>
      </c>
      <c r="AV159" s="124">
        <f t="shared" si="95"/>
        <v>0</v>
      </c>
      <c r="AW159" s="124">
        <f t="shared" si="96"/>
        <v>0</v>
      </c>
      <c r="AX159" s="124">
        <f t="shared" si="97"/>
        <v>0</v>
      </c>
      <c r="AY159" s="125" t="s">
        <v>643</v>
      </c>
      <c r="AZ159" s="125" t="s">
        <v>1537</v>
      </c>
      <c r="BA159" s="113" t="s">
        <v>1542</v>
      </c>
      <c r="BC159" s="124">
        <f t="shared" si="98"/>
        <v>0</v>
      </c>
      <c r="BD159" s="124">
        <f t="shared" si="99"/>
        <v>0</v>
      </c>
      <c r="BE159" s="124">
        <v>0</v>
      </c>
      <c r="BF159" s="124">
        <f t="shared" si="100"/>
        <v>0</v>
      </c>
      <c r="BH159" s="122">
        <f t="shared" si="101"/>
        <v>0</v>
      </c>
      <c r="BI159" s="122">
        <f t="shared" si="102"/>
        <v>0</v>
      </c>
      <c r="BJ159" s="122">
        <f t="shared" si="103"/>
        <v>0</v>
      </c>
    </row>
    <row r="160" spans="1:62" s="174" customFormat="1" ht="12.75">
      <c r="A160" s="121" t="s">
        <v>194</v>
      </c>
      <c r="B160" s="121" t="s">
        <v>60</v>
      </c>
      <c r="C160" s="121" t="s">
        <v>305</v>
      </c>
      <c r="D160" s="129" t="s">
        <v>1302</v>
      </c>
      <c r="E160" s="121" t="s">
        <v>609</v>
      </c>
      <c r="F160" s="122">
        <f>'Stavební rozpočet'!F326</f>
        <v>18.9</v>
      </c>
      <c r="G160" s="172"/>
      <c r="H160" s="122">
        <f t="shared" si="78"/>
        <v>0</v>
      </c>
      <c r="I160" s="122">
        <f t="shared" si="79"/>
        <v>0</v>
      </c>
      <c r="J160" s="122">
        <f t="shared" si="80"/>
        <v>0</v>
      </c>
      <c r="K160" s="122">
        <f>'Stavební rozpočet'!K326</f>
        <v>0</v>
      </c>
      <c r="L160" s="122">
        <f t="shared" si="81"/>
        <v>0</v>
      </c>
      <c r="M160" s="123" t="s">
        <v>622</v>
      </c>
      <c r="Z160" s="124">
        <f t="shared" si="82"/>
        <v>0</v>
      </c>
      <c r="AB160" s="124">
        <f t="shared" si="83"/>
        <v>0</v>
      </c>
      <c r="AC160" s="124">
        <f t="shared" si="84"/>
        <v>0</v>
      </c>
      <c r="AD160" s="124">
        <f t="shared" si="85"/>
        <v>0</v>
      </c>
      <c r="AE160" s="124">
        <f t="shared" si="86"/>
        <v>0</v>
      </c>
      <c r="AF160" s="124">
        <f t="shared" si="87"/>
        <v>0</v>
      </c>
      <c r="AG160" s="124">
        <f t="shared" si="88"/>
        <v>0</v>
      </c>
      <c r="AH160" s="124">
        <f t="shared" si="89"/>
        <v>0</v>
      </c>
      <c r="AI160" s="113" t="s">
        <v>60</v>
      </c>
      <c r="AJ160" s="122">
        <f t="shared" si="90"/>
        <v>0</v>
      </c>
      <c r="AK160" s="122">
        <f t="shared" si="91"/>
        <v>0</v>
      </c>
      <c r="AL160" s="122">
        <f t="shared" si="92"/>
        <v>0</v>
      </c>
      <c r="AN160" s="124">
        <v>15</v>
      </c>
      <c r="AO160" s="124">
        <f t="shared" si="93"/>
        <v>0</v>
      </c>
      <c r="AP160" s="124">
        <f t="shared" si="94"/>
        <v>0</v>
      </c>
      <c r="AQ160" s="123" t="s">
        <v>85</v>
      </c>
      <c r="AV160" s="124">
        <f t="shared" si="95"/>
        <v>0</v>
      </c>
      <c r="AW160" s="124">
        <f t="shared" si="96"/>
        <v>0</v>
      </c>
      <c r="AX160" s="124">
        <f t="shared" si="97"/>
        <v>0</v>
      </c>
      <c r="AY160" s="125" t="s">
        <v>643</v>
      </c>
      <c r="AZ160" s="125" t="s">
        <v>1537</v>
      </c>
      <c r="BA160" s="113" t="s">
        <v>1542</v>
      </c>
      <c r="BC160" s="124">
        <f t="shared" si="98"/>
        <v>0</v>
      </c>
      <c r="BD160" s="124">
        <f t="shared" si="99"/>
        <v>0</v>
      </c>
      <c r="BE160" s="124">
        <v>0</v>
      </c>
      <c r="BF160" s="124">
        <f t="shared" si="100"/>
        <v>0</v>
      </c>
      <c r="BH160" s="122">
        <f t="shared" si="101"/>
        <v>0</v>
      </c>
      <c r="BI160" s="122">
        <f t="shared" si="102"/>
        <v>0</v>
      </c>
      <c r="BJ160" s="122">
        <f t="shared" si="103"/>
        <v>0</v>
      </c>
    </row>
    <row r="161" spans="1:62" s="174" customFormat="1" ht="12.75">
      <c r="A161" s="121" t="s">
        <v>195</v>
      </c>
      <c r="B161" s="121" t="s">
        <v>60</v>
      </c>
      <c r="C161" s="121" t="s">
        <v>306</v>
      </c>
      <c r="D161" s="129" t="s">
        <v>1303</v>
      </c>
      <c r="E161" s="121" t="s">
        <v>609</v>
      </c>
      <c r="F161" s="122">
        <f>'Stavební rozpočet'!F327</f>
        <v>5.9</v>
      </c>
      <c r="G161" s="172"/>
      <c r="H161" s="122">
        <f t="shared" si="78"/>
        <v>0</v>
      </c>
      <c r="I161" s="122">
        <f t="shared" si="79"/>
        <v>0</v>
      </c>
      <c r="J161" s="122">
        <f t="shared" si="80"/>
        <v>0</v>
      </c>
      <c r="K161" s="122">
        <f>'Stavební rozpočet'!K327</f>
        <v>0</v>
      </c>
      <c r="L161" s="122">
        <f t="shared" si="81"/>
        <v>0</v>
      </c>
      <c r="M161" s="123" t="s">
        <v>622</v>
      </c>
      <c r="Z161" s="124">
        <f t="shared" si="82"/>
        <v>0</v>
      </c>
      <c r="AB161" s="124">
        <f t="shared" si="83"/>
        <v>0</v>
      </c>
      <c r="AC161" s="124">
        <f t="shared" si="84"/>
        <v>0</v>
      </c>
      <c r="AD161" s="124">
        <f t="shared" si="85"/>
        <v>0</v>
      </c>
      <c r="AE161" s="124">
        <f t="shared" si="86"/>
        <v>0</v>
      </c>
      <c r="AF161" s="124">
        <f t="shared" si="87"/>
        <v>0</v>
      </c>
      <c r="AG161" s="124">
        <f t="shared" si="88"/>
        <v>0</v>
      </c>
      <c r="AH161" s="124">
        <f t="shared" si="89"/>
        <v>0</v>
      </c>
      <c r="AI161" s="113" t="s">
        <v>60</v>
      </c>
      <c r="AJ161" s="122">
        <f t="shared" si="90"/>
        <v>0</v>
      </c>
      <c r="AK161" s="122">
        <f t="shared" si="91"/>
        <v>0</v>
      </c>
      <c r="AL161" s="122">
        <f t="shared" si="92"/>
        <v>0</v>
      </c>
      <c r="AN161" s="124">
        <v>15</v>
      </c>
      <c r="AO161" s="124">
        <f t="shared" si="93"/>
        <v>0</v>
      </c>
      <c r="AP161" s="124">
        <f t="shared" si="94"/>
        <v>0</v>
      </c>
      <c r="AQ161" s="123" t="s">
        <v>85</v>
      </c>
      <c r="AV161" s="124">
        <f t="shared" si="95"/>
        <v>0</v>
      </c>
      <c r="AW161" s="124">
        <f t="shared" si="96"/>
        <v>0</v>
      </c>
      <c r="AX161" s="124">
        <f t="shared" si="97"/>
        <v>0</v>
      </c>
      <c r="AY161" s="125" t="s">
        <v>643</v>
      </c>
      <c r="AZ161" s="125" t="s">
        <v>1537</v>
      </c>
      <c r="BA161" s="113" t="s">
        <v>1542</v>
      </c>
      <c r="BC161" s="124">
        <f t="shared" si="98"/>
        <v>0</v>
      </c>
      <c r="BD161" s="124">
        <f t="shared" si="99"/>
        <v>0</v>
      </c>
      <c r="BE161" s="124">
        <v>0</v>
      </c>
      <c r="BF161" s="124">
        <f t="shared" si="100"/>
        <v>0</v>
      </c>
      <c r="BH161" s="122">
        <f t="shared" si="101"/>
        <v>0</v>
      </c>
      <c r="BI161" s="122">
        <f t="shared" si="102"/>
        <v>0</v>
      </c>
      <c r="BJ161" s="122">
        <f t="shared" si="103"/>
        <v>0</v>
      </c>
    </row>
    <row r="162" spans="1:62" s="174" customFormat="1" ht="12.75">
      <c r="A162" s="121" t="s">
        <v>196</v>
      </c>
      <c r="B162" s="121" t="s">
        <v>60</v>
      </c>
      <c r="C162" s="121" t="s">
        <v>307</v>
      </c>
      <c r="D162" s="129" t="s">
        <v>1304</v>
      </c>
      <c r="E162" s="121" t="s">
        <v>609</v>
      </c>
      <c r="F162" s="122">
        <f>'Stavební rozpočet'!F328</f>
        <v>58.7</v>
      </c>
      <c r="G162" s="172"/>
      <c r="H162" s="122">
        <f t="shared" si="78"/>
        <v>0</v>
      </c>
      <c r="I162" s="122">
        <f t="shared" si="79"/>
        <v>0</v>
      </c>
      <c r="J162" s="122">
        <f t="shared" si="80"/>
        <v>0</v>
      </c>
      <c r="K162" s="122">
        <f>'Stavební rozpočet'!K328</f>
        <v>0</v>
      </c>
      <c r="L162" s="122">
        <f t="shared" si="81"/>
        <v>0</v>
      </c>
      <c r="M162" s="123" t="s">
        <v>622</v>
      </c>
      <c r="Z162" s="124">
        <f t="shared" si="82"/>
        <v>0</v>
      </c>
      <c r="AB162" s="124">
        <f t="shared" si="83"/>
        <v>0</v>
      </c>
      <c r="AC162" s="124">
        <f t="shared" si="84"/>
        <v>0</v>
      </c>
      <c r="AD162" s="124">
        <f t="shared" si="85"/>
        <v>0</v>
      </c>
      <c r="AE162" s="124">
        <f t="shared" si="86"/>
        <v>0</v>
      </c>
      <c r="AF162" s="124">
        <f t="shared" si="87"/>
        <v>0</v>
      </c>
      <c r="AG162" s="124">
        <f t="shared" si="88"/>
        <v>0</v>
      </c>
      <c r="AH162" s="124">
        <f t="shared" si="89"/>
        <v>0</v>
      </c>
      <c r="AI162" s="113" t="s">
        <v>60</v>
      </c>
      <c r="AJ162" s="122">
        <f t="shared" si="90"/>
        <v>0</v>
      </c>
      <c r="AK162" s="122">
        <f t="shared" si="91"/>
        <v>0</v>
      </c>
      <c r="AL162" s="122">
        <f t="shared" si="92"/>
        <v>0</v>
      </c>
      <c r="AN162" s="124">
        <v>15</v>
      </c>
      <c r="AO162" s="124">
        <f t="shared" si="93"/>
        <v>0</v>
      </c>
      <c r="AP162" s="124">
        <f t="shared" si="94"/>
        <v>0</v>
      </c>
      <c r="AQ162" s="123" t="s">
        <v>85</v>
      </c>
      <c r="AV162" s="124">
        <f t="shared" si="95"/>
        <v>0</v>
      </c>
      <c r="AW162" s="124">
        <f t="shared" si="96"/>
        <v>0</v>
      </c>
      <c r="AX162" s="124">
        <f t="shared" si="97"/>
        <v>0</v>
      </c>
      <c r="AY162" s="125" t="s">
        <v>643</v>
      </c>
      <c r="AZ162" s="125" t="s">
        <v>1537</v>
      </c>
      <c r="BA162" s="113" t="s">
        <v>1542</v>
      </c>
      <c r="BC162" s="124">
        <f t="shared" si="98"/>
        <v>0</v>
      </c>
      <c r="BD162" s="124">
        <f t="shared" si="99"/>
        <v>0</v>
      </c>
      <c r="BE162" s="124">
        <v>0</v>
      </c>
      <c r="BF162" s="124">
        <f t="shared" si="100"/>
        <v>0</v>
      </c>
      <c r="BH162" s="122">
        <f t="shared" si="101"/>
        <v>0</v>
      </c>
      <c r="BI162" s="122">
        <f t="shared" si="102"/>
        <v>0</v>
      </c>
      <c r="BJ162" s="122">
        <f t="shared" si="103"/>
        <v>0</v>
      </c>
    </row>
    <row r="163" spans="1:62" s="174" customFormat="1" ht="12.75">
      <c r="A163" s="121" t="s">
        <v>197</v>
      </c>
      <c r="B163" s="121" t="s">
        <v>60</v>
      </c>
      <c r="C163" s="121" t="s">
        <v>308</v>
      </c>
      <c r="D163" s="129" t="s">
        <v>1305</v>
      </c>
      <c r="E163" s="121" t="s">
        <v>609</v>
      </c>
      <c r="F163" s="122">
        <f>'Stavební rozpočet'!F329</f>
        <v>3.5</v>
      </c>
      <c r="G163" s="172"/>
      <c r="H163" s="122">
        <f t="shared" si="78"/>
        <v>0</v>
      </c>
      <c r="I163" s="122">
        <f t="shared" si="79"/>
        <v>0</v>
      </c>
      <c r="J163" s="122">
        <f t="shared" si="80"/>
        <v>0</v>
      </c>
      <c r="K163" s="122">
        <f>'Stavební rozpočet'!K329</f>
        <v>0</v>
      </c>
      <c r="L163" s="122">
        <f t="shared" si="81"/>
        <v>0</v>
      </c>
      <c r="M163" s="123" t="s">
        <v>622</v>
      </c>
      <c r="Z163" s="124">
        <f t="shared" si="82"/>
        <v>0</v>
      </c>
      <c r="AB163" s="124">
        <f t="shared" si="83"/>
        <v>0</v>
      </c>
      <c r="AC163" s="124">
        <f t="shared" si="84"/>
        <v>0</v>
      </c>
      <c r="AD163" s="124">
        <f t="shared" si="85"/>
        <v>0</v>
      </c>
      <c r="AE163" s="124">
        <f t="shared" si="86"/>
        <v>0</v>
      </c>
      <c r="AF163" s="124">
        <f t="shared" si="87"/>
        <v>0</v>
      </c>
      <c r="AG163" s="124">
        <f t="shared" si="88"/>
        <v>0</v>
      </c>
      <c r="AH163" s="124">
        <f t="shared" si="89"/>
        <v>0</v>
      </c>
      <c r="AI163" s="113" t="s">
        <v>60</v>
      </c>
      <c r="AJ163" s="122">
        <f t="shared" si="90"/>
        <v>0</v>
      </c>
      <c r="AK163" s="122">
        <f t="shared" si="91"/>
        <v>0</v>
      </c>
      <c r="AL163" s="122">
        <f t="shared" si="92"/>
        <v>0</v>
      </c>
      <c r="AN163" s="124">
        <v>15</v>
      </c>
      <c r="AO163" s="124">
        <f t="shared" si="93"/>
        <v>0</v>
      </c>
      <c r="AP163" s="124">
        <f t="shared" si="94"/>
        <v>0</v>
      </c>
      <c r="AQ163" s="123" t="s">
        <v>85</v>
      </c>
      <c r="AV163" s="124">
        <f t="shared" si="95"/>
        <v>0</v>
      </c>
      <c r="AW163" s="124">
        <f t="shared" si="96"/>
        <v>0</v>
      </c>
      <c r="AX163" s="124">
        <f t="shared" si="97"/>
        <v>0</v>
      </c>
      <c r="AY163" s="125" t="s">
        <v>643</v>
      </c>
      <c r="AZ163" s="125" t="s">
        <v>1537</v>
      </c>
      <c r="BA163" s="113" t="s">
        <v>1542</v>
      </c>
      <c r="BC163" s="124">
        <f t="shared" si="98"/>
        <v>0</v>
      </c>
      <c r="BD163" s="124">
        <f t="shared" si="99"/>
        <v>0</v>
      </c>
      <c r="BE163" s="124">
        <v>0</v>
      </c>
      <c r="BF163" s="124">
        <f t="shared" si="100"/>
        <v>0</v>
      </c>
      <c r="BH163" s="122">
        <f t="shared" si="101"/>
        <v>0</v>
      </c>
      <c r="BI163" s="122">
        <f t="shared" si="102"/>
        <v>0</v>
      </c>
      <c r="BJ163" s="122">
        <f t="shared" si="103"/>
        <v>0</v>
      </c>
    </row>
    <row r="164" spans="1:62" s="174" customFormat="1" ht="12.75">
      <c r="A164" s="121" t="s">
        <v>198</v>
      </c>
      <c r="B164" s="121" t="s">
        <v>60</v>
      </c>
      <c r="C164" s="121" t="s">
        <v>309</v>
      </c>
      <c r="D164" s="129" t="s">
        <v>1306</v>
      </c>
      <c r="E164" s="121" t="s">
        <v>609</v>
      </c>
      <c r="F164" s="122">
        <f>'Stavební rozpočet'!F330</f>
        <v>5.8</v>
      </c>
      <c r="G164" s="172"/>
      <c r="H164" s="122">
        <f t="shared" si="78"/>
        <v>0</v>
      </c>
      <c r="I164" s="122">
        <f t="shared" si="79"/>
        <v>0</v>
      </c>
      <c r="J164" s="122">
        <f t="shared" si="80"/>
        <v>0</v>
      </c>
      <c r="K164" s="122">
        <f>'Stavební rozpočet'!K330</f>
        <v>0</v>
      </c>
      <c r="L164" s="122">
        <f t="shared" si="81"/>
        <v>0</v>
      </c>
      <c r="M164" s="123" t="s">
        <v>622</v>
      </c>
      <c r="Z164" s="124">
        <f t="shared" si="82"/>
        <v>0</v>
      </c>
      <c r="AB164" s="124">
        <f t="shared" si="83"/>
        <v>0</v>
      </c>
      <c r="AC164" s="124">
        <f t="shared" si="84"/>
        <v>0</v>
      </c>
      <c r="AD164" s="124">
        <f t="shared" si="85"/>
        <v>0</v>
      </c>
      <c r="AE164" s="124">
        <f t="shared" si="86"/>
        <v>0</v>
      </c>
      <c r="AF164" s="124">
        <f t="shared" si="87"/>
        <v>0</v>
      </c>
      <c r="AG164" s="124">
        <f t="shared" si="88"/>
        <v>0</v>
      </c>
      <c r="AH164" s="124">
        <f t="shared" si="89"/>
        <v>0</v>
      </c>
      <c r="AI164" s="113" t="s">
        <v>60</v>
      </c>
      <c r="AJ164" s="122">
        <f t="shared" si="90"/>
        <v>0</v>
      </c>
      <c r="AK164" s="122">
        <f t="shared" si="91"/>
        <v>0</v>
      </c>
      <c r="AL164" s="122">
        <f t="shared" si="92"/>
        <v>0</v>
      </c>
      <c r="AN164" s="124">
        <v>15</v>
      </c>
      <c r="AO164" s="124">
        <f t="shared" si="93"/>
        <v>0</v>
      </c>
      <c r="AP164" s="124">
        <f t="shared" si="94"/>
        <v>0</v>
      </c>
      <c r="AQ164" s="123" t="s">
        <v>85</v>
      </c>
      <c r="AV164" s="124">
        <f t="shared" si="95"/>
        <v>0</v>
      </c>
      <c r="AW164" s="124">
        <f t="shared" si="96"/>
        <v>0</v>
      </c>
      <c r="AX164" s="124">
        <f t="shared" si="97"/>
        <v>0</v>
      </c>
      <c r="AY164" s="125" t="s">
        <v>643</v>
      </c>
      <c r="AZ164" s="125" t="s">
        <v>1537</v>
      </c>
      <c r="BA164" s="113" t="s">
        <v>1542</v>
      </c>
      <c r="BC164" s="124">
        <f t="shared" si="98"/>
        <v>0</v>
      </c>
      <c r="BD164" s="124">
        <f t="shared" si="99"/>
        <v>0</v>
      </c>
      <c r="BE164" s="124">
        <v>0</v>
      </c>
      <c r="BF164" s="124">
        <f t="shared" si="100"/>
        <v>0</v>
      </c>
      <c r="BH164" s="122">
        <f t="shared" si="101"/>
        <v>0</v>
      </c>
      <c r="BI164" s="122">
        <f t="shared" si="102"/>
        <v>0</v>
      </c>
      <c r="BJ164" s="122">
        <f t="shared" si="103"/>
        <v>0</v>
      </c>
    </row>
    <row r="165" spans="1:62" s="174" customFormat="1" ht="12.75">
      <c r="A165" s="121" t="s">
        <v>199</v>
      </c>
      <c r="B165" s="121" t="s">
        <v>60</v>
      </c>
      <c r="C165" s="121" t="s">
        <v>1013</v>
      </c>
      <c r="D165" s="129" t="s">
        <v>1307</v>
      </c>
      <c r="E165" s="121" t="s">
        <v>606</v>
      </c>
      <c r="F165" s="122">
        <f>'Stavební rozpočet'!F331</f>
        <v>3</v>
      </c>
      <c r="G165" s="172"/>
      <c r="H165" s="122">
        <f t="shared" si="78"/>
        <v>0</v>
      </c>
      <c r="I165" s="122">
        <f t="shared" si="79"/>
        <v>0</v>
      </c>
      <c r="J165" s="122">
        <f t="shared" si="80"/>
        <v>0</v>
      </c>
      <c r="K165" s="122">
        <f>'Stavební rozpočet'!K331</f>
        <v>0</v>
      </c>
      <c r="L165" s="122">
        <f t="shared" si="81"/>
        <v>0</v>
      </c>
      <c r="M165" s="123" t="s">
        <v>622</v>
      </c>
      <c r="Z165" s="124">
        <f t="shared" si="82"/>
        <v>0</v>
      </c>
      <c r="AB165" s="124">
        <f t="shared" si="83"/>
        <v>0</v>
      </c>
      <c r="AC165" s="124">
        <f t="shared" si="84"/>
        <v>0</v>
      </c>
      <c r="AD165" s="124">
        <f t="shared" si="85"/>
        <v>0</v>
      </c>
      <c r="AE165" s="124">
        <f t="shared" si="86"/>
        <v>0</v>
      </c>
      <c r="AF165" s="124">
        <f t="shared" si="87"/>
        <v>0</v>
      </c>
      <c r="AG165" s="124">
        <f t="shared" si="88"/>
        <v>0</v>
      </c>
      <c r="AH165" s="124">
        <f t="shared" si="89"/>
        <v>0</v>
      </c>
      <c r="AI165" s="113" t="s">
        <v>60</v>
      </c>
      <c r="AJ165" s="122">
        <f t="shared" si="90"/>
        <v>0</v>
      </c>
      <c r="AK165" s="122">
        <f t="shared" si="91"/>
        <v>0</v>
      </c>
      <c r="AL165" s="122">
        <f t="shared" si="92"/>
        <v>0</v>
      </c>
      <c r="AN165" s="124">
        <v>15</v>
      </c>
      <c r="AO165" s="124">
        <f t="shared" si="93"/>
        <v>0</v>
      </c>
      <c r="AP165" s="124">
        <f t="shared" si="94"/>
        <v>0</v>
      </c>
      <c r="AQ165" s="123" t="s">
        <v>85</v>
      </c>
      <c r="AV165" s="124">
        <f t="shared" si="95"/>
        <v>0</v>
      </c>
      <c r="AW165" s="124">
        <f t="shared" si="96"/>
        <v>0</v>
      </c>
      <c r="AX165" s="124">
        <f t="shared" si="97"/>
        <v>0</v>
      </c>
      <c r="AY165" s="125" t="s">
        <v>643</v>
      </c>
      <c r="AZ165" s="125" t="s">
        <v>1537</v>
      </c>
      <c r="BA165" s="113" t="s">
        <v>1542</v>
      </c>
      <c r="BC165" s="124">
        <f t="shared" si="98"/>
        <v>0</v>
      </c>
      <c r="BD165" s="124">
        <f t="shared" si="99"/>
        <v>0</v>
      </c>
      <c r="BE165" s="124">
        <v>0</v>
      </c>
      <c r="BF165" s="124">
        <f t="shared" si="100"/>
        <v>0</v>
      </c>
      <c r="BH165" s="122">
        <f t="shared" si="101"/>
        <v>0</v>
      </c>
      <c r="BI165" s="122">
        <f t="shared" si="102"/>
        <v>0</v>
      </c>
      <c r="BJ165" s="122">
        <f t="shared" si="103"/>
        <v>0</v>
      </c>
    </row>
    <row r="166" spans="1:62" s="174" customFormat="1" ht="12.75">
      <c r="A166" s="121" t="s">
        <v>200</v>
      </c>
      <c r="B166" s="121" t="s">
        <v>60</v>
      </c>
      <c r="C166" s="121" t="s">
        <v>1014</v>
      </c>
      <c r="D166" s="129" t="s">
        <v>1308</v>
      </c>
      <c r="E166" s="121" t="s">
        <v>606</v>
      </c>
      <c r="F166" s="122">
        <f>'Stavební rozpočet'!F332</f>
        <v>1</v>
      </c>
      <c r="G166" s="172"/>
      <c r="H166" s="122">
        <f t="shared" si="78"/>
        <v>0</v>
      </c>
      <c r="I166" s="122">
        <f t="shared" si="79"/>
        <v>0</v>
      </c>
      <c r="J166" s="122">
        <f t="shared" si="80"/>
        <v>0</v>
      </c>
      <c r="K166" s="122">
        <f>'Stavební rozpočet'!K332</f>
        <v>0</v>
      </c>
      <c r="L166" s="122">
        <f t="shared" si="81"/>
        <v>0</v>
      </c>
      <c r="M166" s="123" t="s">
        <v>622</v>
      </c>
      <c r="Z166" s="124">
        <f t="shared" si="82"/>
        <v>0</v>
      </c>
      <c r="AB166" s="124">
        <f t="shared" si="83"/>
        <v>0</v>
      </c>
      <c r="AC166" s="124">
        <f t="shared" si="84"/>
        <v>0</v>
      </c>
      <c r="AD166" s="124">
        <f t="shared" si="85"/>
        <v>0</v>
      </c>
      <c r="AE166" s="124">
        <f t="shared" si="86"/>
        <v>0</v>
      </c>
      <c r="AF166" s="124">
        <f t="shared" si="87"/>
        <v>0</v>
      </c>
      <c r="AG166" s="124">
        <f t="shared" si="88"/>
        <v>0</v>
      </c>
      <c r="AH166" s="124">
        <f t="shared" si="89"/>
        <v>0</v>
      </c>
      <c r="AI166" s="113" t="s">
        <v>60</v>
      </c>
      <c r="AJ166" s="122">
        <f t="shared" si="90"/>
        <v>0</v>
      </c>
      <c r="AK166" s="122">
        <f t="shared" si="91"/>
        <v>0</v>
      </c>
      <c r="AL166" s="122">
        <f t="shared" si="92"/>
        <v>0</v>
      </c>
      <c r="AN166" s="124">
        <v>15</v>
      </c>
      <c r="AO166" s="124">
        <f t="shared" si="93"/>
        <v>0</v>
      </c>
      <c r="AP166" s="124">
        <f t="shared" si="94"/>
        <v>0</v>
      </c>
      <c r="AQ166" s="123" t="s">
        <v>85</v>
      </c>
      <c r="AV166" s="124">
        <f t="shared" si="95"/>
        <v>0</v>
      </c>
      <c r="AW166" s="124">
        <f t="shared" si="96"/>
        <v>0</v>
      </c>
      <c r="AX166" s="124">
        <f t="shared" si="97"/>
        <v>0</v>
      </c>
      <c r="AY166" s="125" t="s">
        <v>643</v>
      </c>
      <c r="AZ166" s="125" t="s">
        <v>1537</v>
      </c>
      <c r="BA166" s="113" t="s">
        <v>1542</v>
      </c>
      <c r="BC166" s="124">
        <f t="shared" si="98"/>
        <v>0</v>
      </c>
      <c r="BD166" s="124">
        <f t="shared" si="99"/>
        <v>0</v>
      </c>
      <c r="BE166" s="124">
        <v>0</v>
      </c>
      <c r="BF166" s="124">
        <f t="shared" si="100"/>
        <v>0</v>
      </c>
      <c r="BH166" s="122">
        <f t="shared" si="101"/>
        <v>0</v>
      </c>
      <c r="BI166" s="122">
        <f t="shared" si="102"/>
        <v>0</v>
      </c>
      <c r="BJ166" s="122">
        <f t="shared" si="103"/>
        <v>0</v>
      </c>
    </row>
    <row r="167" spans="1:62" s="174" customFormat="1" ht="12.75">
      <c r="A167" s="121" t="s">
        <v>201</v>
      </c>
      <c r="B167" s="121" t="s">
        <v>60</v>
      </c>
      <c r="C167" s="121" t="s">
        <v>1015</v>
      </c>
      <c r="D167" s="129" t="s">
        <v>1309</v>
      </c>
      <c r="E167" s="121" t="s">
        <v>606</v>
      </c>
      <c r="F167" s="122">
        <f>'Stavební rozpočet'!F333</f>
        <v>1</v>
      </c>
      <c r="G167" s="172"/>
      <c r="H167" s="122">
        <f t="shared" si="78"/>
        <v>0</v>
      </c>
      <c r="I167" s="122">
        <f t="shared" si="79"/>
        <v>0</v>
      </c>
      <c r="J167" s="122">
        <f t="shared" si="80"/>
        <v>0</v>
      </c>
      <c r="K167" s="122">
        <f>'Stavební rozpočet'!K333</f>
        <v>0</v>
      </c>
      <c r="L167" s="122">
        <f t="shared" si="81"/>
        <v>0</v>
      </c>
      <c r="M167" s="123" t="s">
        <v>622</v>
      </c>
      <c r="Z167" s="124">
        <f t="shared" si="82"/>
        <v>0</v>
      </c>
      <c r="AB167" s="124">
        <f t="shared" si="83"/>
        <v>0</v>
      </c>
      <c r="AC167" s="124">
        <f t="shared" si="84"/>
        <v>0</v>
      </c>
      <c r="AD167" s="124">
        <f t="shared" si="85"/>
        <v>0</v>
      </c>
      <c r="AE167" s="124">
        <f t="shared" si="86"/>
        <v>0</v>
      </c>
      <c r="AF167" s="124">
        <f t="shared" si="87"/>
        <v>0</v>
      </c>
      <c r="AG167" s="124">
        <f t="shared" si="88"/>
        <v>0</v>
      </c>
      <c r="AH167" s="124">
        <f t="shared" si="89"/>
        <v>0</v>
      </c>
      <c r="AI167" s="113" t="s">
        <v>60</v>
      </c>
      <c r="AJ167" s="122">
        <f t="shared" si="90"/>
        <v>0</v>
      </c>
      <c r="AK167" s="122">
        <f t="shared" si="91"/>
        <v>0</v>
      </c>
      <c r="AL167" s="122">
        <f t="shared" si="92"/>
        <v>0</v>
      </c>
      <c r="AN167" s="124">
        <v>15</v>
      </c>
      <c r="AO167" s="124">
        <f t="shared" si="93"/>
        <v>0</v>
      </c>
      <c r="AP167" s="124">
        <f t="shared" si="94"/>
        <v>0</v>
      </c>
      <c r="AQ167" s="123" t="s">
        <v>85</v>
      </c>
      <c r="AV167" s="124">
        <f t="shared" si="95"/>
        <v>0</v>
      </c>
      <c r="AW167" s="124">
        <f t="shared" si="96"/>
        <v>0</v>
      </c>
      <c r="AX167" s="124">
        <f t="shared" si="97"/>
        <v>0</v>
      </c>
      <c r="AY167" s="125" t="s">
        <v>643</v>
      </c>
      <c r="AZ167" s="125" t="s">
        <v>1537</v>
      </c>
      <c r="BA167" s="113" t="s">
        <v>1542</v>
      </c>
      <c r="BC167" s="124">
        <f t="shared" si="98"/>
        <v>0</v>
      </c>
      <c r="BD167" s="124">
        <f t="shared" si="99"/>
        <v>0</v>
      </c>
      <c r="BE167" s="124">
        <v>0</v>
      </c>
      <c r="BF167" s="124">
        <f t="shared" si="100"/>
        <v>0</v>
      </c>
      <c r="BH167" s="122">
        <f t="shared" si="101"/>
        <v>0</v>
      </c>
      <c r="BI167" s="122">
        <f t="shared" si="102"/>
        <v>0</v>
      </c>
      <c r="BJ167" s="122">
        <f t="shared" si="103"/>
        <v>0</v>
      </c>
    </row>
    <row r="168" spans="1:62" s="174" customFormat="1" ht="12.75">
      <c r="A168" s="121" t="s">
        <v>202</v>
      </c>
      <c r="B168" s="121" t="s">
        <v>60</v>
      </c>
      <c r="C168" s="121" t="s">
        <v>1016</v>
      </c>
      <c r="D168" s="129" t="s">
        <v>1310</v>
      </c>
      <c r="E168" s="121" t="s">
        <v>606</v>
      </c>
      <c r="F168" s="122">
        <f>'Stavební rozpočet'!F334</f>
        <v>3</v>
      </c>
      <c r="G168" s="172"/>
      <c r="H168" s="122">
        <f t="shared" si="78"/>
        <v>0</v>
      </c>
      <c r="I168" s="122">
        <f t="shared" si="79"/>
        <v>0</v>
      </c>
      <c r="J168" s="122">
        <f t="shared" si="80"/>
        <v>0</v>
      </c>
      <c r="K168" s="122">
        <f>'Stavební rozpočet'!K334</f>
        <v>0</v>
      </c>
      <c r="L168" s="122">
        <f t="shared" si="81"/>
        <v>0</v>
      </c>
      <c r="M168" s="123" t="s">
        <v>622</v>
      </c>
      <c r="Z168" s="124">
        <f t="shared" si="82"/>
        <v>0</v>
      </c>
      <c r="AB168" s="124">
        <f t="shared" si="83"/>
        <v>0</v>
      </c>
      <c r="AC168" s="124">
        <f t="shared" si="84"/>
        <v>0</v>
      </c>
      <c r="AD168" s="124">
        <f t="shared" si="85"/>
        <v>0</v>
      </c>
      <c r="AE168" s="124">
        <f t="shared" si="86"/>
        <v>0</v>
      </c>
      <c r="AF168" s="124">
        <f t="shared" si="87"/>
        <v>0</v>
      </c>
      <c r="AG168" s="124">
        <f t="shared" si="88"/>
        <v>0</v>
      </c>
      <c r="AH168" s="124">
        <f t="shared" si="89"/>
        <v>0</v>
      </c>
      <c r="AI168" s="113" t="s">
        <v>60</v>
      </c>
      <c r="AJ168" s="122">
        <f t="shared" si="90"/>
        <v>0</v>
      </c>
      <c r="AK168" s="122">
        <f t="shared" si="91"/>
        <v>0</v>
      </c>
      <c r="AL168" s="122">
        <f t="shared" si="92"/>
        <v>0</v>
      </c>
      <c r="AN168" s="124">
        <v>15</v>
      </c>
      <c r="AO168" s="124">
        <f t="shared" si="93"/>
        <v>0</v>
      </c>
      <c r="AP168" s="124">
        <f t="shared" si="94"/>
        <v>0</v>
      </c>
      <c r="AQ168" s="123" t="s">
        <v>85</v>
      </c>
      <c r="AV168" s="124">
        <f t="shared" si="95"/>
        <v>0</v>
      </c>
      <c r="AW168" s="124">
        <f t="shared" si="96"/>
        <v>0</v>
      </c>
      <c r="AX168" s="124">
        <f t="shared" si="97"/>
        <v>0</v>
      </c>
      <c r="AY168" s="125" t="s">
        <v>643</v>
      </c>
      <c r="AZ168" s="125" t="s">
        <v>1537</v>
      </c>
      <c r="BA168" s="113" t="s">
        <v>1542</v>
      </c>
      <c r="BC168" s="124">
        <f t="shared" si="98"/>
        <v>0</v>
      </c>
      <c r="BD168" s="124">
        <f t="shared" si="99"/>
        <v>0</v>
      </c>
      <c r="BE168" s="124">
        <v>0</v>
      </c>
      <c r="BF168" s="124">
        <f t="shared" si="100"/>
        <v>0</v>
      </c>
      <c r="BH168" s="122">
        <f t="shared" si="101"/>
        <v>0</v>
      </c>
      <c r="BI168" s="122">
        <f t="shared" si="102"/>
        <v>0</v>
      </c>
      <c r="BJ168" s="122">
        <f t="shared" si="103"/>
        <v>0</v>
      </c>
    </row>
    <row r="169" spans="1:62" s="174" customFormat="1" ht="12.75">
      <c r="A169" s="121" t="s">
        <v>203</v>
      </c>
      <c r="B169" s="121" t="s">
        <v>60</v>
      </c>
      <c r="C169" s="121" t="s">
        <v>1017</v>
      </c>
      <c r="D169" s="129" t="s">
        <v>1311</v>
      </c>
      <c r="E169" s="121" t="s">
        <v>606</v>
      </c>
      <c r="F169" s="122">
        <f>'Stavební rozpočet'!F335</f>
        <v>1</v>
      </c>
      <c r="G169" s="172"/>
      <c r="H169" s="122">
        <f t="shared" si="78"/>
        <v>0</v>
      </c>
      <c r="I169" s="122">
        <f t="shared" si="79"/>
        <v>0</v>
      </c>
      <c r="J169" s="122">
        <f t="shared" si="80"/>
        <v>0</v>
      </c>
      <c r="K169" s="122">
        <f>'Stavební rozpočet'!K335</f>
        <v>0</v>
      </c>
      <c r="L169" s="122">
        <f t="shared" si="81"/>
        <v>0</v>
      </c>
      <c r="M169" s="123" t="s">
        <v>622</v>
      </c>
      <c r="Z169" s="124">
        <f t="shared" si="82"/>
        <v>0</v>
      </c>
      <c r="AB169" s="124">
        <f t="shared" si="83"/>
        <v>0</v>
      </c>
      <c r="AC169" s="124">
        <f t="shared" si="84"/>
        <v>0</v>
      </c>
      <c r="AD169" s="124">
        <f t="shared" si="85"/>
        <v>0</v>
      </c>
      <c r="AE169" s="124">
        <f t="shared" si="86"/>
        <v>0</v>
      </c>
      <c r="AF169" s="124">
        <f t="shared" si="87"/>
        <v>0</v>
      </c>
      <c r="AG169" s="124">
        <f t="shared" si="88"/>
        <v>0</v>
      </c>
      <c r="AH169" s="124">
        <f t="shared" si="89"/>
        <v>0</v>
      </c>
      <c r="AI169" s="113" t="s">
        <v>60</v>
      </c>
      <c r="AJ169" s="122">
        <f t="shared" si="90"/>
        <v>0</v>
      </c>
      <c r="AK169" s="122">
        <f t="shared" si="91"/>
        <v>0</v>
      </c>
      <c r="AL169" s="122">
        <f t="shared" si="92"/>
        <v>0</v>
      </c>
      <c r="AN169" s="124">
        <v>15</v>
      </c>
      <c r="AO169" s="124">
        <f t="shared" si="93"/>
        <v>0</v>
      </c>
      <c r="AP169" s="124">
        <f t="shared" si="94"/>
        <v>0</v>
      </c>
      <c r="AQ169" s="123" t="s">
        <v>85</v>
      </c>
      <c r="AV169" s="124">
        <f t="shared" si="95"/>
        <v>0</v>
      </c>
      <c r="AW169" s="124">
        <f t="shared" si="96"/>
        <v>0</v>
      </c>
      <c r="AX169" s="124">
        <f t="shared" si="97"/>
        <v>0</v>
      </c>
      <c r="AY169" s="125" t="s">
        <v>643</v>
      </c>
      <c r="AZ169" s="125" t="s">
        <v>1537</v>
      </c>
      <c r="BA169" s="113" t="s">
        <v>1542</v>
      </c>
      <c r="BC169" s="124">
        <f t="shared" si="98"/>
        <v>0</v>
      </c>
      <c r="BD169" s="124">
        <f t="shared" si="99"/>
        <v>0</v>
      </c>
      <c r="BE169" s="124">
        <v>0</v>
      </c>
      <c r="BF169" s="124">
        <f t="shared" si="100"/>
        <v>0</v>
      </c>
      <c r="BH169" s="122">
        <f t="shared" si="101"/>
        <v>0</v>
      </c>
      <c r="BI169" s="122">
        <f t="shared" si="102"/>
        <v>0</v>
      </c>
      <c r="BJ169" s="122">
        <f t="shared" si="103"/>
        <v>0</v>
      </c>
    </row>
    <row r="170" spans="1:62" s="174" customFormat="1" ht="12.75">
      <c r="A170" s="121" t="s">
        <v>204</v>
      </c>
      <c r="B170" s="121" t="s">
        <v>60</v>
      </c>
      <c r="C170" s="121" t="s">
        <v>1018</v>
      </c>
      <c r="D170" s="129" t="s">
        <v>1312</v>
      </c>
      <c r="E170" s="121" t="s">
        <v>606</v>
      </c>
      <c r="F170" s="122">
        <f>'Stavební rozpočet'!F336</f>
        <v>1</v>
      </c>
      <c r="G170" s="172"/>
      <c r="H170" s="122">
        <f t="shared" si="78"/>
        <v>0</v>
      </c>
      <c r="I170" s="122">
        <f t="shared" si="79"/>
        <v>0</v>
      </c>
      <c r="J170" s="122">
        <f t="shared" si="80"/>
        <v>0</v>
      </c>
      <c r="K170" s="122">
        <f>'Stavební rozpočet'!K336</f>
        <v>0</v>
      </c>
      <c r="L170" s="122">
        <f t="shared" si="81"/>
        <v>0</v>
      </c>
      <c r="M170" s="123" t="s">
        <v>622</v>
      </c>
      <c r="Z170" s="124">
        <f t="shared" si="82"/>
        <v>0</v>
      </c>
      <c r="AB170" s="124">
        <f t="shared" si="83"/>
        <v>0</v>
      </c>
      <c r="AC170" s="124">
        <f t="shared" si="84"/>
        <v>0</v>
      </c>
      <c r="AD170" s="124">
        <f t="shared" si="85"/>
        <v>0</v>
      </c>
      <c r="AE170" s="124">
        <f t="shared" si="86"/>
        <v>0</v>
      </c>
      <c r="AF170" s="124">
        <f t="shared" si="87"/>
        <v>0</v>
      </c>
      <c r="AG170" s="124">
        <f t="shared" si="88"/>
        <v>0</v>
      </c>
      <c r="AH170" s="124">
        <f t="shared" si="89"/>
        <v>0</v>
      </c>
      <c r="AI170" s="113" t="s">
        <v>60</v>
      </c>
      <c r="AJ170" s="122">
        <f t="shared" si="90"/>
        <v>0</v>
      </c>
      <c r="AK170" s="122">
        <f t="shared" si="91"/>
        <v>0</v>
      </c>
      <c r="AL170" s="122">
        <f t="shared" si="92"/>
        <v>0</v>
      </c>
      <c r="AN170" s="124">
        <v>15</v>
      </c>
      <c r="AO170" s="124">
        <f t="shared" si="93"/>
        <v>0</v>
      </c>
      <c r="AP170" s="124">
        <f t="shared" si="94"/>
        <v>0</v>
      </c>
      <c r="AQ170" s="123" t="s">
        <v>85</v>
      </c>
      <c r="AV170" s="124">
        <f t="shared" si="95"/>
        <v>0</v>
      </c>
      <c r="AW170" s="124">
        <f t="shared" si="96"/>
        <v>0</v>
      </c>
      <c r="AX170" s="124">
        <f t="shared" si="97"/>
        <v>0</v>
      </c>
      <c r="AY170" s="125" t="s">
        <v>643</v>
      </c>
      <c r="AZ170" s="125" t="s">
        <v>1537</v>
      </c>
      <c r="BA170" s="113" t="s">
        <v>1542</v>
      </c>
      <c r="BC170" s="124">
        <f t="shared" si="98"/>
        <v>0</v>
      </c>
      <c r="BD170" s="124">
        <f t="shared" si="99"/>
        <v>0</v>
      </c>
      <c r="BE170" s="124">
        <v>0</v>
      </c>
      <c r="BF170" s="124">
        <f t="shared" si="100"/>
        <v>0</v>
      </c>
      <c r="BH170" s="122">
        <f t="shared" si="101"/>
        <v>0</v>
      </c>
      <c r="BI170" s="122">
        <f t="shared" si="102"/>
        <v>0</v>
      </c>
      <c r="BJ170" s="122">
        <f t="shared" si="103"/>
        <v>0</v>
      </c>
    </row>
    <row r="171" spans="1:62" s="174" customFormat="1" ht="12.75" hidden="1">
      <c r="A171" s="121" t="s">
        <v>205</v>
      </c>
      <c r="B171" s="121" t="s">
        <v>60</v>
      </c>
      <c r="C171" s="121" t="s">
        <v>1019</v>
      </c>
      <c r="D171" s="129" t="s">
        <v>1313</v>
      </c>
      <c r="E171" s="121" t="s">
        <v>606</v>
      </c>
      <c r="F171" s="122">
        <f>'Stavební rozpočet'!F337</f>
        <v>0</v>
      </c>
      <c r="G171" s="172"/>
      <c r="H171" s="122">
        <f t="shared" si="78"/>
        <v>0</v>
      </c>
      <c r="I171" s="122">
        <f t="shared" si="79"/>
        <v>0</v>
      </c>
      <c r="J171" s="122">
        <f t="shared" si="80"/>
        <v>0</v>
      </c>
      <c r="K171" s="122">
        <f>'Stavební rozpočet'!K337</f>
        <v>0</v>
      </c>
      <c r="L171" s="122">
        <f t="shared" si="81"/>
        <v>0</v>
      </c>
      <c r="M171" s="123" t="s">
        <v>622</v>
      </c>
      <c r="Z171" s="124">
        <f t="shared" si="82"/>
        <v>0</v>
      </c>
      <c r="AB171" s="124">
        <f t="shared" si="83"/>
        <v>0</v>
      </c>
      <c r="AC171" s="124">
        <f t="shared" si="84"/>
        <v>0</v>
      </c>
      <c r="AD171" s="124">
        <f t="shared" si="85"/>
        <v>0</v>
      </c>
      <c r="AE171" s="124">
        <f t="shared" si="86"/>
        <v>0</v>
      </c>
      <c r="AF171" s="124">
        <f t="shared" si="87"/>
        <v>0</v>
      </c>
      <c r="AG171" s="124">
        <f t="shared" si="88"/>
        <v>0</v>
      </c>
      <c r="AH171" s="124">
        <f t="shared" si="89"/>
        <v>0</v>
      </c>
      <c r="AI171" s="113" t="s">
        <v>60</v>
      </c>
      <c r="AJ171" s="122">
        <f t="shared" si="90"/>
        <v>0</v>
      </c>
      <c r="AK171" s="122">
        <f t="shared" si="91"/>
        <v>0</v>
      </c>
      <c r="AL171" s="122">
        <f t="shared" si="92"/>
        <v>0</v>
      </c>
      <c r="AN171" s="124">
        <v>15</v>
      </c>
      <c r="AO171" s="124">
        <f t="shared" si="93"/>
        <v>0</v>
      </c>
      <c r="AP171" s="124">
        <f t="shared" si="94"/>
        <v>0</v>
      </c>
      <c r="AQ171" s="123" t="s">
        <v>85</v>
      </c>
      <c r="AV171" s="124">
        <f t="shared" si="95"/>
        <v>0</v>
      </c>
      <c r="AW171" s="124">
        <f t="shared" si="96"/>
        <v>0</v>
      </c>
      <c r="AX171" s="124">
        <f t="shared" si="97"/>
        <v>0</v>
      </c>
      <c r="AY171" s="125" t="s">
        <v>643</v>
      </c>
      <c r="AZ171" s="125" t="s">
        <v>1537</v>
      </c>
      <c r="BA171" s="113" t="s">
        <v>1542</v>
      </c>
      <c r="BC171" s="124">
        <f t="shared" si="98"/>
        <v>0</v>
      </c>
      <c r="BD171" s="124">
        <f t="shared" si="99"/>
        <v>0</v>
      </c>
      <c r="BE171" s="124">
        <v>0</v>
      </c>
      <c r="BF171" s="124">
        <f t="shared" si="100"/>
        <v>0</v>
      </c>
      <c r="BH171" s="122">
        <f t="shared" si="101"/>
        <v>0</v>
      </c>
      <c r="BI171" s="122">
        <f t="shared" si="102"/>
        <v>0</v>
      </c>
      <c r="BJ171" s="122">
        <f t="shared" si="103"/>
        <v>0</v>
      </c>
    </row>
    <row r="172" spans="1:62" s="174" customFormat="1" ht="12.75">
      <c r="A172" s="121" t="s">
        <v>206</v>
      </c>
      <c r="B172" s="121" t="s">
        <v>60</v>
      </c>
      <c r="C172" s="121" t="s">
        <v>1020</v>
      </c>
      <c r="D172" s="129" t="s">
        <v>1314</v>
      </c>
      <c r="E172" s="121" t="s">
        <v>606</v>
      </c>
      <c r="F172" s="122">
        <f>'Stavební rozpočet'!F338</f>
        <v>1</v>
      </c>
      <c r="G172" s="172"/>
      <c r="H172" s="122">
        <f t="shared" si="78"/>
        <v>0</v>
      </c>
      <c r="I172" s="122">
        <f t="shared" si="79"/>
        <v>0</v>
      </c>
      <c r="J172" s="122">
        <f t="shared" si="80"/>
        <v>0</v>
      </c>
      <c r="K172" s="122">
        <f>'Stavební rozpočet'!K338</f>
        <v>0</v>
      </c>
      <c r="L172" s="122">
        <f t="shared" si="81"/>
        <v>0</v>
      </c>
      <c r="M172" s="123" t="s">
        <v>622</v>
      </c>
      <c r="Z172" s="124">
        <f t="shared" si="82"/>
        <v>0</v>
      </c>
      <c r="AB172" s="124">
        <f t="shared" si="83"/>
        <v>0</v>
      </c>
      <c r="AC172" s="124">
        <f t="shared" si="84"/>
        <v>0</v>
      </c>
      <c r="AD172" s="124">
        <f t="shared" si="85"/>
        <v>0</v>
      </c>
      <c r="AE172" s="124">
        <f t="shared" si="86"/>
        <v>0</v>
      </c>
      <c r="AF172" s="124">
        <f t="shared" si="87"/>
        <v>0</v>
      </c>
      <c r="AG172" s="124">
        <f t="shared" si="88"/>
        <v>0</v>
      </c>
      <c r="AH172" s="124">
        <f t="shared" si="89"/>
        <v>0</v>
      </c>
      <c r="AI172" s="113" t="s">
        <v>60</v>
      </c>
      <c r="AJ172" s="122">
        <f t="shared" si="90"/>
        <v>0</v>
      </c>
      <c r="AK172" s="122">
        <f t="shared" si="91"/>
        <v>0</v>
      </c>
      <c r="AL172" s="122">
        <f t="shared" si="92"/>
        <v>0</v>
      </c>
      <c r="AN172" s="124">
        <v>15</v>
      </c>
      <c r="AO172" s="124">
        <f t="shared" si="93"/>
        <v>0</v>
      </c>
      <c r="AP172" s="124">
        <f t="shared" si="94"/>
        <v>0</v>
      </c>
      <c r="AQ172" s="123" t="s">
        <v>85</v>
      </c>
      <c r="AV172" s="124">
        <f t="shared" si="95"/>
        <v>0</v>
      </c>
      <c r="AW172" s="124">
        <f t="shared" si="96"/>
        <v>0</v>
      </c>
      <c r="AX172" s="124">
        <f t="shared" si="97"/>
        <v>0</v>
      </c>
      <c r="AY172" s="125" t="s">
        <v>643</v>
      </c>
      <c r="AZ172" s="125" t="s">
        <v>1537</v>
      </c>
      <c r="BA172" s="113" t="s">
        <v>1542</v>
      </c>
      <c r="BC172" s="124">
        <f t="shared" si="98"/>
        <v>0</v>
      </c>
      <c r="BD172" s="124">
        <f t="shared" si="99"/>
        <v>0</v>
      </c>
      <c r="BE172" s="124">
        <v>0</v>
      </c>
      <c r="BF172" s="124">
        <f t="shared" si="100"/>
        <v>0</v>
      </c>
      <c r="BH172" s="122">
        <f t="shared" si="101"/>
        <v>0</v>
      </c>
      <c r="BI172" s="122">
        <f t="shared" si="102"/>
        <v>0</v>
      </c>
      <c r="BJ172" s="122">
        <f t="shared" si="103"/>
        <v>0</v>
      </c>
    </row>
    <row r="173" spans="1:62" s="174" customFormat="1" ht="12.75">
      <c r="A173" s="121" t="s">
        <v>207</v>
      </c>
      <c r="B173" s="121" t="s">
        <v>60</v>
      </c>
      <c r="C173" s="121" t="s">
        <v>1021</v>
      </c>
      <c r="D173" s="129" t="s">
        <v>1315</v>
      </c>
      <c r="E173" s="121" t="s">
        <v>606</v>
      </c>
      <c r="F173" s="122">
        <f>'Stavební rozpočet'!F339</f>
        <v>1</v>
      </c>
      <c r="G173" s="172"/>
      <c r="H173" s="122">
        <f t="shared" si="78"/>
        <v>0</v>
      </c>
      <c r="I173" s="122">
        <f t="shared" si="79"/>
        <v>0</v>
      </c>
      <c r="J173" s="122">
        <f t="shared" si="80"/>
        <v>0</v>
      </c>
      <c r="K173" s="122">
        <f>'Stavební rozpočet'!K339</f>
        <v>0</v>
      </c>
      <c r="L173" s="122">
        <f t="shared" si="81"/>
        <v>0</v>
      </c>
      <c r="M173" s="123" t="s">
        <v>622</v>
      </c>
      <c r="Z173" s="124">
        <f t="shared" si="82"/>
        <v>0</v>
      </c>
      <c r="AB173" s="124">
        <f t="shared" si="83"/>
        <v>0</v>
      </c>
      <c r="AC173" s="124">
        <f t="shared" si="84"/>
        <v>0</v>
      </c>
      <c r="AD173" s="124">
        <f t="shared" si="85"/>
        <v>0</v>
      </c>
      <c r="AE173" s="124">
        <f t="shared" si="86"/>
        <v>0</v>
      </c>
      <c r="AF173" s="124">
        <f t="shared" si="87"/>
        <v>0</v>
      </c>
      <c r="AG173" s="124">
        <f t="shared" si="88"/>
        <v>0</v>
      </c>
      <c r="AH173" s="124">
        <f t="shared" si="89"/>
        <v>0</v>
      </c>
      <c r="AI173" s="113" t="s">
        <v>60</v>
      </c>
      <c r="AJ173" s="122">
        <f t="shared" si="90"/>
        <v>0</v>
      </c>
      <c r="AK173" s="122">
        <f t="shared" si="91"/>
        <v>0</v>
      </c>
      <c r="AL173" s="122">
        <f t="shared" si="92"/>
        <v>0</v>
      </c>
      <c r="AN173" s="124">
        <v>15</v>
      </c>
      <c r="AO173" s="124">
        <f t="shared" si="93"/>
        <v>0</v>
      </c>
      <c r="AP173" s="124">
        <f t="shared" si="94"/>
        <v>0</v>
      </c>
      <c r="AQ173" s="123" t="s">
        <v>85</v>
      </c>
      <c r="AV173" s="124">
        <f t="shared" si="95"/>
        <v>0</v>
      </c>
      <c r="AW173" s="124">
        <f t="shared" si="96"/>
        <v>0</v>
      </c>
      <c r="AX173" s="124">
        <f t="shared" si="97"/>
        <v>0</v>
      </c>
      <c r="AY173" s="125" t="s">
        <v>643</v>
      </c>
      <c r="AZ173" s="125" t="s">
        <v>1537</v>
      </c>
      <c r="BA173" s="113" t="s">
        <v>1542</v>
      </c>
      <c r="BC173" s="124">
        <f t="shared" si="98"/>
        <v>0</v>
      </c>
      <c r="BD173" s="124">
        <f t="shared" si="99"/>
        <v>0</v>
      </c>
      <c r="BE173" s="124">
        <v>0</v>
      </c>
      <c r="BF173" s="124">
        <f t="shared" si="100"/>
        <v>0</v>
      </c>
      <c r="BH173" s="122">
        <f t="shared" si="101"/>
        <v>0</v>
      </c>
      <c r="BI173" s="122">
        <f t="shared" si="102"/>
        <v>0</v>
      </c>
      <c r="BJ173" s="122">
        <f t="shared" si="103"/>
        <v>0</v>
      </c>
    </row>
    <row r="174" spans="1:62" s="174" customFormat="1" ht="12.75">
      <c r="A174" s="121" t="s">
        <v>208</v>
      </c>
      <c r="B174" s="121" t="s">
        <v>60</v>
      </c>
      <c r="C174" s="121" t="s">
        <v>1022</v>
      </c>
      <c r="D174" s="129" t="s">
        <v>1316</v>
      </c>
      <c r="E174" s="121" t="s">
        <v>606</v>
      </c>
      <c r="F174" s="122">
        <f>'Stavební rozpočet'!F340</f>
        <v>1</v>
      </c>
      <c r="G174" s="172"/>
      <c r="H174" s="122">
        <f t="shared" si="78"/>
        <v>0</v>
      </c>
      <c r="I174" s="122">
        <f t="shared" si="79"/>
        <v>0</v>
      </c>
      <c r="J174" s="122">
        <f t="shared" si="80"/>
        <v>0</v>
      </c>
      <c r="K174" s="122">
        <f>'Stavební rozpočet'!K340</f>
        <v>0</v>
      </c>
      <c r="L174" s="122">
        <f t="shared" si="81"/>
        <v>0</v>
      </c>
      <c r="M174" s="123" t="s">
        <v>622</v>
      </c>
      <c r="Z174" s="124">
        <f t="shared" si="82"/>
        <v>0</v>
      </c>
      <c r="AB174" s="124">
        <f t="shared" si="83"/>
        <v>0</v>
      </c>
      <c r="AC174" s="124">
        <f t="shared" si="84"/>
        <v>0</v>
      </c>
      <c r="AD174" s="124">
        <f t="shared" si="85"/>
        <v>0</v>
      </c>
      <c r="AE174" s="124">
        <f t="shared" si="86"/>
        <v>0</v>
      </c>
      <c r="AF174" s="124">
        <f t="shared" si="87"/>
        <v>0</v>
      </c>
      <c r="AG174" s="124">
        <f t="shared" si="88"/>
        <v>0</v>
      </c>
      <c r="AH174" s="124">
        <f t="shared" si="89"/>
        <v>0</v>
      </c>
      <c r="AI174" s="113" t="s">
        <v>60</v>
      </c>
      <c r="AJ174" s="122">
        <f t="shared" si="90"/>
        <v>0</v>
      </c>
      <c r="AK174" s="122">
        <f t="shared" si="91"/>
        <v>0</v>
      </c>
      <c r="AL174" s="122">
        <f t="shared" si="92"/>
        <v>0</v>
      </c>
      <c r="AN174" s="124">
        <v>15</v>
      </c>
      <c r="AO174" s="124">
        <f t="shared" si="93"/>
        <v>0</v>
      </c>
      <c r="AP174" s="124">
        <f t="shared" si="94"/>
        <v>0</v>
      </c>
      <c r="AQ174" s="123" t="s">
        <v>85</v>
      </c>
      <c r="AV174" s="124">
        <f t="shared" si="95"/>
        <v>0</v>
      </c>
      <c r="AW174" s="124">
        <f t="shared" si="96"/>
        <v>0</v>
      </c>
      <c r="AX174" s="124">
        <f t="shared" si="97"/>
        <v>0</v>
      </c>
      <c r="AY174" s="125" t="s">
        <v>643</v>
      </c>
      <c r="AZ174" s="125" t="s">
        <v>1537</v>
      </c>
      <c r="BA174" s="113" t="s">
        <v>1542</v>
      </c>
      <c r="BC174" s="124">
        <f t="shared" si="98"/>
        <v>0</v>
      </c>
      <c r="BD174" s="124">
        <f t="shared" si="99"/>
        <v>0</v>
      </c>
      <c r="BE174" s="124">
        <v>0</v>
      </c>
      <c r="BF174" s="124">
        <f t="shared" si="100"/>
        <v>0</v>
      </c>
      <c r="BH174" s="122">
        <f t="shared" si="101"/>
        <v>0</v>
      </c>
      <c r="BI174" s="122">
        <f t="shared" si="102"/>
        <v>0</v>
      </c>
      <c r="BJ174" s="122">
        <f t="shared" si="103"/>
        <v>0</v>
      </c>
    </row>
    <row r="175" spans="1:62" s="174" customFormat="1" ht="12.75">
      <c r="A175" s="121" t="s">
        <v>209</v>
      </c>
      <c r="B175" s="121" t="s">
        <v>60</v>
      </c>
      <c r="C175" s="121" t="s">
        <v>1023</v>
      </c>
      <c r="D175" s="129" t="s">
        <v>1317</v>
      </c>
      <c r="E175" s="121" t="s">
        <v>606</v>
      </c>
      <c r="F175" s="122">
        <f>'Stavební rozpočet'!F341</f>
        <v>1</v>
      </c>
      <c r="G175" s="172"/>
      <c r="H175" s="122">
        <f t="shared" si="78"/>
        <v>0</v>
      </c>
      <c r="I175" s="122">
        <f t="shared" si="79"/>
        <v>0</v>
      </c>
      <c r="J175" s="122">
        <f t="shared" si="80"/>
        <v>0</v>
      </c>
      <c r="K175" s="122">
        <f>'Stavební rozpočet'!K341</f>
        <v>0</v>
      </c>
      <c r="L175" s="122">
        <f t="shared" si="81"/>
        <v>0</v>
      </c>
      <c r="M175" s="123" t="s">
        <v>622</v>
      </c>
      <c r="Z175" s="124">
        <f t="shared" si="82"/>
        <v>0</v>
      </c>
      <c r="AB175" s="124">
        <f t="shared" si="83"/>
        <v>0</v>
      </c>
      <c r="AC175" s="124">
        <f t="shared" si="84"/>
        <v>0</v>
      </c>
      <c r="AD175" s="124">
        <f t="shared" si="85"/>
        <v>0</v>
      </c>
      <c r="AE175" s="124">
        <f t="shared" si="86"/>
        <v>0</v>
      </c>
      <c r="AF175" s="124">
        <f t="shared" si="87"/>
        <v>0</v>
      </c>
      <c r="AG175" s="124">
        <f t="shared" si="88"/>
        <v>0</v>
      </c>
      <c r="AH175" s="124">
        <f t="shared" si="89"/>
        <v>0</v>
      </c>
      <c r="AI175" s="113" t="s">
        <v>60</v>
      </c>
      <c r="AJ175" s="122">
        <f t="shared" si="90"/>
        <v>0</v>
      </c>
      <c r="AK175" s="122">
        <f t="shared" si="91"/>
        <v>0</v>
      </c>
      <c r="AL175" s="122">
        <f t="shared" si="92"/>
        <v>0</v>
      </c>
      <c r="AN175" s="124">
        <v>15</v>
      </c>
      <c r="AO175" s="124">
        <f t="shared" si="93"/>
        <v>0</v>
      </c>
      <c r="AP175" s="124">
        <f t="shared" si="94"/>
        <v>0</v>
      </c>
      <c r="AQ175" s="123" t="s">
        <v>85</v>
      </c>
      <c r="AV175" s="124">
        <f t="shared" si="95"/>
        <v>0</v>
      </c>
      <c r="AW175" s="124">
        <f t="shared" si="96"/>
        <v>0</v>
      </c>
      <c r="AX175" s="124">
        <f t="shared" si="97"/>
        <v>0</v>
      </c>
      <c r="AY175" s="125" t="s">
        <v>643</v>
      </c>
      <c r="AZ175" s="125" t="s">
        <v>1537</v>
      </c>
      <c r="BA175" s="113" t="s">
        <v>1542</v>
      </c>
      <c r="BC175" s="124">
        <f t="shared" si="98"/>
        <v>0</v>
      </c>
      <c r="BD175" s="124">
        <f t="shared" si="99"/>
        <v>0</v>
      </c>
      <c r="BE175" s="124">
        <v>0</v>
      </c>
      <c r="BF175" s="124">
        <f t="shared" si="100"/>
        <v>0</v>
      </c>
      <c r="BH175" s="122">
        <f t="shared" si="101"/>
        <v>0</v>
      </c>
      <c r="BI175" s="122">
        <f t="shared" si="102"/>
        <v>0</v>
      </c>
      <c r="BJ175" s="122">
        <f t="shared" si="103"/>
        <v>0</v>
      </c>
    </row>
    <row r="176" spans="1:62" s="174" customFormat="1" ht="12.75">
      <c r="A176" s="121" t="s">
        <v>210</v>
      </c>
      <c r="B176" s="121" t="s">
        <v>60</v>
      </c>
      <c r="C176" s="121" t="s">
        <v>1024</v>
      </c>
      <c r="D176" s="129" t="s">
        <v>1318</v>
      </c>
      <c r="E176" s="121" t="s">
        <v>606</v>
      </c>
      <c r="F176" s="122">
        <f>'Stavební rozpočet'!F342</f>
        <v>1</v>
      </c>
      <c r="G176" s="172"/>
      <c r="H176" s="122">
        <f t="shared" si="78"/>
        <v>0</v>
      </c>
      <c r="I176" s="122">
        <f t="shared" si="79"/>
        <v>0</v>
      </c>
      <c r="J176" s="122">
        <f t="shared" si="80"/>
        <v>0</v>
      </c>
      <c r="K176" s="122">
        <f>'Stavební rozpočet'!K342</f>
        <v>0</v>
      </c>
      <c r="L176" s="122">
        <f t="shared" si="81"/>
        <v>0</v>
      </c>
      <c r="M176" s="123" t="s">
        <v>622</v>
      </c>
      <c r="Z176" s="124">
        <f t="shared" si="82"/>
        <v>0</v>
      </c>
      <c r="AB176" s="124">
        <f t="shared" si="83"/>
        <v>0</v>
      </c>
      <c r="AC176" s="124">
        <f t="shared" si="84"/>
        <v>0</v>
      </c>
      <c r="AD176" s="124">
        <f t="shared" si="85"/>
        <v>0</v>
      </c>
      <c r="AE176" s="124">
        <f t="shared" si="86"/>
        <v>0</v>
      </c>
      <c r="AF176" s="124">
        <f t="shared" si="87"/>
        <v>0</v>
      </c>
      <c r="AG176" s="124">
        <f t="shared" si="88"/>
        <v>0</v>
      </c>
      <c r="AH176" s="124">
        <f t="shared" si="89"/>
        <v>0</v>
      </c>
      <c r="AI176" s="113" t="s">
        <v>60</v>
      </c>
      <c r="AJ176" s="122">
        <f t="shared" si="90"/>
        <v>0</v>
      </c>
      <c r="AK176" s="122">
        <f t="shared" si="91"/>
        <v>0</v>
      </c>
      <c r="AL176" s="122">
        <f t="shared" si="92"/>
        <v>0</v>
      </c>
      <c r="AN176" s="124">
        <v>15</v>
      </c>
      <c r="AO176" s="124">
        <f t="shared" si="93"/>
        <v>0</v>
      </c>
      <c r="AP176" s="124">
        <f t="shared" si="94"/>
        <v>0</v>
      </c>
      <c r="AQ176" s="123" t="s">
        <v>85</v>
      </c>
      <c r="AV176" s="124">
        <f t="shared" si="95"/>
        <v>0</v>
      </c>
      <c r="AW176" s="124">
        <f t="shared" si="96"/>
        <v>0</v>
      </c>
      <c r="AX176" s="124">
        <f t="shared" si="97"/>
        <v>0</v>
      </c>
      <c r="AY176" s="125" t="s">
        <v>643</v>
      </c>
      <c r="AZ176" s="125" t="s">
        <v>1537</v>
      </c>
      <c r="BA176" s="113" t="s">
        <v>1542</v>
      </c>
      <c r="BC176" s="124">
        <f t="shared" si="98"/>
        <v>0</v>
      </c>
      <c r="BD176" s="124">
        <f t="shared" si="99"/>
        <v>0</v>
      </c>
      <c r="BE176" s="124">
        <v>0</v>
      </c>
      <c r="BF176" s="124">
        <f t="shared" si="100"/>
        <v>0</v>
      </c>
      <c r="BH176" s="122">
        <f t="shared" si="101"/>
        <v>0</v>
      </c>
      <c r="BI176" s="122">
        <f t="shared" si="102"/>
        <v>0</v>
      </c>
      <c r="BJ176" s="122">
        <f t="shared" si="103"/>
        <v>0</v>
      </c>
    </row>
    <row r="177" spans="1:62" s="174" customFormat="1" ht="12.75">
      <c r="A177" s="121" t="s">
        <v>211</v>
      </c>
      <c r="B177" s="121" t="s">
        <v>60</v>
      </c>
      <c r="C177" s="121" t="s">
        <v>1025</v>
      </c>
      <c r="D177" s="129" t="s">
        <v>1319</v>
      </c>
      <c r="E177" s="121" t="s">
        <v>606</v>
      </c>
      <c r="F177" s="122">
        <f>'Stavební rozpočet'!F343</f>
        <v>19</v>
      </c>
      <c r="G177" s="172"/>
      <c r="H177" s="122">
        <f t="shared" si="78"/>
        <v>0</v>
      </c>
      <c r="I177" s="122">
        <f t="shared" si="79"/>
        <v>0</v>
      </c>
      <c r="J177" s="122">
        <f t="shared" si="80"/>
        <v>0</v>
      </c>
      <c r="K177" s="122">
        <f>'Stavební rozpočet'!K343</f>
        <v>0</v>
      </c>
      <c r="L177" s="122">
        <f t="shared" si="81"/>
        <v>0</v>
      </c>
      <c r="M177" s="123" t="s">
        <v>622</v>
      </c>
      <c r="Z177" s="124">
        <f t="shared" si="82"/>
        <v>0</v>
      </c>
      <c r="AB177" s="124">
        <f t="shared" si="83"/>
        <v>0</v>
      </c>
      <c r="AC177" s="124">
        <f t="shared" si="84"/>
        <v>0</v>
      </c>
      <c r="AD177" s="124">
        <f t="shared" si="85"/>
        <v>0</v>
      </c>
      <c r="AE177" s="124">
        <f t="shared" si="86"/>
        <v>0</v>
      </c>
      <c r="AF177" s="124">
        <f t="shared" si="87"/>
        <v>0</v>
      </c>
      <c r="AG177" s="124">
        <f t="shared" si="88"/>
        <v>0</v>
      </c>
      <c r="AH177" s="124">
        <f t="shared" si="89"/>
        <v>0</v>
      </c>
      <c r="AI177" s="113" t="s">
        <v>60</v>
      </c>
      <c r="AJ177" s="122">
        <f t="shared" si="90"/>
        <v>0</v>
      </c>
      <c r="AK177" s="122">
        <f t="shared" si="91"/>
        <v>0</v>
      </c>
      <c r="AL177" s="122">
        <f t="shared" si="92"/>
        <v>0</v>
      </c>
      <c r="AN177" s="124">
        <v>15</v>
      </c>
      <c r="AO177" s="124">
        <f t="shared" si="93"/>
        <v>0</v>
      </c>
      <c r="AP177" s="124">
        <f t="shared" si="94"/>
        <v>0</v>
      </c>
      <c r="AQ177" s="123" t="s">
        <v>85</v>
      </c>
      <c r="AV177" s="124">
        <f t="shared" si="95"/>
        <v>0</v>
      </c>
      <c r="AW177" s="124">
        <f t="shared" si="96"/>
        <v>0</v>
      </c>
      <c r="AX177" s="124">
        <f t="shared" si="97"/>
        <v>0</v>
      </c>
      <c r="AY177" s="125" t="s">
        <v>643</v>
      </c>
      <c r="AZ177" s="125" t="s">
        <v>1537</v>
      </c>
      <c r="BA177" s="113" t="s">
        <v>1542</v>
      </c>
      <c r="BC177" s="124">
        <f t="shared" si="98"/>
        <v>0</v>
      </c>
      <c r="BD177" s="124">
        <f t="shared" si="99"/>
        <v>0</v>
      </c>
      <c r="BE177" s="124">
        <v>0</v>
      </c>
      <c r="BF177" s="124">
        <f t="shared" si="100"/>
        <v>0</v>
      </c>
      <c r="BH177" s="122">
        <f t="shared" si="101"/>
        <v>0</v>
      </c>
      <c r="BI177" s="122">
        <f t="shared" si="102"/>
        <v>0</v>
      </c>
      <c r="BJ177" s="122">
        <f t="shared" si="103"/>
        <v>0</v>
      </c>
    </row>
    <row r="178" spans="1:62" s="174" customFormat="1" ht="12.75">
      <c r="A178" s="121" t="s">
        <v>212</v>
      </c>
      <c r="B178" s="121" t="s">
        <v>60</v>
      </c>
      <c r="C178" s="121" t="s">
        <v>1026</v>
      </c>
      <c r="D178" s="129" t="s">
        <v>1320</v>
      </c>
      <c r="E178" s="121" t="s">
        <v>606</v>
      </c>
      <c r="F178" s="122">
        <f>'Stavební rozpočet'!F344</f>
        <v>12</v>
      </c>
      <c r="G178" s="172"/>
      <c r="H178" s="122">
        <f t="shared" si="78"/>
        <v>0</v>
      </c>
      <c r="I178" s="122">
        <f t="shared" si="79"/>
        <v>0</v>
      </c>
      <c r="J178" s="122">
        <f t="shared" si="80"/>
        <v>0</v>
      </c>
      <c r="K178" s="122">
        <f>'Stavební rozpočet'!K344</f>
        <v>0</v>
      </c>
      <c r="L178" s="122">
        <f t="shared" si="81"/>
        <v>0</v>
      </c>
      <c r="M178" s="123" t="s">
        <v>622</v>
      </c>
      <c r="Z178" s="124">
        <f t="shared" si="82"/>
        <v>0</v>
      </c>
      <c r="AB178" s="124">
        <f t="shared" si="83"/>
        <v>0</v>
      </c>
      <c r="AC178" s="124">
        <f t="shared" si="84"/>
        <v>0</v>
      </c>
      <c r="AD178" s="124">
        <f t="shared" si="85"/>
        <v>0</v>
      </c>
      <c r="AE178" s="124">
        <f t="shared" si="86"/>
        <v>0</v>
      </c>
      <c r="AF178" s="124">
        <f t="shared" si="87"/>
        <v>0</v>
      </c>
      <c r="AG178" s="124">
        <f t="shared" si="88"/>
        <v>0</v>
      </c>
      <c r="AH178" s="124">
        <f t="shared" si="89"/>
        <v>0</v>
      </c>
      <c r="AI178" s="113" t="s">
        <v>60</v>
      </c>
      <c r="AJ178" s="122">
        <f t="shared" si="90"/>
        <v>0</v>
      </c>
      <c r="AK178" s="122">
        <f t="shared" si="91"/>
        <v>0</v>
      </c>
      <c r="AL178" s="122">
        <f t="shared" si="92"/>
        <v>0</v>
      </c>
      <c r="AN178" s="124">
        <v>15</v>
      </c>
      <c r="AO178" s="124">
        <f t="shared" si="93"/>
        <v>0</v>
      </c>
      <c r="AP178" s="124">
        <f t="shared" si="94"/>
        <v>0</v>
      </c>
      <c r="AQ178" s="123" t="s">
        <v>85</v>
      </c>
      <c r="AV178" s="124">
        <f t="shared" si="95"/>
        <v>0</v>
      </c>
      <c r="AW178" s="124">
        <f t="shared" si="96"/>
        <v>0</v>
      </c>
      <c r="AX178" s="124">
        <f t="shared" si="97"/>
        <v>0</v>
      </c>
      <c r="AY178" s="125" t="s">
        <v>643</v>
      </c>
      <c r="AZ178" s="125" t="s">
        <v>1537</v>
      </c>
      <c r="BA178" s="113" t="s">
        <v>1542</v>
      </c>
      <c r="BC178" s="124">
        <f t="shared" si="98"/>
        <v>0</v>
      </c>
      <c r="BD178" s="124">
        <f t="shared" si="99"/>
        <v>0</v>
      </c>
      <c r="BE178" s="124">
        <v>0</v>
      </c>
      <c r="BF178" s="124">
        <f t="shared" si="100"/>
        <v>0</v>
      </c>
      <c r="BH178" s="122">
        <f t="shared" si="101"/>
        <v>0</v>
      </c>
      <c r="BI178" s="122">
        <f t="shared" si="102"/>
        <v>0</v>
      </c>
      <c r="BJ178" s="122">
        <f t="shared" si="103"/>
        <v>0</v>
      </c>
    </row>
    <row r="179" spans="1:62" s="174" customFormat="1" ht="12.75">
      <c r="A179" s="121" t="s">
        <v>213</v>
      </c>
      <c r="B179" s="121" t="s">
        <v>60</v>
      </c>
      <c r="C179" s="121" t="s">
        <v>1027</v>
      </c>
      <c r="D179" s="129" t="s">
        <v>1321</v>
      </c>
      <c r="E179" s="121" t="s">
        <v>606</v>
      </c>
      <c r="F179" s="122">
        <f>'Stavební rozpočet'!F345</f>
        <v>3</v>
      </c>
      <c r="G179" s="172"/>
      <c r="H179" s="122">
        <f t="shared" si="78"/>
        <v>0</v>
      </c>
      <c r="I179" s="122">
        <f t="shared" si="79"/>
        <v>0</v>
      </c>
      <c r="J179" s="122">
        <f t="shared" si="80"/>
        <v>0</v>
      </c>
      <c r="K179" s="122">
        <f>'Stavební rozpočet'!K345</f>
        <v>0</v>
      </c>
      <c r="L179" s="122">
        <f t="shared" si="81"/>
        <v>0</v>
      </c>
      <c r="M179" s="123" t="s">
        <v>622</v>
      </c>
      <c r="Z179" s="124">
        <f t="shared" si="82"/>
        <v>0</v>
      </c>
      <c r="AB179" s="124">
        <f t="shared" si="83"/>
        <v>0</v>
      </c>
      <c r="AC179" s="124">
        <f t="shared" si="84"/>
        <v>0</v>
      </c>
      <c r="AD179" s="124">
        <f t="shared" si="85"/>
        <v>0</v>
      </c>
      <c r="AE179" s="124">
        <f t="shared" si="86"/>
        <v>0</v>
      </c>
      <c r="AF179" s="124">
        <f t="shared" si="87"/>
        <v>0</v>
      </c>
      <c r="AG179" s="124">
        <f t="shared" si="88"/>
        <v>0</v>
      </c>
      <c r="AH179" s="124">
        <f t="shared" si="89"/>
        <v>0</v>
      </c>
      <c r="AI179" s="113" t="s">
        <v>60</v>
      </c>
      <c r="AJ179" s="122">
        <f t="shared" si="90"/>
        <v>0</v>
      </c>
      <c r="AK179" s="122">
        <f t="shared" si="91"/>
        <v>0</v>
      </c>
      <c r="AL179" s="122">
        <f t="shared" si="92"/>
        <v>0</v>
      </c>
      <c r="AN179" s="124">
        <v>15</v>
      </c>
      <c r="AO179" s="124">
        <f t="shared" si="93"/>
        <v>0</v>
      </c>
      <c r="AP179" s="124">
        <f t="shared" si="94"/>
        <v>0</v>
      </c>
      <c r="AQ179" s="123" t="s">
        <v>85</v>
      </c>
      <c r="AV179" s="124">
        <f t="shared" si="95"/>
        <v>0</v>
      </c>
      <c r="AW179" s="124">
        <f t="shared" si="96"/>
        <v>0</v>
      </c>
      <c r="AX179" s="124">
        <f t="shared" si="97"/>
        <v>0</v>
      </c>
      <c r="AY179" s="125" t="s">
        <v>643</v>
      </c>
      <c r="AZ179" s="125" t="s">
        <v>1537</v>
      </c>
      <c r="BA179" s="113" t="s">
        <v>1542</v>
      </c>
      <c r="BC179" s="124">
        <f t="shared" si="98"/>
        <v>0</v>
      </c>
      <c r="BD179" s="124">
        <f t="shared" si="99"/>
        <v>0</v>
      </c>
      <c r="BE179" s="124">
        <v>0</v>
      </c>
      <c r="BF179" s="124">
        <f t="shared" si="100"/>
        <v>0</v>
      </c>
      <c r="BH179" s="122">
        <f t="shared" si="101"/>
        <v>0</v>
      </c>
      <c r="BI179" s="122">
        <f t="shared" si="102"/>
        <v>0</v>
      </c>
      <c r="BJ179" s="122">
        <f t="shared" si="103"/>
        <v>0</v>
      </c>
    </row>
    <row r="180" spans="1:62" s="174" customFormat="1" ht="12.75">
      <c r="A180" s="121" t="s">
        <v>214</v>
      </c>
      <c r="B180" s="121" t="s">
        <v>60</v>
      </c>
      <c r="C180" s="121" t="s">
        <v>1028</v>
      </c>
      <c r="D180" s="129" t="s">
        <v>1322</v>
      </c>
      <c r="E180" s="121" t="s">
        <v>606</v>
      </c>
      <c r="F180" s="122">
        <f>'Stavební rozpočet'!F346</f>
        <v>3</v>
      </c>
      <c r="G180" s="172"/>
      <c r="H180" s="122">
        <f t="shared" si="78"/>
        <v>0</v>
      </c>
      <c r="I180" s="122">
        <f t="shared" si="79"/>
        <v>0</v>
      </c>
      <c r="J180" s="122">
        <f t="shared" si="80"/>
        <v>0</v>
      </c>
      <c r="K180" s="122">
        <f>'Stavební rozpočet'!K346</f>
        <v>0</v>
      </c>
      <c r="L180" s="122">
        <f t="shared" si="81"/>
        <v>0</v>
      </c>
      <c r="M180" s="123" t="s">
        <v>622</v>
      </c>
      <c r="Z180" s="124">
        <f t="shared" si="82"/>
        <v>0</v>
      </c>
      <c r="AB180" s="124">
        <f t="shared" si="83"/>
        <v>0</v>
      </c>
      <c r="AC180" s="124">
        <f t="shared" si="84"/>
        <v>0</v>
      </c>
      <c r="AD180" s="124">
        <f t="shared" si="85"/>
        <v>0</v>
      </c>
      <c r="AE180" s="124">
        <f t="shared" si="86"/>
        <v>0</v>
      </c>
      <c r="AF180" s="124">
        <f t="shared" si="87"/>
        <v>0</v>
      </c>
      <c r="AG180" s="124">
        <f t="shared" si="88"/>
        <v>0</v>
      </c>
      <c r="AH180" s="124">
        <f t="shared" si="89"/>
        <v>0</v>
      </c>
      <c r="AI180" s="113" t="s">
        <v>60</v>
      </c>
      <c r="AJ180" s="122">
        <f t="shared" si="90"/>
        <v>0</v>
      </c>
      <c r="AK180" s="122">
        <f t="shared" si="91"/>
        <v>0</v>
      </c>
      <c r="AL180" s="122">
        <f t="shared" si="92"/>
        <v>0</v>
      </c>
      <c r="AN180" s="124">
        <v>15</v>
      </c>
      <c r="AO180" s="124">
        <f t="shared" si="93"/>
        <v>0</v>
      </c>
      <c r="AP180" s="124">
        <f t="shared" si="94"/>
        <v>0</v>
      </c>
      <c r="AQ180" s="123" t="s">
        <v>85</v>
      </c>
      <c r="AV180" s="124">
        <f t="shared" si="95"/>
        <v>0</v>
      </c>
      <c r="AW180" s="124">
        <f t="shared" si="96"/>
        <v>0</v>
      </c>
      <c r="AX180" s="124">
        <f t="shared" si="97"/>
        <v>0</v>
      </c>
      <c r="AY180" s="125" t="s">
        <v>643</v>
      </c>
      <c r="AZ180" s="125" t="s">
        <v>1537</v>
      </c>
      <c r="BA180" s="113" t="s">
        <v>1542</v>
      </c>
      <c r="BC180" s="124">
        <f t="shared" si="98"/>
        <v>0</v>
      </c>
      <c r="BD180" s="124">
        <f t="shared" si="99"/>
        <v>0</v>
      </c>
      <c r="BE180" s="124">
        <v>0</v>
      </c>
      <c r="BF180" s="124">
        <f t="shared" si="100"/>
        <v>0</v>
      </c>
      <c r="BH180" s="122">
        <f t="shared" si="101"/>
        <v>0</v>
      </c>
      <c r="BI180" s="122">
        <f t="shared" si="102"/>
        <v>0</v>
      </c>
      <c r="BJ180" s="122">
        <f t="shared" si="103"/>
        <v>0</v>
      </c>
    </row>
    <row r="181" spans="1:62" s="174" customFormat="1" ht="12.75">
      <c r="A181" s="121" t="s">
        <v>215</v>
      </c>
      <c r="B181" s="121" t="s">
        <v>60</v>
      </c>
      <c r="C181" s="121" t="s">
        <v>1029</v>
      </c>
      <c r="D181" s="129" t="s">
        <v>1323</v>
      </c>
      <c r="E181" s="121" t="s">
        <v>606</v>
      </c>
      <c r="F181" s="122">
        <f>'Stavební rozpočet'!F347</f>
        <v>1</v>
      </c>
      <c r="G181" s="172"/>
      <c r="H181" s="122">
        <f t="shared" si="78"/>
        <v>0</v>
      </c>
      <c r="I181" s="122">
        <f t="shared" si="79"/>
        <v>0</v>
      </c>
      <c r="J181" s="122">
        <f t="shared" si="80"/>
        <v>0</v>
      </c>
      <c r="K181" s="122">
        <f>'Stavební rozpočet'!K347</f>
        <v>0</v>
      </c>
      <c r="L181" s="122">
        <f t="shared" si="81"/>
        <v>0</v>
      </c>
      <c r="M181" s="123" t="s">
        <v>622</v>
      </c>
      <c r="Z181" s="124">
        <f t="shared" si="82"/>
        <v>0</v>
      </c>
      <c r="AB181" s="124">
        <f t="shared" si="83"/>
        <v>0</v>
      </c>
      <c r="AC181" s="124">
        <f t="shared" si="84"/>
        <v>0</v>
      </c>
      <c r="AD181" s="124">
        <f t="shared" si="85"/>
        <v>0</v>
      </c>
      <c r="AE181" s="124">
        <f t="shared" si="86"/>
        <v>0</v>
      </c>
      <c r="AF181" s="124">
        <f t="shared" si="87"/>
        <v>0</v>
      </c>
      <c r="AG181" s="124">
        <f t="shared" si="88"/>
        <v>0</v>
      </c>
      <c r="AH181" s="124">
        <f t="shared" si="89"/>
        <v>0</v>
      </c>
      <c r="AI181" s="113" t="s">
        <v>60</v>
      </c>
      <c r="AJ181" s="122">
        <f t="shared" si="90"/>
        <v>0</v>
      </c>
      <c r="AK181" s="122">
        <f t="shared" si="91"/>
        <v>0</v>
      </c>
      <c r="AL181" s="122">
        <f t="shared" si="92"/>
        <v>0</v>
      </c>
      <c r="AN181" s="124">
        <v>15</v>
      </c>
      <c r="AO181" s="124">
        <f t="shared" si="93"/>
        <v>0</v>
      </c>
      <c r="AP181" s="124">
        <f t="shared" si="94"/>
        <v>0</v>
      </c>
      <c r="AQ181" s="123" t="s">
        <v>85</v>
      </c>
      <c r="AV181" s="124">
        <f t="shared" si="95"/>
        <v>0</v>
      </c>
      <c r="AW181" s="124">
        <f t="shared" si="96"/>
        <v>0</v>
      </c>
      <c r="AX181" s="124">
        <f t="shared" si="97"/>
        <v>0</v>
      </c>
      <c r="AY181" s="125" t="s">
        <v>643</v>
      </c>
      <c r="AZ181" s="125" t="s">
        <v>1537</v>
      </c>
      <c r="BA181" s="113" t="s">
        <v>1542</v>
      </c>
      <c r="BC181" s="124">
        <f t="shared" si="98"/>
        <v>0</v>
      </c>
      <c r="BD181" s="124">
        <f t="shared" si="99"/>
        <v>0</v>
      </c>
      <c r="BE181" s="124">
        <v>0</v>
      </c>
      <c r="BF181" s="124">
        <f t="shared" si="100"/>
        <v>0</v>
      </c>
      <c r="BH181" s="122">
        <f t="shared" si="101"/>
        <v>0</v>
      </c>
      <c r="BI181" s="122">
        <f t="shared" si="102"/>
        <v>0</v>
      </c>
      <c r="BJ181" s="122">
        <f t="shared" si="103"/>
        <v>0</v>
      </c>
    </row>
    <row r="182" spans="1:62" s="174" customFormat="1" ht="12.75">
      <c r="A182" s="121" t="s">
        <v>216</v>
      </c>
      <c r="B182" s="121" t="s">
        <v>60</v>
      </c>
      <c r="C182" s="121" t="s">
        <v>1030</v>
      </c>
      <c r="D182" s="129" t="s">
        <v>1324</v>
      </c>
      <c r="E182" s="121" t="s">
        <v>606</v>
      </c>
      <c r="F182" s="122">
        <f>'Stavební rozpočet'!F348</f>
        <v>1</v>
      </c>
      <c r="G182" s="172"/>
      <c r="H182" s="122">
        <f t="shared" si="78"/>
        <v>0</v>
      </c>
      <c r="I182" s="122">
        <f t="shared" si="79"/>
        <v>0</v>
      </c>
      <c r="J182" s="122">
        <f t="shared" si="80"/>
        <v>0</v>
      </c>
      <c r="K182" s="122">
        <f>'Stavební rozpočet'!K348</f>
        <v>0</v>
      </c>
      <c r="L182" s="122">
        <f t="shared" si="81"/>
        <v>0</v>
      </c>
      <c r="M182" s="123" t="s">
        <v>622</v>
      </c>
      <c r="Z182" s="124">
        <f t="shared" si="82"/>
        <v>0</v>
      </c>
      <c r="AB182" s="124">
        <f t="shared" si="83"/>
        <v>0</v>
      </c>
      <c r="AC182" s="124">
        <f t="shared" si="84"/>
        <v>0</v>
      </c>
      <c r="AD182" s="124">
        <f t="shared" si="85"/>
        <v>0</v>
      </c>
      <c r="AE182" s="124">
        <f t="shared" si="86"/>
        <v>0</v>
      </c>
      <c r="AF182" s="124">
        <f t="shared" si="87"/>
        <v>0</v>
      </c>
      <c r="AG182" s="124">
        <f t="shared" si="88"/>
        <v>0</v>
      </c>
      <c r="AH182" s="124">
        <f t="shared" si="89"/>
        <v>0</v>
      </c>
      <c r="AI182" s="113" t="s">
        <v>60</v>
      </c>
      <c r="AJ182" s="122">
        <f t="shared" si="90"/>
        <v>0</v>
      </c>
      <c r="AK182" s="122">
        <f t="shared" si="91"/>
        <v>0</v>
      </c>
      <c r="AL182" s="122">
        <f t="shared" si="92"/>
        <v>0</v>
      </c>
      <c r="AN182" s="124">
        <v>15</v>
      </c>
      <c r="AO182" s="124">
        <f t="shared" si="93"/>
        <v>0</v>
      </c>
      <c r="AP182" s="124">
        <f t="shared" si="94"/>
        <v>0</v>
      </c>
      <c r="AQ182" s="123" t="s">
        <v>85</v>
      </c>
      <c r="AV182" s="124">
        <f t="shared" si="95"/>
        <v>0</v>
      </c>
      <c r="AW182" s="124">
        <f t="shared" si="96"/>
        <v>0</v>
      </c>
      <c r="AX182" s="124">
        <f t="shared" si="97"/>
        <v>0</v>
      </c>
      <c r="AY182" s="125" t="s">
        <v>643</v>
      </c>
      <c r="AZ182" s="125" t="s">
        <v>1537</v>
      </c>
      <c r="BA182" s="113" t="s">
        <v>1542</v>
      </c>
      <c r="BC182" s="124">
        <f t="shared" si="98"/>
        <v>0</v>
      </c>
      <c r="BD182" s="124">
        <f t="shared" si="99"/>
        <v>0</v>
      </c>
      <c r="BE182" s="124">
        <v>0</v>
      </c>
      <c r="BF182" s="124">
        <f t="shared" si="100"/>
        <v>0</v>
      </c>
      <c r="BH182" s="122">
        <f t="shared" si="101"/>
        <v>0</v>
      </c>
      <c r="BI182" s="122">
        <f t="shared" si="102"/>
        <v>0</v>
      </c>
      <c r="BJ182" s="122">
        <f t="shared" si="103"/>
        <v>0</v>
      </c>
    </row>
    <row r="183" spans="1:62" s="174" customFormat="1" ht="12.75">
      <c r="A183" s="121" t="s">
        <v>217</v>
      </c>
      <c r="B183" s="121" t="s">
        <v>60</v>
      </c>
      <c r="C183" s="121" t="s">
        <v>1031</v>
      </c>
      <c r="D183" s="129" t="s">
        <v>1325</v>
      </c>
      <c r="E183" s="121" t="s">
        <v>606</v>
      </c>
      <c r="F183" s="122">
        <f>'Stavební rozpočet'!F349</f>
        <v>1</v>
      </c>
      <c r="G183" s="172"/>
      <c r="H183" s="122">
        <f t="shared" si="78"/>
        <v>0</v>
      </c>
      <c r="I183" s="122">
        <f t="shared" si="79"/>
        <v>0</v>
      </c>
      <c r="J183" s="122">
        <f t="shared" si="80"/>
        <v>0</v>
      </c>
      <c r="K183" s="122">
        <f>'Stavební rozpočet'!K349</f>
        <v>0</v>
      </c>
      <c r="L183" s="122">
        <f t="shared" si="81"/>
        <v>0</v>
      </c>
      <c r="M183" s="123" t="s">
        <v>622</v>
      </c>
      <c r="Z183" s="124">
        <f t="shared" si="82"/>
        <v>0</v>
      </c>
      <c r="AB183" s="124">
        <f t="shared" si="83"/>
        <v>0</v>
      </c>
      <c r="AC183" s="124">
        <f t="shared" si="84"/>
        <v>0</v>
      </c>
      <c r="AD183" s="124">
        <f t="shared" si="85"/>
        <v>0</v>
      </c>
      <c r="AE183" s="124">
        <f t="shared" si="86"/>
        <v>0</v>
      </c>
      <c r="AF183" s="124">
        <f t="shared" si="87"/>
        <v>0</v>
      </c>
      <c r="AG183" s="124">
        <f t="shared" si="88"/>
        <v>0</v>
      </c>
      <c r="AH183" s="124">
        <f t="shared" si="89"/>
        <v>0</v>
      </c>
      <c r="AI183" s="113" t="s">
        <v>60</v>
      </c>
      <c r="AJ183" s="122">
        <f t="shared" si="90"/>
        <v>0</v>
      </c>
      <c r="AK183" s="122">
        <f t="shared" si="91"/>
        <v>0</v>
      </c>
      <c r="AL183" s="122">
        <f t="shared" si="92"/>
        <v>0</v>
      </c>
      <c r="AN183" s="124">
        <v>15</v>
      </c>
      <c r="AO183" s="124">
        <f t="shared" si="93"/>
        <v>0</v>
      </c>
      <c r="AP183" s="124">
        <f t="shared" si="94"/>
        <v>0</v>
      </c>
      <c r="AQ183" s="123" t="s">
        <v>85</v>
      </c>
      <c r="AV183" s="124">
        <f t="shared" si="95"/>
        <v>0</v>
      </c>
      <c r="AW183" s="124">
        <f t="shared" si="96"/>
        <v>0</v>
      </c>
      <c r="AX183" s="124">
        <f t="shared" si="97"/>
        <v>0</v>
      </c>
      <c r="AY183" s="125" t="s">
        <v>643</v>
      </c>
      <c r="AZ183" s="125" t="s">
        <v>1537</v>
      </c>
      <c r="BA183" s="113" t="s">
        <v>1542</v>
      </c>
      <c r="BC183" s="124">
        <f t="shared" si="98"/>
        <v>0</v>
      </c>
      <c r="BD183" s="124">
        <f t="shared" si="99"/>
        <v>0</v>
      </c>
      <c r="BE183" s="124">
        <v>0</v>
      </c>
      <c r="BF183" s="124">
        <f t="shared" si="100"/>
        <v>0</v>
      </c>
      <c r="BH183" s="122">
        <f t="shared" si="101"/>
        <v>0</v>
      </c>
      <c r="BI183" s="122">
        <f t="shared" si="102"/>
        <v>0</v>
      </c>
      <c r="BJ183" s="122">
        <f t="shared" si="103"/>
        <v>0</v>
      </c>
    </row>
    <row r="184" spans="1:62" s="174" customFormat="1" ht="12.75">
      <c r="A184" s="121" t="s">
        <v>218</v>
      </c>
      <c r="B184" s="121" t="s">
        <v>60</v>
      </c>
      <c r="C184" s="121" t="s">
        <v>1032</v>
      </c>
      <c r="D184" s="129" t="s">
        <v>1326</v>
      </c>
      <c r="E184" s="121" t="s">
        <v>606</v>
      </c>
      <c r="F184" s="122">
        <f>'Stavební rozpočet'!F350</f>
        <v>1</v>
      </c>
      <c r="G184" s="172"/>
      <c r="H184" s="122">
        <f t="shared" si="78"/>
        <v>0</v>
      </c>
      <c r="I184" s="122">
        <f t="shared" si="79"/>
        <v>0</v>
      </c>
      <c r="J184" s="122">
        <f t="shared" si="80"/>
        <v>0</v>
      </c>
      <c r="K184" s="122">
        <f>'Stavební rozpočet'!K350</f>
        <v>0</v>
      </c>
      <c r="L184" s="122">
        <f t="shared" si="81"/>
        <v>0</v>
      </c>
      <c r="M184" s="123" t="s">
        <v>622</v>
      </c>
      <c r="Z184" s="124">
        <f t="shared" si="82"/>
        <v>0</v>
      </c>
      <c r="AB184" s="124">
        <f t="shared" si="83"/>
        <v>0</v>
      </c>
      <c r="AC184" s="124">
        <f t="shared" si="84"/>
        <v>0</v>
      </c>
      <c r="AD184" s="124">
        <f t="shared" si="85"/>
        <v>0</v>
      </c>
      <c r="AE184" s="124">
        <f t="shared" si="86"/>
        <v>0</v>
      </c>
      <c r="AF184" s="124">
        <f t="shared" si="87"/>
        <v>0</v>
      </c>
      <c r="AG184" s="124">
        <f t="shared" si="88"/>
        <v>0</v>
      </c>
      <c r="AH184" s="124">
        <f t="shared" si="89"/>
        <v>0</v>
      </c>
      <c r="AI184" s="113" t="s">
        <v>60</v>
      </c>
      <c r="AJ184" s="122">
        <f t="shared" si="90"/>
        <v>0</v>
      </c>
      <c r="AK184" s="122">
        <f t="shared" si="91"/>
        <v>0</v>
      </c>
      <c r="AL184" s="122">
        <f t="shared" si="92"/>
        <v>0</v>
      </c>
      <c r="AN184" s="124">
        <v>15</v>
      </c>
      <c r="AO184" s="124">
        <f t="shared" si="93"/>
        <v>0</v>
      </c>
      <c r="AP184" s="124">
        <f t="shared" si="94"/>
        <v>0</v>
      </c>
      <c r="AQ184" s="123" t="s">
        <v>85</v>
      </c>
      <c r="AV184" s="124">
        <f t="shared" si="95"/>
        <v>0</v>
      </c>
      <c r="AW184" s="124">
        <f t="shared" si="96"/>
        <v>0</v>
      </c>
      <c r="AX184" s="124">
        <f t="shared" si="97"/>
        <v>0</v>
      </c>
      <c r="AY184" s="125" t="s">
        <v>643</v>
      </c>
      <c r="AZ184" s="125" t="s">
        <v>1537</v>
      </c>
      <c r="BA184" s="113" t="s">
        <v>1542</v>
      </c>
      <c r="BC184" s="124">
        <f t="shared" si="98"/>
        <v>0</v>
      </c>
      <c r="BD184" s="124">
        <f t="shared" si="99"/>
        <v>0</v>
      </c>
      <c r="BE184" s="124">
        <v>0</v>
      </c>
      <c r="BF184" s="124">
        <f t="shared" si="100"/>
        <v>0</v>
      </c>
      <c r="BH184" s="122">
        <f t="shared" si="101"/>
        <v>0</v>
      </c>
      <c r="BI184" s="122">
        <f t="shared" si="102"/>
        <v>0</v>
      </c>
      <c r="BJ184" s="122">
        <f t="shared" si="103"/>
        <v>0</v>
      </c>
    </row>
    <row r="185" spans="1:62" s="174" customFormat="1" ht="12.75">
      <c r="A185" s="121" t="s">
        <v>219</v>
      </c>
      <c r="B185" s="121" t="s">
        <v>60</v>
      </c>
      <c r="C185" s="121" t="s">
        <v>1033</v>
      </c>
      <c r="D185" s="129" t="s">
        <v>1327</v>
      </c>
      <c r="E185" s="121" t="s">
        <v>606</v>
      </c>
      <c r="F185" s="122">
        <f>'Stavební rozpočet'!F351</f>
        <v>2</v>
      </c>
      <c r="G185" s="172"/>
      <c r="H185" s="122">
        <f t="shared" si="78"/>
        <v>0</v>
      </c>
      <c r="I185" s="122">
        <f t="shared" si="79"/>
        <v>0</v>
      </c>
      <c r="J185" s="122">
        <f t="shared" si="80"/>
        <v>0</v>
      </c>
      <c r="K185" s="122">
        <f>'Stavební rozpočet'!K351</f>
        <v>0</v>
      </c>
      <c r="L185" s="122">
        <f t="shared" si="81"/>
        <v>0</v>
      </c>
      <c r="M185" s="123" t="s">
        <v>622</v>
      </c>
      <c r="Z185" s="124">
        <f t="shared" si="82"/>
        <v>0</v>
      </c>
      <c r="AB185" s="124">
        <f t="shared" si="83"/>
        <v>0</v>
      </c>
      <c r="AC185" s="124">
        <f t="shared" si="84"/>
        <v>0</v>
      </c>
      <c r="AD185" s="124">
        <f t="shared" si="85"/>
        <v>0</v>
      </c>
      <c r="AE185" s="124">
        <f t="shared" si="86"/>
        <v>0</v>
      </c>
      <c r="AF185" s="124">
        <f t="shared" si="87"/>
        <v>0</v>
      </c>
      <c r="AG185" s="124">
        <f t="shared" si="88"/>
        <v>0</v>
      </c>
      <c r="AH185" s="124">
        <f t="shared" si="89"/>
        <v>0</v>
      </c>
      <c r="AI185" s="113" t="s">
        <v>60</v>
      </c>
      <c r="AJ185" s="122">
        <f t="shared" si="90"/>
        <v>0</v>
      </c>
      <c r="AK185" s="122">
        <f t="shared" si="91"/>
        <v>0</v>
      </c>
      <c r="AL185" s="122">
        <f t="shared" si="92"/>
        <v>0</v>
      </c>
      <c r="AN185" s="124">
        <v>15</v>
      </c>
      <c r="AO185" s="124">
        <f t="shared" si="93"/>
        <v>0</v>
      </c>
      <c r="AP185" s="124">
        <f t="shared" si="94"/>
        <v>0</v>
      </c>
      <c r="AQ185" s="123" t="s">
        <v>85</v>
      </c>
      <c r="AV185" s="124">
        <f t="shared" si="95"/>
        <v>0</v>
      </c>
      <c r="AW185" s="124">
        <f t="shared" si="96"/>
        <v>0</v>
      </c>
      <c r="AX185" s="124">
        <f t="shared" si="97"/>
        <v>0</v>
      </c>
      <c r="AY185" s="125" t="s">
        <v>643</v>
      </c>
      <c r="AZ185" s="125" t="s">
        <v>1537</v>
      </c>
      <c r="BA185" s="113" t="s">
        <v>1542</v>
      </c>
      <c r="BC185" s="124">
        <f t="shared" si="98"/>
        <v>0</v>
      </c>
      <c r="BD185" s="124">
        <f t="shared" si="99"/>
        <v>0</v>
      </c>
      <c r="BE185" s="124">
        <v>0</v>
      </c>
      <c r="BF185" s="124">
        <f t="shared" si="100"/>
        <v>0</v>
      </c>
      <c r="BH185" s="122">
        <f t="shared" si="101"/>
        <v>0</v>
      </c>
      <c r="BI185" s="122">
        <f t="shared" si="102"/>
        <v>0</v>
      </c>
      <c r="BJ185" s="122">
        <f t="shared" si="103"/>
        <v>0</v>
      </c>
    </row>
    <row r="186" spans="1:62" s="174" customFormat="1" ht="12.75" hidden="1">
      <c r="A186" s="121" t="s">
        <v>220</v>
      </c>
      <c r="B186" s="121" t="s">
        <v>60</v>
      </c>
      <c r="C186" s="121" t="s">
        <v>1034</v>
      </c>
      <c r="D186" s="129" t="s">
        <v>1328</v>
      </c>
      <c r="E186" s="121" t="s">
        <v>606</v>
      </c>
      <c r="F186" s="122">
        <f>'Stavební rozpočet'!F352</f>
        <v>0</v>
      </c>
      <c r="G186" s="172"/>
      <c r="H186" s="122">
        <f t="shared" si="78"/>
        <v>0</v>
      </c>
      <c r="I186" s="122">
        <f t="shared" si="79"/>
        <v>0</v>
      </c>
      <c r="J186" s="122">
        <f t="shared" si="80"/>
        <v>0</v>
      </c>
      <c r="K186" s="122">
        <f>'Stavební rozpočet'!K352</f>
        <v>0</v>
      </c>
      <c r="L186" s="122">
        <f t="shared" si="81"/>
        <v>0</v>
      </c>
      <c r="M186" s="123" t="s">
        <v>622</v>
      </c>
      <c r="Z186" s="124">
        <f t="shared" si="82"/>
        <v>0</v>
      </c>
      <c r="AB186" s="124">
        <f t="shared" si="83"/>
        <v>0</v>
      </c>
      <c r="AC186" s="124">
        <f t="shared" si="84"/>
        <v>0</v>
      </c>
      <c r="AD186" s="124">
        <f t="shared" si="85"/>
        <v>0</v>
      </c>
      <c r="AE186" s="124">
        <f t="shared" si="86"/>
        <v>0</v>
      </c>
      <c r="AF186" s="124">
        <f t="shared" si="87"/>
        <v>0</v>
      </c>
      <c r="AG186" s="124">
        <f t="shared" si="88"/>
        <v>0</v>
      </c>
      <c r="AH186" s="124">
        <f t="shared" si="89"/>
        <v>0</v>
      </c>
      <c r="AI186" s="113" t="s">
        <v>60</v>
      </c>
      <c r="AJ186" s="122">
        <f t="shared" si="90"/>
        <v>0</v>
      </c>
      <c r="AK186" s="122">
        <f t="shared" si="91"/>
        <v>0</v>
      </c>
      <c r="AL186" s="122">
        <f t="shared" si="92"/>
        <v>0</v>
      </c>
      <c r="AN186" s="124">
        <v>15</v>
      </c>
      <c r="AO186" s="124">
        <f t="shared" si="93"/>
        <v>0</v>
      </c>
      <c r="AP186" s="124">
        <f t="shared" si="94"/>
        <v>0</v>
      </c>
      <c r="AQ186" s="123" t="s">
        <v>85</v>
      </c>
      <c r="AV186" s="124">
        <f t="shared" si="95"/>
        <v>0</v>
      </c>
      <c r="AW186" s="124">
        <f t="shared" si="96"/>
        <v>0</v>
      </c>
      <c r="AX186" s="124">
        <f t="shared" si="97"/>
        <v>0</v>
      </c>
      <c r="AY186" s="125" t="s">
        <v>643</v>
      </c>
      <c r="AZ186" s="125" t="s">
        <v>1537</v>
      </c>
      <c r="BA186" s="113" t="s">
        <v>1542</v>
      </c>
      <c r="BC186" s="124">
        <f t="shared" si="98"/>
        <v>0</v>
      </c>
      <c r="BD186" s="124">
        <f t="shared" si="99"/>
        <v>0</v>
      </c>
      <c r="BE186" s="124">
        <v>0</v>
      </c>
      <c r="BF186" s="124">
        <f t="shared" si="100"/>
        <v>0</v>
      </c>
      <c r="BH186" s="122">
        <f t="shared" si="101"/>
        <v>0</v>
      </c>
      <c r="BI186" s="122">
        <f t="shared" si="102"/>
        <v>0</v>
      </c>
      <c r="BJ186" s="122">
        <f t="shared" si="103"/>
        <v>0</v>
      </c>
    </row>
    <row r="187" spans="1:62" s="174" customFormat="1" ht="12.75">
      <c r="A187" s="121" t="s">
        <v>221</v>
      </c>
      <c r="B187" s="121" t="s">
        <v>60</v>
      </c>
      <c r="C187" s="121" t="s">
        <v>1035</v>
      </c>
      <c r="D187" s="129" t="s">
        <v>1329</v>
      </c>
      <c r="E187" s="121" t="s">
        <v>609</v>
      </c>
      <c r="F187" s="122">
        <f>'Stavební rozpočet'!F353</f>
        <v>28.1</v>
      </c>
      <c r="G187" s="172"/>
      <c r="H187" s="122">
        <f t="shared" si="78"/>
        <v>0</v>
      </c>
      <c r="I187" s="122">
        <f t="shared" si="79"/>
        <v>0</v>
      </c>
      <c r="J187" s="122">
        <f t="shared" si="80"/>
        <v>0</v>
      </c>
      <c r="K187" s="122">
        <f>'Stavební rozpočet'!K353</f>
        <v>0</v>
      </c>
      <c r="L187" s="122">
        <f t="shared" si="81"/>
        <v>0</v>
      </c>
      <c r="M187" s="123" t="s">
        <v>622</v>
      </c>
      <c r="Z187" s="124">
        <f t="shared" si="82"/>
        <v>0</v>
      </c>
      <c r="AB187" s="124">
        <f t="shared" si="83"/>
        <v>0</v>
      </c>
      <c r="AC187" s="124">
        <f t="shared" si="84"/>
        <v>0</v>
      </c>
      <c r="AD187" s="124">
        <f t="shared" si="85"/>
        <v>0</v>
      </c>
      <c r="AE187" s="124">
        <f t="shared" si="86"/>
        <v>0</v>
      </c>
      <c r="AF187" s="124">
        <f t="shared" si="87"/>
        <v>0</v>
      </c>
      <c r="AG187" s="124">
        <f t="shared" si="88"/>
        <v>0</v>
      </c>
      <c r="AH187" s="124">
        <f t="shared" si="89"/>
        <v>0</v>
      </c>
      <c r="AI187" s="113" t="s">
        <v>60</v>
      </c>
      <c r="AJ187" s="122">
        <f t="shared" si="90"/>
        <v>0</v>
      </c>
      <c r="AK187" s="122">
        <f t="shared" si="91"/>
        <v>0</v>
      </c>
      <c r="AL187" s="122">
        <f t="shared" si="92"/>
        <v>0</v>
      </c>
      <c r="AN187" s="124">
        <v>15</v>
      </c>
      <c r="AO187" s="124">
        <f t="shared" si="93"/>
        <v>0</v>
      </c>
      <c r="AP187" s="124">
        <f t="shared" si="94"/>
        <v>0</v>
      </c>
      <c r="AQ187" s="123" t="s">
        <v>85</v>
      </c>
      <c r="AV187" s="124">
        <f t="shared" si="95"/>
        <v>0</v>
      </c>
      <c r="AW187" s="124">
        <f t="shared" si="96"/>
        <v>0</v>
      </c>
      <c r="AX187" s="124">
        <f t="shared" si="97"/>
        <v>0</v>
      </c>
      <c r="AY187" s="125" t="s">
        <v>643</v>
      </c>
      <c r="AZ187" s="125" t="s">
        <v>1537</v>
      </c>
      <c r="BA187" s="113" t="s">
        <v>1542</v>
      </c>
      <c r="BC187" s="124">
        <f t="shared" si="98"/>
        <v>0</v>
      </c>
      <c r="BD187" s="124">
        <f t="shared" si="99"/>
        <v>0</v>
      </c>
      <c r="BE187" s="124">
        <v>0</v>
      </c>
      <c r="BF187" s="124">
        <f t="shared" si="100"/>
        <v>0</v>
      </c>
      <c r="BH187" s="122">
        <f t="shared" si="101"/>
        <v>0</v>
      </c>
      <c r="BI187" s="122">
        <f t="shared" si="102"/>
        <v>0</v>
      </c>
      <c r="BJ187" s="122">
        <f t="shared" si="103"/>
        <v>0</v>
      </c>
    </row>
    <row r="188" spans="1:62" s="174" customFormat="1" ht="12.75">
      <c r="A188" s="121" t="s">
        <v>222</v>
      </c>
      <c r="B188" s="121" t="s">
        <v>60</v>
      </c>
      <c r="C188" s="121" t="s">
        <v>1036</v>
      </c>
      <c r="D188" s="129" t="s">
        <v>1330</v>
      </c>
      <c r="E188" s="121" t="s">
        <v>606</v>
      </c>
      <c r="F188" s="122">
        <f>'Stavební rozpočet'!F354</f>
        <v>2</v>
      </c>
      <c r="G188" s="172"/>
      <c r="H188" s="122">
        <f t="shared" si="78"/>
        <v>0</v>
      </c>
      <c r="I188" s="122">
        <f t="shared" si="79"/>
        <v>0</v>
      </c>
      <c r="J188" s="122">
        <f t="shared" si="80"/>
        <v>0</v>
      </c>
      <c r="K188" s="122">
        <f>'Stavební rozpočet'!K354</f>
        <v>0</v>
      </c>
      <c r="L188" s="122">
        <f t="shared" si="81"/>
        <v>0</v>
      </c>
      <c r="M188" s="123" t="s">
        <v>622</v>
      </c>
      <c r="Z188" s="124">
        <f t="shared" si="82"/>
        <v>0</v>
      </c>
      <c r="AB188" s="124">
        <f t="shared" si="83"/>
        <v>0</v>
      </c>
      <c r="AC188" s="124">
        <f t="shared" si="84"/>
        <v>0</v>
      </c>
      <c r="AD188" s="124">
        <f t="shared" si="85"/>
        <v>0</v>
      </c>
      <c r="AE188" s="124">
        <f t="shared" si="86"/>
        <v>0</v>
      </c>
      <c r="AF188" s="124">
        <f t="shared" si="87"/>
        <v>0</v>
      </c>
      <c r="AG188" s="124">
        <f t="shared" si="88"/>
        <v>0</v>
      </c>
      <c r="AH188" s="124">
        <f t="shared" si="89"/>
        <v>0</v>
      </c>
      <c r="AI188" s="113" t="s">
        <v>60</v>
      </c>
      <c r="AJ188" s="122">
        <f t="shared" si="90"/>
        <v>0</v>
      </c>
      <c r="AK188" s="122">
        <f t="shared" si="91"/>
        <v>0</v>
      </c>
      <c r="AL188" s="122">
        <f t="shared" si="92"/>
        <v>0</v>
      </c>
      <c r="AN188" s="124">
        <v>15</v>
      </c>
      <c r="AO188" s="124">
        <f t="shared" si="93"/>
        <v>0</v>
      </c>
      <c r="AP188" s="124">
        <f t="shared" si="94"/>
        <v>0</v>
      </c>
      <c r="AQ188" s="123" t="s">
        <v>85</v>
      </c>
      <c r="AV188" s="124">
        <f t="shared" si="95"/>
        <v>0</v>
      </c>
      <c r="AW188" s="124">
        <f t="shared" si="96"/>
        <v>0</v>
      </c>
      <c r="AX188" s="124">
        <f t="shared" si="97"/>
        <v>0</v>
      </c>
      <c r="AY188" s="125" t="s">
        <v>643</v>
      </c>
      <c r="AZ188" s="125" t="s">
        <v>1537</v>
      </c>
      <c r="BA188" s="113" t="s">
        <v>1542</v>
      </c>
      <c r="BC188" s="124">
        <f t="shared" si="98"/>
        <v>0</v>
      </c>
      <c r="BD188" s="124">
        <f t="shared" si="99"/>
        <v>0</v>
      </c>
      <c r="BE188" s="124">
        <v>0</v>
      </c>
      <c r="BF188" s="124">
        <f t="shared" si="100"/>
        <v>0</v>
      </c>
      <c r="BH188" s="122">
        <f t="shared" si="101"/>
        <v>0</v>
      </c>
      <c r="BI188" s="122">
        <f t="shared" si="102"/>
        <v>0</v>
      </c>
      <c r="BJ188" s="122">
        <f t="shared" si="103"/>
        <v>0</v>
      </c>
    </row>
    <row r="189" spans="1:62" s="174" customFormat="1" ht="12.75">
      <c r="A189" s="121" t="s">
        <v>223</v>
      </c>
      <c r="B189" s="121" t="s">
        <v>60</v>
      </c>
      <c r="C189" s="121" t="s">
        <v>1037</v>
      </c>
      <c r="D189" s="129" t="s">
        <v>497</v>
      </c>
      <c r="E189" s="121" t="s">
        <v>611</v>
      </c>
      <c r="F189" s="122">
        <f>'Stavební rozpočet'!F355</f>
        <v>20</v>
      </c>
      <c r="G189" s="172"/>
      <c r="H189" s="122">
        <f t="shared" si="78"/>
        <v>0</v>
      </c>
      <c r="I189" s="122">
        <f t="shared" si="79"/>
        <v>0</v>
      </c>
      <c r="J189" s="122">
        <f t="shared" si="80"/>
        <v>0</v>
      </c>
      <c r="K189" s="122">
        <f>'Stavební rozpočet'!K355</f>
        <v>0</v>
      </c>
      <c r="L189" s="122">
        <f t="shared" si="81"/>
        <v>0</v>
      </c>
      <c r="M189" s="123" t="s">
        <v>622</v>
      </c>
      <c r="Z189" s="124">
        <f t="shared" si="82"/>
        <v>0</v>
      </c>
      <c r="AB189" s="124">
        <f t="shared" si="83"/>
        <v>0</v>
      </c>
      <c r="AC189" s="124">
        <f t="shared" si="84"/>
        <v>0</v>
      </c>
      <c r="AD189" s="124">
        <f t="shared" si="85"/>
        <v>0</v>
      </c>
      <c r="AE189" s="124">
        <f t="shared" si="86"/>
        <v>0</v>
      </c>
      <c r="AF189" s="124">
        <f t="shared" si="87"/>
        <v>0</v>
      </c>
      <c r="AG189" s="124">
        <f t="shared" si="88"/>
        <v>0</v>
      </c>
      <c r="AH189" s="124">
        <f t="shared" si="89"/>
        <v>0</v>
      </c>
      <c r="AI189" s="113" t="s">
        <v>60</v>
      </c>
      <c r="AJ189" s="122">
        <f t="shared" si="90"/>
        <v>0</v>
      </c>
      <c r="AK189" s="122">
        <f t="shared" si="91"/>
        <v>0</v>
      </c>
      <c r="AL189" s="122">
        <f t="shared" si="92"/>
        <v>0</v>
      </c>
      <c r="AN189" s="124">
        <v>15</v>
      </c>
      <c r="AO189" s="124">
        <f t="shared" si="93"/>
        <v>0</v>
      </c>
      <c r="AP189" s="124">
        <f t="shared" si="94"/>
        <v>0</v>
      </c>
      <c r="AQ189" s="123" t="s">
        <v>85</v>
      </c>
      <c r="AV189" s="124">
        <f t="shared" si="95"/>
        <v>0</v>
      </c>
      <c r="AW189" s="124">
        <f t="shared" si="96"/>
        <v>0</v>
      </c>
      <c r="AX189" s="124">
        <f t="shared" si="97"/>
        <v>0</v>
      </c>
      <c r="AY189" s="125" t="s">
        <v>643</v>
      </c>
      <c r="AZ189" s="125" t="s">
        <v>1537</v>
      </c>
      <c r="BA189" s="113" t="s">
        <v>1542</v>
      </c>
      <c r="BC189" s="124">
        <f t="shared" si="98"/>
        <v>0</v>
      </c>
      <c r="BD189" s="124">
        <f t="shared" si="99"/>
        <v>0</v>
      </c>
      <c r="BE189" s="124">
        <v>0</v>
      </c>
      <c r="BF189" s="124">
        <f t="shared" si="100"/>
        <v>0</v>
      </c>
      <c r="BH189" s="122">
        <f t="shared" si="101"/>
        <v>0</v>
      </c>
      <c r="BI189" s="122">
        <f t="shared" si="102"/>
        <v>0</v>
      </c>
      <c r="BJ189" s="122">
        <f t="shared" si="103"/>
        <v>0</v>
      </c>
    </row>
    <row r="190" spans="1:62" s="174" customFormat="1" ht="12.75">
      <c r="A190" s="121" t="s">
        <v>224</v>
      </c>
      <c r="B190" s="121" t="s">
        <v>60</v>
      </c>
      <c r="C190" s="121" t="s">
        <v>1038</v>
      </c>
      <c r="D190" s="129" t="s">
        <v>498</v>
      </c>
      <c r="E190" s="121" t="s">
        <v>606</v>
      </c>
      <c r="F190" s="122">
        <f>'Stavební rozpočet'!F356</f>
        <v>2</v>
      </c>
      <c r="G190" s="172"/>
      <c r="H190" s="122">
        <f t="shared" si="78"/>
        <v>0</v>
      </c>
      <c r="I190" s="122">
        <f t="shared" si="79"/>
        <v>0</v>
      </c>
      <c r="J190" s="122">
        <f t="shared" si="80"/>
        <v>0</v>
      </c>
      <c r="K190" s="122">
        <f>'Stavební rozpočet'!K356</f>
        <v>0</v>
      </c>
      <c r="L190" s="122">
        <f t="shared" si="81"/>
        <v>0</v>
      </c>
      <c r="M190" s="123" t="s">
        <v>622</v>
      </c>
      <c r="Z190" s="124">
        <f t="shared" si="82"/>
        <v>0</v>
      </c>
      <c r="AB190" s="124">
        <f t="shared" si="83"/>
        <v>0</v>
      </c>
      <c r="AC190" s="124">
        <f t="shared" si="84"/>
        <v>0</v>
      </c>
      <c r="AD190" s="124">
        <f t="shared" si="85"/>
        <v>0</v>
      </c>
      <c r="AE190" s="124">
        <f t="shared" si="86"/>
        <v>0</v>
      </c>
      <c r="AF190" s="124">
        <f t="shared" si="87"/>
        <v>0</v>
      </c>
      <c r="AG190" s="124">
        <f t="shared" si="88"/>
        <v>0</v>
      </c>
      <c r="AH190" s="124">
        <f t="shared" si="89"/>
        <v>0</v>
      </c>
      <c r="AI190" s="113" t="s">
        <v>60</v>
      </c>
      <c r="AJ190" s="122">
        <f t="shared" si="90"/>
        <v>0</v>
      </c>
      <c r="AK190" s="122">
        <f t="shared" si="91"/>
        <v>0</v>
      </c>
      <c r="AL190" s="122">
        <f t="shared" si="92"/>
        <v>0</v>
      </c>
      <c r="AN190" s="124">
        <v>15</v>
      </c>
      <c r="AO190" s="124">
        <f t="shared" si="93"/>
        <v>0</v>
      </c>
      <c r="AP190" s="124">
        <f t="shared" si="94"/>
        <v>0</v>
      </c>
      <c r="AQ190" s="123" t="s">
        <v>85</v>
      </c>
      <c r="AV190" s="124">
        <f t="shared" si="95"/>
        <v>0</v>
      </c>
      <c r="AW190" s="124">
        <f t="shared" si="96"/>
        <v>0</v>
      </c>
      <c r="AX190" s="124">
        <f t="shared" si="97"/>
        <v>0</v>
      </c>
      <c r="AY190" s="125" t="s">
        <v>643</v>
      </c>
      <c r="AZ190" s="125" t="s">
        <v>1537</v>
      </c>
      <c r="BA190" s="113" t="s">
        <v>1542</v>
      </c>
      <c r="BC190" s="124">
        <f t="shared" si="98"/>
        <v>0</v>
      </c>
      <c r="BD190" s="124">
        <f t="shared" si="99"/>
        <v>0</v>
      </c>
      <c r="BE190" s="124">
        <v>0</v>
      </c>
      <c r="BF190" s="124">
        <f t="shared" si="100"/>
        <v>0</v>
      </c>
      <c r="BH190" s="122">
        <f t="shared" si="101"/>
        <v>0</v>
      </c>
      <c r="BI190" s="122">
        <f t="shared" si="102"/>
        <v>0</v>
      </c>
      <c r="BJ190" s="122">
        <f t="shared" si="103"/>
        <v>0</v>
      </c>
    </row>
    <row r="191" spans="1:62" s="174" customFormat="1" ht="12.75">
      <c r="A191" s="121" t="s">
        <v>225</v>
      </c>
      <c r="B191" s="121" t="s">
        <v>60</v>
      </c>
      <c r="C191" s="121" t="s">
        <v>1039</v>
      </c>
      <c r="D191" s="129" t="s">
        <v>499</v>
      </c>
      <c r="E191" s="121" t="s">
        <v>606</v>
      </c>
      <c r="F191" s="122">
        <f>'Stavební rozpočet'!F357</f>
        <v>2</v>
      </c>
      <c r="G191" s="172"/>
      <c r="H191" s="122">
        <f t="shared" si="78"/>
        <v>0</v>
      </c>
      <c r="I191" s="122">
        <f t="shared" si="79"/>
        <v>0</v>
      </c>
      <c r="J191" s="122">
        <f t="shared" si="80"/>
        <v>0</v>
      </c>
      <c r="K191" s="122">
        <f>'Stavební rozpočet'!K357</f>
        <v>0</v>
      </c>
      <c r="L191" s="122">
        <f t="shared" si="81"/>
        <v>0</v>
      </c>
      <c r="M191" s="123" t="s">
        <v>622</v>
      </c>
      <c r="Z191" s="124">
        <f t="shared" si="82"/>
        <v>0</v>
      </c>
      <c r="AB191" s="124">
        <f t="shared" si="83"/>
        <v>0</v>
      </c>
      <c r="AC191" s="124">
        <f t="shared" si="84"/>
        <v>0</v>
      </c>
      <c r="AD191" s="124">
        <f t="shared" si="85"/>
        <v>0</v>
      </c>
      <c r="AE191" s="124">
        <f t="shared" si="86"/>
        <v>0</v>
      </c>
      <c r="AF191" s="124">
        <f t="shared" si="87"/>
        <v>0</v>
      </c>
      <c r="AG191" s="124">
        <f t="shared" si="88"/>
        <v>0</v>
      </c>
      <c r="AH191" s="124">
        <f t="shared" si="89"/>
        <v>0</v>
      </c>
      <c r="AI191" s="113" t="s">
        <v>60</v>
      </c>
      <c r="AJ191" s="122">
        <f t="shared" si="90"/>
        <v>0</v>
      </c>
      <c r="AK191" s="122">
        <f t="shared" si="91"/>
        <v>0</v>
      </c>
      <c r="AL191" s="122">
        <f t="shared" si="92"/>
        <v>0</v>
      </c>
      <c r="AN191" s="124">
        <v>15</v>
      </c>
      <c r="AO191" s="124">
        <f t="shared" si="93"/>
        <v>0</v>
      </c>
      <c r="AP191" s="124">
        <f t="shared" si="94"/>
        <v>0</v>
      </c>
      <c r="AQ191" s="123" t="s">
        <v>85</v>
      </c>
      <c r="AV191" s="124">
        <f t="shared" si="95"/>
        <v>0</v>
      </c>
      <c r="AW191" s="124">
        <f t="shared" si="96"/>
        <v>0</v>
      </c>
      <c r="AX191" s="124">
        <f t="shared" si="97"/>
        <v>0</v>
      </c>
      <c r="AY191" s="125" t="s">
        <v>643</v>
      </c>
      <c r="AZ191" s="125" t="s">
        <v>1537</v>
      </c>
      <c r="BA191" s="113" t="s">
        <v>1542</v>
      </c>
      <c r="BC191" s="124">
        <f t="shared" si="98"/>
        <v>0</v>
      </c>
      <c r="BD191" s="124">
        <f t="shared" si="99"/>
        <v>0</v>
      </c>
      <c r="BE191" s="124">
        <v>0</v>
      </c>
      <c r="BF191" s="124">
        <f t="shared" si="100"/>
        <v>0</v>
      </c>
      <c r="BH191" s="122">
        <f t="shared" si="101"/>
        <v>0</v>
      </c>
      <c r="BI191" s="122">
        <f t="shared" si="102"/>
        <v>0</v>
      </c>
      <c r="BJ191" s="122">
        <f t="shared" si="103"/>
        <v>0</v>
      </c>
    </row>
    <row r="192" spans="1:62" s="174" customFormat="1" ht="12.75">
      <c r="A192" s="121" t="s">
        <v>226</v>
      </c>
      <c r="B192" s="121" t="s">
        <v>60</v>
      </c>
      <c r="C192" s="121" t="s">
        <v>1040</v>
      </c>
      <c r="D192" s="129" t="s">
        <v>541</v>
      </c>
      <c r="E192" s="121" t="s">
        <v>606</v>
      </c>
      <c r="F192" s="122">
        <f>'Stavební rozpočet'!F358</f>
        <v>1</v>
      </c>
      <c r="G192" s="172"/>
      <c r="H192" s="122">
        <f t="shared" si="78"/>
        <v>0</v>
      </c>
      <c r="I192" s="122">
        <f t="shared" si="79"/>
        <v>0</v>
      </c>
      <c r="J192" s="122">
        <f t="shared" si="80"/>
        <v>0</v>
      </c>
      <c r="K192" s="122">
        <f>'Stavební rozpočet'!K358</f>
        <v>0</v>
      </c>
      <c r="L192" s="122">
        <f t="shared" si="81"/>
        <v>0</v>
      </c>
      <c r="M192" s="123" t="s">
        <v>622</v>
      </c>
      <c r="Z192" s="124">
        <f t="shared" si="82"/>
        <v>0</v>
      </c>
      <c r="AB192" s="124">
        <f t="shared" si="83"/>
        <v>0</v>
      </c>
      <c r="AC192" s="124">
        <f t="shared" si="84"/>
        <v>0</v>
      </c>
      <c r="AD192" s="124">
        <f t="shared" si="85"/>
        <v>0</v>
      </c>
      <c r="AE192" s="124">
        <f t="shared" si="86"/>
        <v>0</v>
      </c>
      <c r="AF192" s="124">
        <f t="shared" si="87"/>
        <v>0</v>
      </c>
      <c r="AG192" s="124">
        <f t="shared" si="88"/>
        <v>0</v>
      </c>
      <c r="AH192" s="124">
        <f t="shared" si="89"/>
        <v>0</v>
      </c>
      <c r="AI192" s="113" t="s">
        <v>60</v>
      </c>
      <c r="AJ192" s="122">
        <f t="shared" si="90"/>
        <v>0</v>
      </c>
      <c r="AK192" s="122">
        <f t="shared" si="91"/>
        <v>0</v>
      </c>
      <c r="AL192" s="122">
        <f t="shared" si="92"/>
        <v>0</v>
      </c>
      <c r="AN192" s="124">
        <v>15</v>
      </c>
      <c r="AO192" s="124">
        <f t="shared" si="93"/>
        <v>0</v>
      </c>
      <c r="AP192" s="124">
        <f t="shared" si="94"/>
        <v>0</v>
      </c>
      <c r="AQ192" s="123" t="s">
        <v>85</v>
      </c>
      <c r="AV192" s="124">
        <f t="shared" si="95"/>
        <v>0</v>
      </c>
      <c r="AW192" s="124">
        <f t="shared" si="96"/>
        <v>0</v>
      </c>
      <c r="AX192" s="124">
        <f t="shared" si="97"/>
        <v>0</v>
      </c>
      <c r="AY192" s="125" t="s">
        <v>643</v>
      </c>
      <c r="AZ192" s="125" t="s">
        <v>1537</v>
      </c>
      <c r="BA192" s="113" t="s">
        <v>1542</v>
      </c>
      <c r="BC192" s="124">
        <f t="shared" si="98"/>
        <v>0</v>
      </c>
      <c r="BD192" s="124">
        <f t="shared" si="99"/>
        <v>0</v>
      </c>
      <c r="BE192" s="124">
        <v>0</v>
      </c>
      <c r="BF192" s="124">
        <f t="shared" si="100"/>
        <v>0</v>
      </c>
      <c r="BH192" s="122">
        <f t="shared" si="101"/>
        <v>0</v>
      </c>
      <c r="BI192" s="122">
        <f t="shared" si="102"/>
        <v>0</v>
      </c>
      <c r="BJ192" s="122">
        <f t="shared" si="103"/>
        <v>0</v>
      </c>
    </row>
    <row r="193" spans="1:62" s="174" customFormat="1" ht="12.75">
      <c r="A193" s="121" t="s">
        <v>227</v>
      </c>
      <c r="B193" s="121" t="s">
        <v>60</v>
      </c>
      <c r="C193" s="121" t="s">
        <v>1041</v>
      </c>
      <c r="D193" s="129" t="s">
        <v>1331</v>
      </c>
      <c r="E193" s="121" t="s">
        <v>609</v>
      </c>
      <c r="F193" s="122">
        <f>'Stavební rozpočet'!F359</f>
        <v>91.6</v>
      </c>
      <c r="G193" s="172"/>
      <c r="H193" s="122">
        <f t="shared" si="78"/>
        <v>0</v>
      </c>
      <c r="I193" s="122">
        <f t="shared" si="79"/>
        <v>0</v>
      </c>
      <c r="J193" s="122">
        <f t="shared" si="80"/>
        <v>0</v>
      </c>
      <c r="K193" s="122">
        <f>'Stavební rozpočet'!K359</f>
        <v>0</v>
      </c>
      <c r="L193" s="122">
        <f t="shared" si="81"/>
        <v>0</v>
      </c>
      <c r="M193" s="123" t="s">
        <v>622</v>
      </c>
      <c r="Z193" s="124">
        <f t="shared" si="82"/>
        <v>0</v>
      </c>
      <c r="AB193" s="124">
        <f t="shared" si="83"/>
        <v>0</v>
      </c>
      <c r="AC193" s="124">
        <f t="shared" si="84"/>
        <v>0</v>
      </c>
      <c r="AD193" s="124">
        <f t="shared" si="85"/>
        <v>0</v>
      </c>
      <c r="AE193" s="124">
        <f t="shared" si="86"/>
        <v>0</v>
      </c>
      <c r="AF193" s="124">
        <f t="shared" si="87"/>
        <v>0</v>
      </c>
      <c r="AG193" s="124">
        <f t="shared" si="88"/>
        <v>0</v>
      </c>
      <c r="AH193" s="124">
        <f t="shared" si="89"/>
        <v>0</v>
      </c>
      <c r="AI193" s="113" t="s">
        <v>60</v>
      </c>
      <c r="AJ193" s="122">
        <f t="shared" si="90"/>
        <v>0</v>
      </c>
      <c r="AK193" s="122">
        <f t="shared" si="91"/>
        <v>0</v>
      </c>
      <c r="AL193" s="122">
        <f t="shared" si="92"/>
        <v>0</v>
      </c>
      <c r="AN193" s="124">
        <v>15</v>
      </c>
      <c r="AO193" s="124">
        <f t="shared" si="93"/>
        <v>0</v>
      </c>
      <c r="AP193" s="124">
        <f t="shared" si="94"/>
        <v>0</v>
      </c>
      <c r="AQ193" s="123" t="s">
        <v>85</v>
      </c>
      <c r="AV193" s="124">
        <f t="shared" si="95"/>
        <v>0</v>
      </c>
      <c r="AW193" s="124">
        <f t="shared" si="96"/>
        <v>0</v>
      </c>
      <c r="AX193" s="124">
        <f t="shared" si="97"/>
        <v>0</v>
      </c>
      <c r="AY193" s="125" t="s">
        <v>643</v>
      </c>
      <c r="AZ193" s="125" t="s">
        <v>1537</v>
      </c>
      <c r="BA193" s="113" t="s">
        <v>1542</v>
      </c>
      <c r="BC193" s="124">
        <f t="shared" si="98"/>
        <v>0</v>
      </c>
      <c r="BD193" s="124">
        <f t="shared" si="99"/>
        <v>0</v>
      </c>
      <c r="BE193" s="124">
        <v>0</v>
      </c>
      <c r="BF193" s="124">
        <f t="shared" si="100"/>
        <v>0</v>
      </c>
      <c r="BH193" s="122">
        <f t="shared" si="101"/>
        <v>0</v>
      </c>
      <c r="BI193" s="122">
        <f t="shared" si="102"/>
        <v>0</v>
      </c>
      <c r="BJ193" s="122">
        <f t="shared" si="103"/>
        <v>0</v>
      </c>
    </row>
    <row r="194" spans="1:62" s="174" customFormat="1" ht="12.75">
      <c r="A194" s="121" t="s">
        <v>228</v>
      </c>
      <c r="B194" s="121" t="s">
        <v>60</v>
      </c>
      <c r="C194" s="121" t="s">
        <v>1042</v>
      </c>
      <c r="D194" s="129" t="s">
        <v>1332</v>
      </c>
      <c r="E194" s="121" t="s">
        <v>609</v>
      </c>
      <c r="F194" s="122">
        <f>'Stavební rozpočet'!F360</f>
        <v>91.6</v>
      </c>
      <c r="G194" s="172"/>
      <c r="H194" s="122">
        <f t="shared" si="78"/>
        <v>0</v>
      </c>
      <c r="I194" s="122">
        <f t="shared" si="79"/>
        <v>0</v>
      </c>
      <c r="J194" s="122">
        <f t="shared" si="80"/>
        <v>0</v>
      </c>
      <c r="K194" s="122">
        <f>'Stavební rozpočet'!K360</f>
        <v>0</v>
      </c>
      <c r="L194" s="122">
        <f t="shared" si="81"/>
        <v>0</v>
      </c>
      <c r="M194" s="123" t="s">
        <v>622</v>
      </c>
      <c r="Z194" s="124">
        <f t="shared" si="82"/>
        <v>0</v>
      </c>
      <c r="AB194" s="124">
        <f t="shared" si="83"/>
        <v>0</v>
      </c>
      <c r="AC194" s="124">
        <f t="shared" si="84"/>
        <v>0</v>
      </c>
      <c r="AD194" s="124">
        <f t="shared" si="85"/>
        <v>0</v>
      </c>
      <c r="AE194" s="124">
        <f t="shared" si="86"/>
        <v>0</v>
      </c>
      <c r="AF194" s="124">
        <f t="shared" si="87"/>
        <v>0</v>
      </c>
      <c r="AG194" s="124">
        <f t="shared" si="88"/>
        <v>0</v>
      </c>
      <c r="AH194" s="124">
        <f t="shared" si="89"/>
        <v>0</v>
      </c>
      <c r="AI194" s="113" t="s">
        <v>60</v>
      </c>
      <c r="AJ194" s="122">
        <f t="shared" si="90"/>
        <v>0</v>
      </c>
      <c r="AK194" s="122">
        <f t="shared" si="91"/>
        <v>0</v>
      </c>
      <c r="AL194" s="122">
        <f t="shared" si="92"/>
        <v>0</v>
      </c>
      <c r="AN194" s="124">
        <v>15</v>
      </c>
      <c r="AO194" s="124">
        <f t="shared" si="93"/>
        <v>0</v>
      </c>
      <c r="AP194" s="124">
        <f t="shared" si="94"/>
        <v>0</v>
      </c>
      <c r="AQ194" s="123" t="s">
        <v>85</v>
      </c>
      <c r="AV194" s="124">
        <f t="shared" si="95"/>
        <v>0</v>
      </c>
      <c r="AW194" s="124">
        <f t="shared" si="96"/>
        <v>0</v>
      </c>
      <c r="AX194" s="124">
        <f t="shared" si="97"/>
        <v>0</v>
      </c>
      <c r="AY194" s="125" t="s">
        <v>643</v>
      </c>
      <c r="AZ194" s="125" t="s">
        <v>1537</v>
      </c>
      <c r="BA194" s="113" t="s">
        <v>1542</v>
      </c>
      <c r="BC194" s="124">
        <f t="shared" si="98"/>
        <v>0</v>
      </c>
      <c r="BD194" s="124">
        <f t="shared" si="99"/>
        <v>0</v>
      </c>
      <c r="BE194" s="124">
        <v>0</v>
      </c>
      <c r="BF194" s="124">
        <f t="shared" si="100"/>
        <v>0</v>
      </c>
      <c r="BH194" s="122">
        <f t="shared" si="101"/>
        <v>0</v>
      </c>
      <c r="BI194" s="122">
        <f t="shared" si="102"/>
        <v>0</v>
      </c>
      <c r="BJ194" s="122">
        <f t="shared" si="103"/>
        <v>0</v>
      </c>
    </row>
    <row r="195" spans="1:62" s="174" customFormat="1" ht="12.75">
      <c r="A195" s="121" t="s">
        <v>229</v>
      </c>
      <c r="B195" s="121" t="s">
        <v>60</v>
      </c>
      <c r="C195" s="121" t="s">
        <v>1043</v>
      </c>
      <c r="D195" s="129" t="s">
        <v>1333</v>
      </c>
      <c r="E195" s="121" t="s">
        <v>609</v>
      </c>
      <c r="F195" s="122">
        <f>'Stavební rozpočet'!F361</f>
        <v>91.6</v>
      </c>
      <c r="G195" s="172"/>
      <c r="H195" s="122">
        <f t="shared" si="78"/>
        <v>0</v>
      </c>
      <c r="I195" s="122">
        <f t="shared" si="79"/>
        <v>0</v>
      </c>
      <c r="J195" s="122">
        <f t="shared" si="80"/>
        <v>0</v>
      </c>
      <c r="K195" s="122">
        <f>'Stavební rozpočet'!K361</f>
        <v>0</v>
      </c>
      <c r="L195" s="122">
        <f t="shared" si="81"/>
        <v>0</v>
      </c>
      <c r="M195" s="123" t="s">
        <v>622</v>
      </c>
      <c r="Z195" s="124">
        <f t="shared" si="82"/>
        <v>0</v>
      </c>
      <c r="AB195" s="124">
        <f t="shared" si="83"/>
        <v>0</v>
      </c>
      <c r="AC195" s="124">
        <f t="shared" si="84"/>
        <v>0</v>
      </c>
      <c r="AD195" s="124">
        <f t="shared" si="85"/>
        <v>0</v>
      </c>
      <c r="AE195" s="124">
        <f t="shared" si="86"/>
        <v>0</v>
      </c>
      <c r="AF195" s="124">
        <f t="shared" si="87"/>
        <v>0</v>
      </c>
      <c r="AG195" s="124">
        <f t="shared" si="88"/>
        <v>0</v>
      </c>
      <c r="AH195" s="124">
        <f t="shared" si="89"/>
        <v>0</v>
      </c>
      <c r="AI195" s="113" t="s">
        <v>60</v>
      </c>
      <c r="AJ195" s="122">
        <f t="shared" si="90"/>
        <v>0</v>
      </c>
      <c r="AK195" s="122">
        <f t="shared" si="91"/>
        <v>0</v>
      </c>
      <c r="AL195" s="122">
        <f t="shared" si="92"/>
        <v>0</v>
      </c>
      <c r="AN195" s="124">
        <v>15</v>
      </c>
      <c r="AO195" s="124">
        <f t="shared" si="93"/>
        <v>0</v>
      </c>
      <c r="AP195" s="124">
        <f t="shared" si="94"/>
        <v>0</v>
      </c>
      <c r="AQ195" s="123" t="s">
        <v>85</v>
      </c>
      <c r="AV195" s="124">
        <f t="shared" si="95"/>
        <v>0</v>
      </c>
      <c r="AW195" s="124">
        <f t="shared" si="96"/>
        <v>0</v>
      </c>
      <c r="AX195" s="124">
        <f t="shared" si="97"/>
        <v>0</v>
      </c>
      <c r="AY195" s="125" t="s">
        <v>643</v>
      </c>
      <c r="AZ195" s="125" t="s">
        <v>1537</v>
      </c>
      <c r="BA195" s="113" t="s">
        <v>1542</v>
      </c>
      <c r="BC195" s="124">
        <f t="shared" si="98"/>
        <v>0</v>
      </c>
      <c r="BD195" s="124">
        <f t="shared" si="99"/>
        <v>0</v>
      </c>
      <c r="BE195" s="124">
        <v>0</v>
      </c>
      <c r="BF195" s="124">
        <f t="shared" si="100"/>
        <v>0</v>
      </c>
      <c r="BH195" s="122">
        <f t="shared" si="101"/>
        <v>0</v>
      </c>
      <c r="BI195" s="122">
        <f t="shared" si="102"/>
        <v>0</v>
      </c>
      <c r="BJ195" s="122">
        <f t="shared" si="103"/>
        <v>0</v>
      </c>
    </row>
    <row r="196" spans="1:62" s="174" customFormat="1" ht="12.75">
      <c r="A196" s="121" t="s">
        <v>230</v>
      </c>
      <c r="B196" s="121" t="s">
        <v>60</v>
      </c>
      <c r="C196" s="121" t="s">
        <v>1044</v>
      </c>
      <c r="D196" s="129" t="s">
        <v>489</v>
      </c>
      <c r="E196" s="121" t="s">
        <v>606</v>
      </c>
      <c r="F196" s="122">
        <f>'Stavební rozpočet'!F362</f>
        <v>1</v>
      </c>
      <c r="G196" s="172"/>
      <c r="H196" s="122">
        <f t="shared" si="78"/>
        <v>0</v>
      </c>
      <c r="I196" s="122">
        <f t="shared" si="79"/>
        <v>0</v>
      </c>
      <c r="J196" s="122">
        <f t="shared" si="80"/>
        <v>0</v>
      </c>
      <c r="K196" s="122">
        <f>'Stavební rozpočet'!K362</f>
        <v>0</v>
      </c>
      <c r="L196" s="122">
        <f t="shared" si="81"/>
        <v>0</v>
      </c>
      <c r="M196" s="123" t="s">
        <v>622</v>
      </c>
      <c r="Z196" s="124">
        <f t="shared" si="82"/>
        <v>0</v>
      </c>
      <c r="AB196" s="124">
        <f t="shared" si="83"/>
        <v>0</v>
      </c>
      <c r="AC196" s="124">
        <f t="shared" si="84"/>
        <v>0</v>
      </c>
      <c r="AD196" s="124">
        <f t="shared" si="85"/>
        <v>0</v>
      </c>
      <c r="AE196" s="124">
        <f t="shared" si="86"/>
        <v>0</v>
      </c>
      <c r="AF196" s="124">
        <f t="shared" si="87"/>
        <v>0</v>
      </c>
      <c r="AG196" s="124">
        <f t="shared" si="88"/>
        <v>0</v>
      </c>
      <c r="AH196" s="124">
        <f t="shared" si="89"/>
        <v>0</v>
      </c>
      <c r="AI196" s="113" t="s">
        <v>60</v>
      </c>
      <c r="AJ196" s="122">
        <f t="shared" si="90"/>
        <v>0</v>
      </c>
      <c r="AK196" s="122">
        <f t="shared" si="91"/>
        <v>0</v>
      </c>
      <c r="AL196" s="122">
        <f t="shared" si="92"/>
        <v>0</v>
      </c>
      <c r="AN196" s="124">
        <v>15</v>
      </c>
      <c r="AO196" s="124">
        <f t="shared" si="93"/>
        <v>0</v>
      </c>
      <c r="AP196" s="124">
        <f t="shared" si="94"/>
        <v>0</v>
      </c>
      <c r="AQ196" s="123" t="s">
        <v>85</v>
      </c>
      <c r="AV196" s="124">
        <f t="shared" si="95"/>
        <v>0</v>
      </c>
      <c r="AW196" s="124">
        <f t="shared" si="96"/>
        <v>0</v>
      </c>
      <c r="AX196" s="124">
        <f t="shared" si="97"/>
        <v>0</v>
      </c>
      <c r="AY196" s="125" t="s">
        <v>643</v>
      </c>
      <c r="AZ196" s="125" t="s">
        <v>1537</v>
      </c>
      <c r="BA196" s="113" t="s">
        <v>1542</v>
      </c>
      <c r="BC196" s="124">
        <f t="shared" si="98"/>
        <v>0</v>
      </c>
      <c r="BD196" s="124">
        <f t="shared" si="99"/>
        <v>0</v>
      </c>
      <c r="BE196" s="124">
        <v>0</v>
      </c>
      <c r="BF196" s="124">
        <f t="shared" si="100"/>
        <v>0</v>
      </c>
      <c r="BH196" s="122">
        <f t="shared" si="101"/>
        <v>0</v>
      </c>
      <c r="BI196" s="122">
        <f t="shared" si="102"/>
        <v>0</v>
      </c>
      <c r="BJ196" s="122">
        <f t="shared" si="103"/>
        <v>0</v>
      </c>
    </row>
    <row r="197" spans="1:62" s="174" customFormat="1" ht="12.75">
      <c r="A197" s="121" t="s">
        <v>231</v>
      </c>
      <c r="B197" s="121" t="s">
        <v>60</v>
      </c>
      <c r="C197" s="121" t="s">
        <v>1045</v>
      </c>
      <c r="D197" s="129" t="s">
        <v>490</v>
      </c>
      <c r="E197" s="121" t="s">
        <v>606</v>
      </c>
      <c r="F197" s="122">
        <f>'Stavební rozpočet'!F363</f>
        <v>1</v>
      </c>
      <c r="G197" s="172"/>
      <c r="H197" s="122">
        <f t="shared" si="78"/>
        <v>0</v>
      </c>
      <c r="I197" s="122">
        <f t="shared" si="79"/>
        <v>0</v>
      </c>
      <c r="J197" s="122">
        <f t="shared" si="80"/>
        <v>0</v>
      </c>
      <c r="K197" s="122">
        <f>'Stavební rozpočet'!K363</f>
        <v>0</v>
      </c>
      <c r="L197" s="122">
        <f t="shared" si="81"/>
        <v>0</v>
      </c>
      <c r="M197" s="123" t="s">
        <v>622</v>
      </c>
      <c r="Z197" s="124">
        <f t="shared" si="82"/>
        <v>0</v>
      </c>
      <c r="AB197" s="124">
        <f t="shared" si="83"/>
        <v>0</v>
      </c>
      <c r="AC197" s="124">
        <f t="shared" si="84"/>
        <v>0</v>
      </c>
      <c r="AD197" s="124">
        <f t="shared" si="85"/>
        <v>0</v>
      </c>
      <c r="AE197" s="124">
        <f t="shared" si="86"/>
        <v>0</v>
      </c>
      <c r="AF197" s="124">
        <f t="shared" si="87"/>
        <v>0</v>
      </c>
      <c r="AG197" s="124">
        <f t="shared" si="88"/>
        <v>0</v>
      </c>
      <c r="AH197" s="124">
        <f t="shared" si="89"/>
        <v>0</v>
      </c>
      <c r="AI197" s="113" t="s">
        <v>60</v>
      </c>
      <c r="AJ197" s="122">
        <f t="shared" si="90"/>
        <v>0</v>
      </c>
      <c r="AK197" s="122">
        <f t="shared" si="91"/>
        <v>0</v>
      </c>
      <c r="AL197" s="122">
        <f t="shared" si="92"/>
        <v>0</v>
      </c>
      <c r="AN197" s="124">
        <v>15</v>
      </c>
      <c r="AO197" s="124">
        <f t="shared" si="93"/>
        <v>0</v>
      </c>
      <c r="AP197" s="124">
        <f t="shared" si="94"/>
        <v>0</v>
      </c>
      <c r="AQ197" s="123" t="s">
        <v>85</v>
      </c>
      <c r="AV197" s="124">
        <f t="shared" si="95"/>
        <v>0</v>
      </c>
      <c r="AW197" s="124">
        <f t="shared" si="96"/>
        <v>0</v>
      </c>
      <c r="AX197" s="124">
        <f t="shared" si="97"/>
        <v>0</v>
      </c>
      <c r="AY197" s="125" t="s">
        <v>643</v>
      </c>
      <c r="AZ197" s="125" t="s">
        <v>1537</v>
      </c>
      <c r="BA197" s="113" t="s">
        <v>1542</v>
      </c>
      <c r="BC197" s="124">
        <f t="shared" si="98"/>
        <v>0</v>
      </c>
      <c r="BD197" s="124">
        <f t="shared" si="99"/>
        <v>0</v>
      </c>
      <c r="BE197" s="124">
        <v>0</v>
      </c>
      <c r="BF197" s="124">
        <f t="shared" si="100"/>
        <v>0</v>
      </c>
      <c r="BH197" s="122">
        <f t="shared" si="101"/>
        <v>0</v>
      </c>
      <c r="BI197" s="122">
        <f t="shared" si="102"/>
        <v>0</v>
      </c>
      <c r="BJ197" s="122">
        <f t="shared" si="103"/>
        <v>0</v>
      </c>
    </row>
    <row r="198" spans="1:62" s="174" customFormat="1" ht="12.75">
      <c r="A198" s="121" t="s">
        <v>232</v>
      </c>
      <c r="B198" s="121" t="s">
        <v>60</v>
      </c>
      <c r="C198" s="121" t="s">
        <v>1046</v>
      </c>
      <c r="D198" s="129" t="s">
        <v>491</v>
      </c>
      <c r="E198" s="121" t="s">
        <v>606</v>
      </c>
      <c r="F198" s="122">
        <f>'Stavební rozpočet'!F364</f>
        <v>1</v>
      </c>
      <c r="G198" s="172"/>
      <c r="H198" s="122">
        <f t="shared" si="78"/>
        <v>0</v>
      </c>
      <c r="I198" s="122">
        <f t="shared" si="79"/>
        <v>0</v>
      </c>
      <c r="J198" s="122">
        <f t="shared" si="80"/>
        <v>0</v>
      </c>
      <c r="K198" s="122">
        <f>'Stavební rozpočet'!K364</f>
        <v>0</v>
      </c>
      <c r="L198" s="122">
        <f t="shared" si="81"/>
        <v>0</v>
      </c>
      <c r="M198" s="123" t="s">
        <v>622</v>
      </c>
      <c r="Z198" s="124">
        <f t="shared" si="82"/>
        <v>0</v>
      </c>
      <c r="AB198" s="124">
        <f t="shared" si="83"/>
        <v>0</v>
      </c>
      <c r="AC198" s="124">
        <f t="shared" si="84"/>
        <v>0</v>
      </c>
      <c r="AD198" s="124">
        <f t="shared" si="85"/>
        <v>0</v>
      </c>
      <c r="AE198" s="124">
        <f t="shared" si="86"/>
        <v>0</v>
      </c>
      <c r="AF198" s="124">
        <f t="shared" si="87"/>
        <v>0</v>
      </c>
      <c r="AG198" s="124">
        <f t="shared" si="88"/>
        <v>0</v>
      </c>
      <c r="AH198" s="124">
        <f t="shared" si="89"/>
        <v>0</v>
      </c>
      <c r="AI198" s="113" t="s">
        <v>60</v>
      </c>
      <c r="AJ198" s="122">
        <f t="shared" si="90"/>
        <v>0</v>
      </c>
      <c r="AK198" s="122">
        <f t="shared" si="91"/>
        <v>0</v>
      </c>
      <c r="AL198" s="122">
        <f t="shared" si="92"/>
        <v>0</v>
      </c>
      <c r="AN198" s="124">
        <v>15</v>
      </c>
      <c r="AO198" s="124">
        <f t="shared" si="93"/>
        <v>0</v>
      </c>
      <c r="AP198" s="124">
        <f t="shared" si="94"/>
        <v>0</v>
      </c>
      <c r="AQ198" s="123" t="s">
        <v>85</v>
      </c>
      <c r="AV198" s="124">
        <f t="shared" si="95"/>
        <v>0</v>
      </c>
      <c r="AW198" s="124">
        <f t="shared" si="96"/>
        <v>0</v>
      </c>
      <c r="AX198" s="124">
        <f t="shared" si="97"/>
        <v>0</v>
      </c>
      <c r="AY198" s="125" t="s">
        <v>643</v>
      </c>
      <c r="AZ198" s="125" t="s">
        <v>1537</v>
      </c>
      <c r="BA198" s="113" t="s">
        <v>1542</v>
      </c>
      <c r="BC198" s="124">
        <f t="shared" si="98"/>
        <v>0</v>
      </c>
      <c r="BD198" s="124">
        <f t="shared" si="99"/>
        <v>0</v>
      </c>
      <c r="BE198" s="124">
        <v>0</v>
      </c>
      <c r="BF198" s="124">
        <f t="shared" si="100"/>
        <v>0</v>
      </c>
      <c r="BH198" s="122">
        <f t="shared" si="101"/>
        <v>0</v>
      </c>
      <c r="BI198" s="122">
        <f t="shared" si="102"/>
        <v>0</v>
      </c>
      <c r="BJ198" s="122">
        <f t="shared" si="103"/>
        <v>0</v>
      </c>
    </row>
    <row r="199" spans="1:62" s="174" customFormat="1" ht="12.75">
      <c r="A199" s="121" t="s">
        <v>233</v>
      </c>
      <c r="B199" s="121" t="s">
        <v>60</v>
      </c>
      <c r="C199" s="121" t="s">
        <v>1047</v>
      </c>
      <c r="D199" s="129" t="s">
        <v>492</v>
      </c>
      <c r="E199" s="121" t="s">
        <v>606</v>
      </c>
      <c r="F199" s="122">
        <f>'Stavební rozpočet'!F365</f>
        <v>1</v>
      </c>
      <c r="G199" s="172"/>
      <c r="H199" s="122">
        <f t="shared" si="78"/>
        <v>0</v>
      </c>
      <c r="I199" s="122">
        <f t="shared" si="79"/>
        <v>0</v>
      </c>
      <c r="J199" s="122">
        <f t="shared" si="80"/>
        <v>0</v>
      </c>
      <c r="K199" s="122">
        <f>'Stavební rozpočet'!K365</f>
        <v>0</v>
      </c>
      <c r="L199" s="122">
        <f t="shared" si="81"/>
        <v>0</v>
      </c>
      <c r="M199" s="123" t="s">
        <v>622</v>
      </c>
      <c r="Z199" s="124">
        <f t="shared" si="82"/>
        <v>0</v>
      </c>
      <c r="AB199" s="124">
        <f t="shared" si="83"/>
        <v>0</v>
      </c>
      <c r="AC199" s="124">
        <f t="shared" si="84"/>
        <v>0</v>
      </c>
      <c r="AD199" s="124">
        <f t="shared" si="85"/>
        <v>0</v>
      </c>
      <c r="AE199" s="124">
        <f t="shared" si="86"/>
        <v>0</v>
      </c>
      <c r="AF199" s="124">
        <f t="shared" si="87"/>
        <v>0</v>
      </c>
      <c r="AG199" s="124">
        <f t="shared" si="88"/>
        <v>0</v>
      </c>
      <c r="AH199" s="124">
        <f t="shared" si="89"/>
        <v>0</v>
      </c>
      <c r="AI199" s="113" t="s">
        <v>60</v>
      </c>
      <c r="AJ199" s="122">
        <f t="shared" si="90"/>
        <v>0</v>
      </c>
      <c r="AK199" s="122">
        <f t="shared" si="91"/>
        <v>0</v>
      </c>
      <c r="AL199" s="122">
        <f t="shared" si="92"/>
        <v>0</v>
      </c>
      <c r="AN199" s="124">
        <v>15</v>
      </c>
      <c r="AO199" s="124">
        <f t="shared" si="93"/>
        <v>0</v>
      </c>
      <c r="AP199" s="124">
        <f t="shared" si="94"/>
        <v>0</v>
      </c>
      <c r="AQ199" s="123" t="s">
        <v>85</v>
      </c>
      <c r="AV199" s="124">
        <f t="shared" si="95"/>
        <v>0</v>
      </c>
      <c r="AW199" s="124">
        <f t="shared" si="96"/>
        <v>0</v>
      </c>
      <c r="AX199" s="124">
        <f t="shared" si="97"/>
        <v>0</v>
      </c>
      <c r="AY199" s="125" t="s">
        <v>643</v>
      </c>
      <c r="AZ199" s="125" t="s">
        <v>1537</v>
      </c>
      <c r="BA199" s="113" t="s">
        <v>1542</v>
      </c>
      <c r="BC199" s="124">
        <f t="shared" si="98"/>
        <v>0</v>
      </c>
      <c r="BD199" s="124">
        <f t="shared" si="99"/>
        <v>0</v>
      </c>
      <c r="BE199" s="124">
        <v>0</v>
      </c>
      <c r="BF199" s="124">
        <f t="shared" si="100"/>
        <v>0</v>
      </c>
      <c r="BH199" s="122">
        <f t="shared" si="101"/>
        <v>0</v>
      </c>
      <c r="BI199" s="122">
        <f t="shared" si="102"/>
        <v>0</v>
      </c>
      <c r="BJ199" s="122">
        <f t="shared" si="103"/>
        <v>0</v>
      </c>
    </row>
    <row r="200" spans="1:62" s="174" customFormat="1" ht="12.75">
      <c r="A200" s="121" t="s">
        <v>234</v>
      </c>
      <c r="B200" s="121" t="s">
        <v>60</v>
      </c>
      <c r="C200" s="121" t="s">
        <v>1048</v>
      </c>
      <c r="D200" s="129" t="s">
        <v>493</v>
      </c>
      <c r="E200" s="121" t="s">
        <v>606</v>
      </c>
      <c r="F200" s="122">
        <f>'Stavební rozpočet'!F366</f>
        <v>1</v>
      </c>
      <c r="G200" s="172"/>
      <c r="H200" s="122">
        <f t="shared" si="78"/>
        <v>0</v>
      </c>
      <c r="I200" s="122">
        <f t="shared" si="79"/>
        <v>0</v>
      </c>
      <c r="J200" s="122">
        <f t="shared" si="80"/>
        <v>0</v>
      </c>
      <c r="K200" s="122">
        <f>'Stavební rozpočet'!K366</f>
        <v>0</v>
      </c>
      <c r="L200" s="122">
        <f t="shared" si="81"/>
        <v>0</v>
      </c>
      <c r="M200" s="123" t="s">
        <v>622</v>
      </c>
      <c r="Z200" s="124">
        <f t="shared" si="82"/>
        <v>0</v>
      </c>
      <c r="AB200" s="124">
        <f t="shared" si="83"/>
        <v>0</v>
      </c>
      <c r="AC200" s="124">
        <f t="shared" si="84"/>
        <v>0</v>
      </c>
      <c r="AD200" s="124">
        <f t="shared" si="85"/>
        <v>0</v>
      </c>
      <c r="AE200" s="124">
        <f t="shared" si="86"/>
        <v>0</v>
      </c>
      <c r="AF200" s="124">
        <f t="shared" si="87"/>
        <v>0</v>
      </c>
      <c r="AG200" s="124">
        <f t="shared" si="88"/>
        <v>0</v>
      </c>
      <c r="AH200" s="124">
        <f t="shared" si="89"/>
        <v>0</v>
      </c>
      <c r="AI200" s="113" t="s">
        <v>60</v>
      </c>
      <c r="AJ200" s="122">
        <f t="shared" si="90"/>
        <v>0</v>
      </c>
      <c r="AK200" s="122">
        <f t="shared" si="91"/>
        <v>0</v>
      </c>
      <c r="AL200" s="122">
        <f t="shared" si="92"/>
        <v>0</v>
      </c>
      <c r="AN200" s="124">
        <v>15</v>
      </c>
      <c r="AO200" s="124">
        <f t="shared" si="93"/>
        <v>0</v>
      </c>
      <c r="AP200" s="124">
        <f t="shared" si="94"/>
        <v>0</v>
      </c>
      <c r="AQ200" s="123" t="s">
        <v>85</v>
      </c>
      <c r="AV200" s="124">
        <f t="shared" si="95"/>
        <v>0</v>
      </c>
      <c r="AW200" s="124">
        <f t="shared" si="96"/>
        <v>0</v>
      </c>
      <c r="AX200" s="124">
        <f t="shared" si="97"/>
        <v>0</v>
      </c>
      <c r="AY200" s="125" t="s">
        <v>643</v>
      </c>
      <c r="AZ200" s="125" t="s">
        <v>1537</v>
      </c>
      <c r="BA200" s="113" t="s">
        <v>1542</v>
      </c>
      <c r="BC200" s="124">
        <f t="shared" si="98"/>
        <v>0</v>
      </c>
      <c r="BD200" s="124">
        <f t="shared" si="99"/>
        <v>0</v>
      </c>
      <c r="BE200" s="124">
        <v>0</v>
      </c>
      <c r="BF200" s="124">
        <f t="shared" si="100"/>
        <v>0</v>
      </c>
      <c r="BH200" s="122">
        <f t="shared" si="101"/>
        <v>0</v>
      </c>
      <c r="BI200" s="122">
        <f t="shared" si="102"/>
        <v>0</v>
      </c>
      <c r="BJ200" s="122">
        <f t="shared" si="103"/>
        <v>0</v>
      </c>
    </row>
    <row r="201" spans="1:47" s="174" customFormat="1" ht="12.75">
      <c r="A201" s="118"/>
      <c r="B201" s="119" t="s">
        <v>60</v>
      </c>
      <c r="C201" s="119" t="s">
        <v>314</v>
      </c>
      <c r="D201" s="136" t="s">
        <v>503</v>
      </c>
      <c r="E201" s="118" t="s">
        <v>57</v>
      </c>
      <c r="F201" s="118" t="s">
        <v>57</v>
      </c>
      <c r="G201" s="118"/>
      <c r="H201" s="120">
        <f>SUM(H202:H250)</f>
        <v>0</v>
      </c>
      <c r="I201" s="120">
        <f>SUM(I202:I250)</f>
        <v>0</v>
      </c>
      <c r="J201" s="120">
        <f>SUM(J202:J250)</f>
        <v>0</v>
      </c>
      <c r="K201" s="113"/>
      <c r="L201" s="120">
        <f>SUM(L202:L250)</f>
        <v>0</v>
      </c>
      <c r="M201" s="113"/>
      <c r="AI201" s="113" t="s">
        <v>60</v>
      </c>
      <c r="AS201" s="120">
        <f>SUM(AJ202:AJ250)</f>
        <v>0</v>
      </c>
      <c r="AT201" s="120">
        <f>SUM(AK202:AK250)</f>
        <v>0</v>
      </c>
      <c r="AU201" s="120">
        <f>SUM(AL202:AL250)</f>
        <v>0</v>
      </c>
    </row>
    <row r="202" spans="1:62" s="174" customFormat="1" ht="12.75">
      <c r="A202" s="121" t="s">
        <v>235</v>
      </c>
      <c r="B202" s="121" t="s">
        <v>60</v>
      </c>
      <c r="C202" s="121" t="s">
        <v>179</v>
      </c>
      <c r="D202" s="129" t="s">
        <v>1334</v>
      </c>
      <c r="E202" s="121" t="s">
        <v>606</v>
      </c>
      <c r="F202" s="122">
        <f>'Stavební rozpočet'!F368</f>
        <v>1</v>
      </c>
      <c r="G202" s="172"/>
      <c r="H202" s="122">
        <f aca="true" t="shared" si="104" ref="H202:H233">F202*AO202</f>
        <v>0</v>
      </c>
      <c r="I202" s="122">
        <f aca="true" t="shared" si="105" ref="I202:I233">F202*AP202</f>
        <v>0</v>
      </c>
      <c r="J202" s="122">
        <f aca="true" t="shared" si="106" ref="J202:J233">F202*G202</f>
        <v>0</v>
      </c>
      <c r="K202" s="122">
        <f>'Stavební rozpočet'!K368</f>
        <v>0</v>
      </c>
      <c r="L202" s="122">
        <f aca="true" t="shared" si="107" ref="L202:L233">F202*K202</f>
        <v>0</v>
      </c>
      <c r="M202" s="123" t="s">
        <v>622</v>
      </c>
      <c r="Z202" s="124">
        <f aca="true" t="shared" si="108" ref="Z202:Z233">IF(AQ202="5",BJ202,0)</f>
        <v>0</v>
      </c>
      <c r="AB202" s="124">
        <f aca="true" t="shared" si="109" ref="AB202:AB233">IF(AQ202="1",BH202,0)</f>
        <v>0</v>
      </c>
      <c r="AC202" s="124">
        <f aca="true" t="shared" si="110" ref="AC202:AC233">IF(AQ202="1",BI202,0)</f>
        <v>0</v>
      </c>
      <c r="AD202" s="124">
        <f aca="true" t="shared" si="111" ref="AD202:AD233">IF(AQ202="7",BH202,0)</f>
        <v>0</v>
      </c>
      <c r="AE202" s="124">
        <f aca="true" t="shared" si="112" ref="AE202:AE233">IF(AQ202="7",BI202,0)</f>
        <v>0</v>
      </c>
      <c r="AF202" s="124">
        <f aca="true" t="shared" si="113" ref="AF202:AF233">IF(AQ202="2",BH202,0)</f>
        <v>0</v>
      </c>
      <c r="AG202" s="124">
        <f aca="true" t="shared" si="114" ref="AG202:AG233">IF(AQ202="2",BI202,0)</f>
        <v>0</v>
      </c>
      <c r="AH202" s="124">
        <f aca="true" t="shared" si="115" ref="AH202:AH233">IF(AQ202="0",BJ202,0)</f>
        <v>0</v>
      </c>
      <c r="AI202" s="113" t="s">
        <v>60</v>
      </c>
      <c r="AJ202" s="122">
        <f aca="true" t="shared" si="116" ref="AJ202:AJ233">IF(AN202=0,J202,0)</f>
        <v>0</v>
      </c>
      <c r="AK202" s="122">
        <f aca="true" t="shared" si="117" ref="AK202:AK233">IF(AN202=15,J202,0)</f>
        <v>0</v>
      </c>
      <c r="AL202" s="122">
        <f aca="true" t="shared" si="118" ref="AL202:AL233">IF(AN202=21,J202,0)</f>
        <v>0</v>
      </c>
      <c r="AN202" s="124">
        <v>15</v>
      </c>
      <c r="AO202" s="124">
        <f aca="true" t="shared" si="119" ref="AO202:AO233">G202*0</f>
        <v>0</v>
      </c>
      <c r="AP202" s="124">
        <f aca="true" t="shared" si="120" ref="AP202:AP233">G202*(1-0)</f>
        <v>0</v>
      </c>
      <c r="AQ202" s="123" t="s">
        <v>85</v>
      </c>
      <c r="AV202" s="124">
        <f aca="true" t="shared" si="121" ref="AV202:AV233">AW202+AX202</f>
        <v>0</v>
      </c>
      <c r="AW202" s="124">
        <f aca="true" t="shared" si="122" ref="AW202:AW233">F202*AO202</f>
        <v>0</v>
      </c>
      <c r="AX202" s="124">
        <f aca="true" t="shared" si="123" ref="AX202:AX233">F202*AP202</f>
        <v>0</v>
      </c>
      <c r="AY202" s="125" t="s">
        <v>644</v>
      </c>
      <c r="AZ202" s="125" t="s">
        <v>1537</v>
      </c>
      <c r="BA202" s="113" t="s">
        <v>1542</v>
      </c>
      <c r="BC202" s="124">
        <f aca="true" t="shared" si="124" ref="BC202:BC233">AW202+AX202</f>
        <v>0</v>
      </c>
      <c r="BD202" s="124">
        <f aca="true" t="shared" si="125" ref="BD202:BD233">G202/(100-BE202)*100</f>
        <v>0</v>
      </c>
      <c r="BE202" s="124">
        <v>0</v>
      </c>
      <c r="BF202" s="124">
        <f aca="true" t="shared" si="126" ref="BF202:BF233">L202</f>
        <v>0</v>
      </c>
      <c r="BH202" s="122">
        <f aca="true" t="shared" si="127" ref="BH202:BH233">F202*AO202</f>
        <v>0</v>
      </c>
      <c r="BI202" s="122">
        <f aca="true" t="shared" si="128" ref="BI202:BI233">F202*AP202</f>
        <v>0</v>
      </c>
      <c r="BJ202" s="122">
        <f aca="true" t="shared" si="129" ref="BJ202:BJ233">F202*G202</f>
        <v>0</v>
      </c>
    </row>
    <row r="203" spans="1:62" s="174" customFormat="1" ht="12.75">
      <c r="A203" s="121" t="s">
        <v>236</v>
      </c>
      <c r="B203" s="121" t="s">
        <v>60</v>
      </c>
      <c r="C203" s="121" t="s">
        <v>1049</v>
      </c>
      <c r="D203" s="129" t="s">
        <v>1335</v>
      </c>
      <c r="E203" s="121" t="s">
        <v>606</v>
      </c>
      <c r="F203" s="122">
        <f>'Stavební rozpočet'!F369</f>
        <v>1</v>
      </c>
      <c r="G203" s="172"/>
      <c r="H203" s="122">
        <f t="shared" si="104"/>
        <v>0</v>
      </c>
      <c r="I203" s="122">
        <f t="shared" si="105"/>
        <v>0</v>
      </c>
      <c r="J203" s="122">
        <f t="shared" si="106"/>
        <v>0</v>
      </c>
      <c r="K203" s="122">
        <f>'Stavební rozpočet'!K369</f>
        <v>0</v>
      </c>
      <c r="L203" s="122">
        <f t="shared" si="107"/>
        <v>0</v>
      </c>
      <c r="M203" s="123" t="s">
        <v>622</v>
      </c>
      <c r="Z203" s="124">
        <f t="shared" si="108"/>
        <v>0</v>
      </c>
      <c r="AB203" s="124">
        <f t="shared" si="109"/>
        <v>0</v>
      </c>
      <c r="AC203" s="124">
        <f t="shared" si="110"/>
        <v>0</v>
      </c>
      <c r="AD203" s="124">
        <f t="shared" si="111"/>
        <v>0</v>
      </c>
      <c r="AE203" s="124">
        <f t="shared" si="112"/>
        <v>0</v>
      </c>
      <c r="AF203" s="124">
        <f t="shared" si="113"/>
        <v>0</v>
      </c>
      <c r="AG203" s="124">
        <f t="shared" si="114"/>
        <v>0</v>
      </c>
      <c r="AH203" s="124">
        <f t="shared" si="115"/>
        <v>0</v>
      </c>
      <c r="AI203" s="113" t="s">
        <v>60</v>
      </c>
      <c r="AJ203" s="122">
        <f t="shared" si="116"/>
        <v>0</v>
      </c>
      <c r="AK203" s="122">
        <f t="shared" si="117"/>
        <v>0</v>
      </c>
      <c r="AL203" s="122">
        <f t="shared" si="118"/>
        <v>0</v>
      </c>
      <c r="AN203" s="124">
        <v>15</v>
      </c>
      <c r="AO203" s="124">
        <f t="shared" si="119"/>
        <v>0</v>
      </c>
      <c r="AP203" s="124">
        <f t="shared" si="120"/>
        <v>0</v>
      </c>
      <c r="AQ203" s="123" t="s">
        <v>85</v>
      </c>
      <c r="AV203" s="124">
        <f t="shared" si="121"/>
        <v>0</v>
      </c>
      <c r="AW203" s="124">
        <f t="shared" si="122"/>
        <v>0</v>
      </c>
      <c r="AX203" s="124">
        <f t="shared" si="123"/>
        <v>0</v>
      </c>
      <c r="AY203" s="125" t="s">
        <v>644</v>
      </c>
      <c r="AZ203" s="125" t="s">
        <v>1537</v>
      </c>
      <c r="BA203" s="113" t="s">
        <v>1542</v>
      </c>
      <c r="BC203" s="124">
        <f t="shared" si="124"/>
        <v>0</v>
      </c>
      <c r="BD203" s="124">
        <f t="shared" si="125"/>
        <v>0</v>
      </c>
      <c r="BE203" s="124">
        <v>0</v>
      </c>
      <c r="BF203" s="124">
        <f t="shared" si="126"/>
        <v>0</v>
      </c>
      <c r="BH203" s="122">
        <f t="shared" si="127"/>
        <v>0</v>
      </c>
      <c r="BI203" s="122">
        <f t="shared" si="128"/>
        <v>0</v>
      </c>
      <c r="BJ203" s="122">
        <f t="shared" si="129"/>
        <v>0</v>
      </c>
    </row>
    <row r="204" spans="1:62" s="174" customFormat="1" ht="12.75">
      <c r="A204" s="121" t="s">
        <v>237</v>
      </c>
      <c r="B204" s="121" t="s">
        <v>60</v>
      </c>
      <c r="C204" s="121" t="s">
        <v>1050</v>
      </c>
      <c r="D204" s="129" t="s">
        <v>1336</v>
      </c>
      <c r="E204" s="121" t="s">
        <v>606</v>
      </c>
      <c r="F204" s="122">
        <f>'Stavební rozpočet'!F370</f>
        <v>1</v>
      </c>
      <c r="G204" s="172"/>
      <c r="H204" s="122">
        <f t="shared" si="104"/>
        <v>0</v>
      </c>
      <c r="I204" s="122">
        <f t="shared" si="105"/>
        <v>0</v>
      </c>
      <c r="J204" s="122">
        <f t="shared" si="106"/>
        <v>0</v>
      </c>
      <c r="K204" s="122">
        <f>'Stavební rozpočet'!K370</f>
        <v>0</v>
      </c>
      <c r="L204" s="122">
        <f t="shared" si="107"/>
        <v>0</v>
      </c>
      <c r="M204" s="123" t="s">
        <v>622</v>
      </c>
      <c r="Z204" s="124">
        <f t="shared" si="108"/>
        <v>0</v>
      </c>
      <c r="AB204" s="124">
        <f t="shared" si="109"/>
        <v>0</v>
      </c>
      <c r="AC204" s="124">
        <f t="shared" si="110"/>
        <v>0</v>
      </c>
      <c r="AD204" s="124">
        <f t="shared" si="111"/>
        <v>0</v>
      </c>
      <c r="AE204" s="124">
        <f t="shared" si="112"/>
        <v>0</v>
      </c>
      <c r="AF204" s="124">
        <f t="shared" si="113"/>
        <v>0</v>
      </c>
      <c r="AG204" s="124">
        <f t="shared" si="114"/>
        <v>0</v>
      </c>
      <c r="AH204" s="124">
        <f t="shared" si="115"/>
        <v>0</v>
      </c>
      <c r="AI204" s="113" t="s">
        <v>60</v>
      </c>
      <c r="AJ204" s="122">
        <f t="shared" si="116"/>
        <v>0</v>
      </c>
      <c r="AK204" s="122">
        <f t="shared" si="117"/>
        <v>0</v>
      </c>
      <c r="AL204" s="122">
        <f t="shared" si="118"/>
        <v>0</v>
      </c>
      <c r="AN204" s="124">
        <v>15</v>
      </c>
      <c r="AO204" s="124">
        <f t="shared" si="119"/>
        <v>0</v>
      </c>
      <c r="AP204" s="124">
        <f t="shared" si="120"/>
        <v>0</v>
      </c>
      <c r="AQ204" s="123" t="s">
        <v>85</v>
      </c>
      <c r="AV204" s="124">
        <f t="shared" si="121"/>
        <v>0</v>
      </c>
      <c r="AW204" s="124">
        <f t="shared" si="122"/>
        <v>0</v>
      </c>
      <c r="AX204" s="124">
        <f t="shared" si="123"/>
        <v>0</v>
      </c>
      <c r="AY204" s="125" t="s">
        <v>644</v>
      </c>
      <c r="AZ204" s="125" t="s">
        <v>1537</v>
      </c>
      <c r="BA204" s="113" t="s">
        <v>1542</v>
      </c>
      <c r="BC204" s="124">
        <f t="shared" si="124"/>
        <v>0</v>
      </c>
      <c r="BD204" s="124">
        <f t="shared" si="125"/>
        <v>0</v>
      </c>
      <c r="BE204" s="124">
        <v>0</v>
      </c>
      <c r="BF204" s="124">
        <f t="shared" si="126"/>
        <v>0</v>
      </c>
      <c r="BH204" s="122">
        <f t="shared" si="127"/>
        <v>0</v>
      </c>
      <c r="BI204" s="122">
        <f t="shared" si="128"/>
        <v>0</v>
      </c>
      <c r="BJ204" s="122">
        <f t="shared" si="129"/>
        <v>0</v>
      </c>
    </row>
    <row r="205" spans="1:62" s="174" customFormat="1" ht="12.75">
      <c r="A205" s="121" t="s">
        <v>238</v>
      </c>
      <c r="B205" s="121" t="s">
        <v>60</v>
      </c>
      <c r="C205" s="121" t="s">
        <v>1051</v>
      </c>
      <c r="D205" s="129" t="s">
        <v>1337</v>
      </c>
      <c r="E205" s="121" t="s">
        <v>606</v>
      </c>
      <c r="F205" s="122">
        <f>'Stavební rozpočet'!F371</f>
        <v>1</v>
      </c>
      <c r="G205" s="172"/>
      <c r="H205" s="122">
        <f t="shared" si="104"/>
        <v>0</v>
      </c>
      <c r="I205" s="122">
        <f t="shared" si="105"/>
        <v>0</v>
      </c>
      <c r="J205" s="122">
        <f t="shared" si="106"/>
        <v>0</v>
      </c>
      <c r="K205" s="122">
        <f>'Stavební rozpočet'!K371</f>
        <v>0</v>
      </c>
      <c r="L205" s="122">
        <f t="shared" si="107"/>
        <v>0</v>
      </c>
      <c r="M205" s="123" t="s">
        <v>622</v>
      </c>
      <c r="Z205" s="124">
        <f t="shared" si="108"/>
        <v>0</v>
      </c>
      <c r="AB205" s="124">
        <f t="shared" si="109"/>
        <v>0</v>
      </c>
      <c r="AC205" s="124">
        <f t="shared" si="110"/>
        <v>0</v>
      </c>
      <c r="AD205" s="124">
        <f t="shared" si="111"/>
        <v>0</v>
      </c>
      <c r="AE205" s="124">
        <f t="shared" si="112"/>
        <v>0</v>
      </c>
      <c r="AF205" s="124">
        <f t="shared" si="113"/>
        <v>0</v>
      </c>
      <c r="AG205" s="124">
        <f t="shared" si="114"/>
        <v>0</v>
      </c>
      <c r="AH205" s="124">
        <f t="shared" si="115"/>
        <v>0</v>
      </c>
      <c r="AI205" s="113" t="s">
        <v>60</v>
      </c>
      <c r="AJ205" s="122">
        <f t="shared" si="116"/>
        <v>0</v>
      </c>
      <c r="AK205" s="122">
        <f t="shared" si="117"/>
        <v>0</v>
      </c>
      <c r="AL205" s="122">
        <f t="shared" si="118"/>
        <v>0</v>
      </c>
      <c r="AN205" s="124">
        <v>15</v>
      </c>
      <c r="AO205" s="124">
        <f t="shared" si="119"/>
        <v>0</v>
      </c>
      <c r="AP205" s="124">
        <f t="shared" si="120"/>
        <v>0</v>
      </c>
      <c r="AQ205" s="123" t="s">
        <v>85</v>
      </c>
      <c r="AV205" s="124">
        <f t="shared" si="121"/>
        <v>0</v>
      </c>
      <c r="AW205" s="124">
        <f t="shared" si="122"/>
        <v>0</v>
      </c>
      <c r="AX205" s="124">
        <f t="shared" si="123"/>
        <v>0</v>
      </c>
      <c r="AY205" s="125" t="s">
        <v>644</v>
      </c>
      <c r="AZ205" s="125" t="s">
        <v>1537</v>
      </c>
      <c r="BA205" s="113" t="s">
        <v>1542</v>
      </c>
      <c r="BC205" s="124">
        <f t="shared" si="124"/>
        <v>0</v>
      </c>
      <c r="BD205" s="124">
        <f t="shared" si="125"/>
        <v>0</v>
      </c>
      <c r="BE205" s="124">
        <v>0</v>
      </c>
      <c r="BF205" s="124">
        <f t="shared" si="126"/>
        <v>0</v>
      </c>
      <c r="BH205" s="122">
        <f t="shared" si="127"/>
        <v>0</v>
      </c>
      <c r="BI205" s="122">
        <f t="shared" si="128"/>
        <v>0</v>
      </c>
      <c r="BJ205" s="122">
        <f t="shared" si="129"/>
        <v>0</v>
      </c>
    </row>
    <row r="206" spans="1:62" s="174" customFormat="1" ht="12.75">
      <c r="A206" s="121" t="s">
        <v>239</v>
      </c>
      <c r="B206" s="121" t="s">
        <v>60</v>
      </c>
      <c r="C206" s="121" t="s">
        <v>1052</v>
      </c>
      <c r="D206" s="129" t="s">
        <v>1338</v>
      </c>
      <c r="E206" s="121" t="s">
        <v>606</v>
      </c>
      <c r="F206" s="122">
        <f>'Stavební rozpočet'!F372</f>
        <v>1</v>
      </c>
      <c r="G206" s="172"/>
      <c r="H206" s="122">
        <f t="shared" si="104"/>
        <v>0</v>
      </c>
      <c r="I206" s="122">
        <f t="shared" si="105"/>
        <v>0</v>
      </c>
      <c r="J206" s="122">
        <f t="shared" si="106"/>
        <v>0</v>
      </c>
      <c r="K206" s="122">
        <f>'Stavební rozpočet'!K372</f>
        <v>0</v>
      </c>
      <c r="L206" s="122">
        <f t="shared" si="107"/>
        <v>0</v>
      </c>
      <c r="M206" s="123" t="s">
        <v>622</v>
      </c>
      <c r="Z206" s="124">
        <f t="shared" si="108"/>
        <v>0</v>
      </c>
      <c r="AB206" s="124">
        <f t="shared" si="109"/>
        <v>0</v>
      </c>
      <c r="AC206" s="124">
        <f t="shared" si="110"/>
        <v>0</v>
      </c>
      <c r="AD206" s="124">
        <f t="shared" si="111"/>
        <v>0</v>
      </c>
      <c r="AE206" s="124">
        <f t="shared" si="112"/>
        <v>0</v>
      </c>
      <c r="AF206" s="124">
        <f t="shared" si="113"/>
        <v>0</v>
      </c>
      <c r="AG206" s="124">
        <f t="shared" si="114"/>
        <v>0</v>
      </c>
      <c r="AH206" s="124">
        <f t="shared" si="115"/>
        <v>0</v>
      </c>
      <c r="AI206" s="113" t="s">
        <v>60</v>
      </c>
      <c r="AJ206" s="122">
        <f t="shared" si="116"/>
        <v>0</v>
      </c>
      <c r="AK206" s="122">
        <f t="shared" si="117"/>
        <v>0</v>
      </c>
      <c r="AL206" s="122">
        <f t="shared" si="118"/>
        <v>0</v>
      </c>
      <c r="AN206" s="124">
        <v>15</v>
      </c>
      <c r="AO206" s="124">
        <f t="shared" si="119"/>
        <v>0</v>
      </c>
      <c r="AP206" s="124">
        <f t="shared" si="120"/>
        <v>0</v>
      </c>
      <c r="AQ206" s="123" t="s">
        <v>85</v>
      </c>
      <c r="AV206" s="124">
        <f t="shared" si="121"/>
        <v>0</v>
      </c>
      <c r="AW206" s="124">
        <f t="shared" si="122"/>
        <v>0</v>
      </c>
      <c r="AX206" s="124">
        <f t="shared" si="123"/>
        <v>0</v>
      </c>
      <c r="AY206" s="125" t="s">
        <v>644</v>
      </c>
      <c r="AZ206" s="125" t="s">
        <v>1537</v>
      </c>
      <c r="BA206" s="113" t="s">
        <v>1542</v>
      </c>
      <c r="BC206" s="124">
        <f t="shared" si="124"/>
        <v>0</v>
      </c>
      <c r="BD206" s="124">
        <f t="shared" si="125"/>
        <v>0</v>
      </c>
      <c r="BE206" s="124">
        <v>0</v>
      </c>
      <c r="BF206" s="124">
        <f t="shared" si="126"/>
        <v>0</v>
      </c>
      <c r="BH206" s="122">
        <f t="shared" si="127"/>
        <v>0</v>
      </c>
      <c r="BI206" s="122">
        <f t="shared" si="128"/>
        <v>0</v>
      </c>
      <c r="BJ206" s="122">
        <f t="shared" si="129"/>
        <v>0</v>
      </c>
    </row>
    <row r="207" spans="1:62" s="174" customFormat="1" ht="12.75">
      <c r="A207" s="121" t="s">
        <v>240</v>
      </c>
      <c r="B207" s="121" t="s">
        <v>60</v>
      </c>
      <c r="C207" s="121" t="s">
        <v>1053</v>
      </c>
      <c r="D207" s="129" t="s">
        <v>1339</v>
      </c>
      <c r="E207" s="121" t="s">
        <v>606</v>
      </c>
      <c r="F207" s="122">
        <f>'Stavební rozpočet'!F373</f>
        <v>1</v>
      </c>
      <c r="G207" s="172"/>
      <c r="H207" s="122">
        <f t="shared" si="104"/>
        <v>0</v>
      </c>
      <c r="I207" s="122">
        <f t="shared" si="105"/>
        <v>0</v>
      </c>
      <c r="J207" s="122">
        <f t="shared" si="106"/>
        <v>0</v>
      </c>
      <c r="K207" s="122">
        <f>'Stavební rozpočet'!K373</f>
        <v>0</v>
      </c>
      <c r="L207" s="122">
        <f t="shared" si="107"/>
        <v>0</v>
      </c>
      <c r="M207" s="123" t="s">
        <v>622</v>
      </c>
      <c r="Z207" s="124">
        <f t="shared" si="108"/>
        <v>0</v>
      </c>
      <c r="AB207" s="124">
        <f t="shared" si="109"/>
        <v>0</v>
      </c>
      <c r="AC207" s="124">
        <f t="shared" si="110"/>
        <v>0</v>
      </c>
      <c r="AD207" s="124">
        <f t="shared" si="111"/>
        <v>0</v>
      </c>
      <c r="AE207" s="124">
        <f t="shared" si="112"/>
        <v>0</v>
      </c>
      <c r="AF207" s="124">
        <f t="shared" si="113"/>
        <v>0</v>
      </c>
      <c r="AG207" s="124">
        <f t="shared" si="114"/>
        <v>0</v>
      </c>
      <c r="AH207" s="124">
        <f t="shared" si="115"/>
        <v>0</v>
      </c>
      <c r="AI207" s="113" t="s">
        <v>60</v>
      </c>
      <c r="AJ207" s="122">
        <f t="shared" si="116"/>
        <v>0</v>
      </c>
      <c r="AK207" s="122">
        <f t="shared" si="117"/>
        <v>0</v>
      </c>
      <c r="AL207" s="122">
        <f t="shared" si="118"/>
        <v>0</v>
      </c>
      <c r="AN207" s="124">
        <v>15</v>
      </c>
      <c r="AO207" s="124">
        <f t="shared" si="119"/>
        <v>0</v>
      </c>
      <c r="AP207" s="124">
        <f t="shared" si="120"/>
        <v>0</v>
      </c>
      <c r="AQ207" s="123" t="s">
        <v>85</v>
      </c>
      <c r="AV207" s="124">
        <f t="shared" si="121"/>
        <v>0</v>
      </c>
      <c r="AW207" s="124">
        <f t="shared" si="122"/>
        <v>0</v>
      </c>
      <c r="AX207" s="124">
        <f t="shared" si="123"/>
        <v>0</v>
      </c>
      <c r="AY207" s="125" t="s">
        <v>644</v>
      </c>
      <c r="AZ207" s="125" t="s">
        <v>1537</v>
      </c>
      <c r="BA207" s="113" t="s">
        <v>1542</v>
      </c>
      <c r="BC207" s="124">
        <f t="shared" si="124"/>
        <v>0</v>
      </c>
      <c r="BD207" s="124">
        <f t="shared" si="125"/>
        <v>0</v>
      </c>
      <c r="BE207" s="124">
        <v>0</v>
      </c>
      <c r="BF207" s="124">
        <f t="shared" si="126"/>
        <v>0</v>
      </c>
      <c r="BH207" s="122">
        <f t="shared" si="127"/>
        <v>0</v>
      </c>
      <c r="BI207" s="122">
        <f t="shared" si="128"/>
        <v>0</v>
      </c>
      <c r="BJ207" s="122">
        <f t="shared" si="129"/>
        <v>0</v>
      </c>
    </row>
    <row r="208" spans="1:62" s="174" customFormat="1" ht="12.75" hidden="1">
      <c r="A208" s="121" t="s">
        <v>241</v>
      </c>
      <c r="B208" s="121" t="s">
        <v>60</v>
      </c>
      <c r="C208" s="121" t="s">
        <v>180</v>
      </c>
      <c r="D208" s="129" t="s">
        <v>1340</v>
      </c>
      <c r="E208" s="121" t="s">
        <v>606</v>
      </c>
      <c r="F208" s="122">
        <f>'Stavební rozpočet'!F374</f>
        <v>0</v>
      </c>
      <c r="G208" s="172"/>
      <c r="H208" s="122">
        <f t="shared" si="104"/>
        <v>0</v>
      </c>
      <c r="I208" s="122">
        <f t="shared" si="105"/>
        <v>0</v>
      </c>
      <c r="J208" s="122">
        <f t="shared" si="106"/>
        <v>0</v>
      </c>
      <c r="K208" s="122">
        <f>'Stavební rozpočet'!K374</f>
        <v>0</v>
      </c>
      <c r="L208" s="122">
        <f t="shared" si="107"/>
        <v>0</v>
      </c>
      <c r="M208" s="123" t="s">
        <v>622</v>
      </c>
      <c r="Z208" s="124">
        <f t="shared" si="108"/>
        <v>0</v>
      </c>
      <c r="AB208" s="124">
        <f t="shared" si="109"/>
        <v>0</v>
      </c>
      <c r="AC208" s="124">
        <f t="shared" si="110"/>
        <v>0</v>
      </c>
      <c r="AD208" s="124">
        <f t="shared" si="111"/>
        <v>0</v>
      </c>
      <c r="AE208" s="124">
        <f t="shared" si="112"/>
        <v>0</v>
      </c>
      <c r="AF208" s="124">
        <f t="shared" si="113"/>
        <v>0</v>
      </c>
      <c r="AG208" s="124">
        <f t="shared" si="114"/>
        <v>0</v>
      </c>
      <c r="AH208" s="124">
        <f t="shared" si="115"/>
        <v>0</v>
      </c>
      <c r="AI208" s="113" t="s">
        <v>60</v>
      </c>
      <c r="AJ208" s="122">
        <f t="shared" si="116"/>
        <v>0</v>
      </c>
      <c r="AK208" s="122">
        <f t="shared" si="117"/>
        <v>0</v>
      </c>
      <c r="AL208" s="122">
        <f t="shared" si="118"/>
        <v>0</v>
      </c>
      <c r="AN208" s="124">
        <v>15</v>
      </c>
      <c r="AO208" s="124">
        <f t="shared" si="119"/>
        <v>0</v>
      </c>
      <c r="AP208" s="124">
        <f t="shared" si="120"/>
        <v>0</v>
      </c>
      <c r="AQ208" s="123" t="s">
        <v>85</v>
      </c>
      <c r="AV208" s="124">
        <f t="shared" si="121"/>
        <v>0</v>
      </c>
      <c r="AW208" s="124">
        <f t="shared" si="122"/>
        <v>0</v>
      </c>
      <c r="AX208" s="124">
        <f t="shared" si="123"/>
        <v>0</v>
      </c>
      <c r="AY208" s="125" t="s">
        <v>644</v>
      </c>
      <c r="AZ208" s="125" t="s">
        <v>1537</v>
      </c>
      <c r="BA208" s="113" t="s">
        <v>1542</v>
      </c>
      <c r="BC208" s="124">
        <f t="shared" si="124"/>
        <v>0</v>
      </c>
      <c r="BD208" s="124">
        <f t="shared" si="125"/>
        <v>0</v>
      </c>
      <c r="BE208" s="124">
        <v>0</v>
      </c>
      <c r="BF208" s="124">
        <f t="shared" si="126"/>
        <v>0</v>
      </c>
      <c r="BH208" s="122">
        <f t="shared" si="127"/>
        <v>0</v>
      </c>
      <c r="BI208" s="122">
        <f t="shared" si="128"/>
        <v>0</v>
      </c>
      <c r="BJ208" s="122">
        <f t="shared" si="129"/>
        <v>0</v>
      </c>
    </row>
    <row r="209" spans="1:62" s="174" customFormat="1" ht="12.75" hidden="1">
      <c r="A209" s="121" t="s">
        <v>242</v>
      </c>
      <c r="B209" s="121" t="s">
        <v>60</v>
      </c>
      <c r="C209" s="121" t="s">
        <v>1054</v>
      </c>
      <c r="D209" s="129" t="s">
        <v>1341</v>
      </c>
      <c r="E209" s="121" t="s">
        <v>606</v>
      </c>
      <c r="F209" s="122">
        <f>'Stavební rozpočet'!F375</f>
        <v>0</v>
      </c>
      <c r="G209" s="172"/>
      <c r="H209" s="122">
        <f t="shared" si="104"/>
        <v>0</v>
      </c>
      <c r="I209" s="122">
        <f t="shared" si="105"/>
        <v>0</v>
      </c>
      <c r="J209" s="122">
        <f t="shared" si="106"/>
        <v>0</v>
      </c>
      <c r="K209" s="122">
        <f>'Stavební rozpočet'!K375</f>
        <v>0</v>
      </c>
      <c r="L209" s="122">
        <f t="shared" si="107"/>
        <v>0</v>
      </c>
      <c r="M209" s="123" t="s">
        <v>622</v>
      </c>
      <c r="Z209" s="124">
        <f t="shared" si="108"/>
        <v>0</v>
      </c>
      <c r="AB209" s="124">
        <f t="shared" si="109"/>
        <v>0</v>
      </c>
      <c r="AC209" s="124">
        <f t="shared" si="110"/>
        <v>0</v>
      </c>
      <c r="AD209" s="124">
        <f t="shared" si="111"/>
        <v>0</v>
      </c>
      <c r="AE209" s="124">
        <f t="shared" si="112"/>
        <v>0</v>
      </c>
      <c r="AF209" s="124">
        <f t="shared" si="113"/>
        <v>0</v>
      </c>
      <c r="AG209" s="124">
        <f t="shared" si="114"/>
        <v>0</v>
      </c>
      <c r="AH209" s="124">
        <f t="shared" si="115"/>
        <v>0</v>
      </c>
      <c r="AI209" s="113" t="s">
        <v>60</v>
      </c>
      <c r="AJ209" s="122">
        <f t="shared" si="116"/>
        <v>0</v>
      </c>
      <c r="AK209" s="122">
        <f t="shared" si="117"/>
        <v>0</v>
      </c>
      <c r="AL209" s="122">
        <f t="shared" si="118"/>
        <v>0</v>
      </c>
      <c r="AN209" s="124">
        <v>15</v>
      </c>
      <c r="AO209" s="124">
        <f t="shared" si="119"/>
        <v>0</v>
      </c>
      <c r="AP209" s="124">
        <f t="shared" si="120"/>
        <v>0</v>
      </c>
      <c r="AQ209" s="123" t="s">
        <v>85</v>
      </c>
      <c r="AV209" s="124">
        <f t="shared" si="121"/>
        <v>0</v>
      </c>
      <c r="AW209" s="124">
        <f t="shared" si="122"/>
        <v>0</v>
      </c>
      <c r="AX209" s="124">
        <f t="shared" si="123"/>
        <v>0</v>
      </c>
      <c r="AY209" s="125" t="s">
        <v>644</v>
      </c>
      <c r="AZ209" s="125" t="s">
        <v>1537</v>
      </c>
      <c r="BA209" s="113" t="s">
        <v>1542</v>
      </c>
      <c r="BC209" s="124">
        <f t="shared" si="124"/>
        <v>0</v>
      </c>
      <c r="BD209" s="124">
        <f t="shared" si="125"/>
        <v>0</v>
      </c>
      <c r="BE209" s="124">
        <v>0</v>
      </c>
      <c r="BF209" s="124">
        <f t="shared" si="126"/>
        <v>0</v>
      </c>
      <c r="BH209" s="122">
        <f t="shared" si="127"/>
        <v>0</v>
      </c>
      <c r="BI209" s="122">
        <f t="shared" si="128"/>
        <v>0</v>
      </c>
      <c r="BJ209" s="122">
        <f t="shared" si="129"/>
        <v>0</v>
      </c>
    </row>
    <row r="210" spans="1:62" s="174" customFormat="1" ht="12.75" hidden="1">
      <c r="A210" s="121" t="s">
        <v>243</v>
      </c>
      <c r="B210" s="121" t="s">
        <v>60</v>
      </c>
      <c r="C210" s="121" t="s">
        <v>1055</v>
      </c>
      <c r="D210" s="129" t="s">
        <v>1336</v>
      </c>
      <c r="E210" s="121" t="s">
        <v>606</v>
      </c>
      <c r="F210" s="122">
        <f>'Stavební rozpočet'!F376</f>
        <v>0</v>
      </c>
      <c r="G210" s="172"/>
      <c r="H210" s="122">
        <f t="shared" si="104"/>
        <v>0</v>
      </c>
      <c r="I210" s="122">
        <f t="shared" si="105"/>
        <v>0</v>
      </c>
      <c r="J210" s="122">
        <f t="shared" si="106"/>
        <v>0</v>
      </c>
      <c r="K210" s="122">
        <f>'Stavební rozpočet'!K376</f>
        <v>0</v>
      </c>
      <c r="L210" s="122">
        <f t="shared" si="107"/>
        <v>0</v>
      </c>
      <c r="M210" s="123" t="s">
        <v>622</v>
      </c>
      <c r="Z210" s="124">
        <f t="shared" si="108"/>
        <v>0</v>
      </c>
      <c r="AB210" s="124">
        <f t="shared" si="109"/>
        <v>0</v>
      </c>
      <c r="AC210" s="124">
        <f t="shared" si="110"/>
        <v>0</v>
      </c>
      <c r="AD210" s="124">
        <f t="shared" si="111"/>
        <v>0</v>
      </c>
      <c r="AE210" s="124">
        <f t="shared" si="112"/>
        <v>0</v>
      </c>
      <c r="AF210" s="124">
        <f t="shared" si="113"/>
        <v>0</v>
      </c>
      <c r="AG210" s="124">
        <f t="shared" si="114"/>
        <v>0</v>
      </c>
      <c r="AH210" s="124">
        <f t="shared" si="115"/>
        <v>0</v>
      </c>
      <c r="AI210" s="113" t="s">
        <v>60</v>
      </c>
      <c r="AJ210" s="122">
        <f t="shared" si="116"/>
        <v>0</v>
      </c>
      <c r="AK210" s="122">
        <f t="shared" si="117"/>
        <v>0</v>
      </c>
      <c r="AL210" s="122">
        <f t="shared" si="118"/>
        <v>0</v>
      </c>
      <c r="AN210" s="124">
        <v>15</v>
      </c>
      <c r="AO210" s="124">
        <f t="shared" si="119"/>
        <v>0</v>
      </c>
      <c r="AP210" s="124">
        <f t="shared" si="120"/>
        <v>0</v>
      </c>
      <c r="AQ210" s="123" t="s">
        <v>85</v>
      </c>
      <c r="AV210" s="124">
        <f t="shared" si="121"/>
        <v>0</v>
      </c>
      <c r="AW210" s="124">
        <f t="shared" si="122"/>
        <v>0</v>
      </c>
      <c r="AX210" s="124">
        <f t="shared" si="123"/>
        <v>0</v>
      </c>
      <c r="AY210" s="125" t="s">
        <v>644</v>
      </c>
      <c r="AZ210" s="125" t="s">
        <v>1537</v>
      </c>
      <c r="BA210" s="113" t="s">
        <v>1542</v>
      </c>
      <c r="BC210" s="124">
        <f t="shared" si="124"/>
        <v>0</v>
      </c>
      <c r="BD210" s="124">
        <f t="shared" si="125"/>
        <v>0</v>
      </c>
      <c r="BE210" s="124">
        <v>0</v>
      </c>
      <c r="BF210" s="124">
        <f t="shared" si="126"/>
        <v>0</v>
      </c>
      <c r="BH210" s="122">
        <f t="shared" si="127"/>
        <v>0</v>
      </c>
      <c r="BI210" s="122">
        <f t="shared" si="128"/>
        <v>0</v>
      </c>
      <c r="BJ210" s="122">
        <f t="shared" si="129"/>
        <v>0</v>
      </c>
    </row>
    <row r="211" spans="1:62" s="174" customFormat="1" ht="12.75" hidden="1">
      <c r="A211" s="121" t="s">
        <v>244</v>
      </c>
      <c r="B211" s="121" t="s">
        <v>60</v>
      </c>
      <c r="C211" s="121" t="s">
        <v>1056</v>
      </c>
      <c r="D211" s="129" t="s">
        <v>1337</v>
      </c>
      <c r="E211" s="121" t="s">
        <v>606</v>
      </c>
      <c r="F211" s="122">
        <f>'Stavební rozpočet'!F377</f>
        <v>0</v>
      </c>
      <c r="G211" s="172"/>
      <c r="H211" s="122">
        <f t="shared" si="104"/>
        <v>0</v>
      </c>
      <c r="I211" s="122">
        <f t="shared" si="105"/>
        <v>0</v>
      </c>
      <c r="J211" s="122">
        <f t="shared" si="106"/>
        <v>0</v>
      </c>
      <c r="K211" s="122">
        <f>'Stavební rozpočet'!K377</f>
        <v>0</v>
      </c>
      <c r="L211" s="122">
        <f t="shared" si="107"/>
        <v>0</v>
      </c>
      <c r="M211" s="123" t="s">
        <v>622</v>
      </c>
      <c r="Z211" s="124">
        <f t="shared" si="108"/>
        <v>0</v>
      </c>
      <c r="AB211" s="124">
        <f t="shared" si="109"/>
        <v>0</v>
      </c>
      <c r="AC211" s="124">
        <f t="shared" si="110"/>
        <v>0</v>
      </c>
      <c r="AD211" s="124">
        <f t="shared" si="111"/>
        <v>0</v>
      </c>
      <c r="AE211" s="124">
        <f t="shared" si="112"/>
        <v>0</v>
      </c>
      <c r="AF211" s="124">
        <f t="shared" si="113"/>
        <v>0</v>
      </c>
      <c r="AG211" s="124">
        <f t="shared" si="114"/>
        <v>0</v>
      </c>
      <c r="AH211" s="124">
        <f t="shared" si="115"/>
        <v>0</v>
      </c>
      <c r="AI211" s="113" t="s">
        <v>60</v>
      </c>
      <c r="AJ211" s="122">
        <f t="shared" si="116"/>
        <v>0</v>
      </c>
      <c r="AK211" s="122">
        <f t="shared" si="117"/>
        <v>0</v>
      </c>
      <c r="AL211" s="122">
        <f t="shared" si="118"/>
        <v>0</v>
      </c>
      <c r="AN211" s="124">
        <v>15</v>
      </c>
      <c r="AO211" s="124">
        <f t="shared" si="119"/>
        <v>0</v>
      </c>
      <c r="AP211" s="124">
        <f t="shared" si="120"/>
        <v>0</v>
      </c>
      <c r="AQ211" s="123" t="s">
        <v>85</v>
      </c>
      <c r="AV211" s="124">
        <f t="shared" si="121"/>
        <v>0</v>
      </c>
      <c r="AW211" s="124">
        <f t="shared" si="122"/>
        <v>0</v>
      </c>
      <c r="AX211" s="124">
        <f t="shared" si="123"/>
        <v>0</v>
      </c>
      <c r="AY211" s="125" t="s">
        <v>644</v>
      </c>
      <c r="AZ211" s="125" t="s">
        <v>1537</v>
      </c>
      <c r="BA211" s="113" t="s">
        <v>1542</v>
      </c>
      <c r="BC211" s="124">
        <f t="shared" si="124"/>
        <v>0</v>
      </c>
      <c r="BD211" s="124">
        <f t="shared" si="125"/>
        <v>0</v>
      </c>
      <c r="BE211" s="124">
        <v>0</v>
      </c>
      <c r="BF211" s="124">
        <f t="shared" si="126"/>
        <v>0</v>
      </c>
      <c r="BH211" s="122">
        <f t="shared" si="127"/>
        <v>0</v>
      </c>
      <c r="BI211" s="122">
        <f t="shared" si="128"/>
        <v>0</v>
      </c>
      <c r="BJ211" s="122">
        <f t="shared" si="129"/>
        <v>0</v>
      </c>
    </row>
    <row r="212" spans="1:62" s="174" customFormat="1" ht="12.75" hidden="1">
      <c r="A212" s="121" t="s">
        <v>664</v>
      </c>
      <c r="B212" s="121" t="s">
        <v>60</v>
      </c>
      <c r="C212" s="121" t="s">
        <v>1057</v>
      </c>
      <c r="D212" s="129" t="s">
        <v>1338</v>
      </c>
      <c r="E212" s="121" t="s">
        <v>606</v>
      </c>
      <c r="F212" s="122">
        <f>'Stavební rozpočet'!F378</f>
        <v>0</v>
      </c>
      <c r="G212" s="172"/>
      <c r="H212" s="122">
        <f t="shared" si="104"/>
        <v>0</v>
      </c>
      <c r="I212" s="122">
        <f t="shared" si="105"/>
        <v>0</v>
      </c>
      <c r="J212" s="122">
        <f t="shared" si="106"/>
        <v>0</v>
      </c>
      <c r="K212" s="122">
        <f>'Stavební rozpočet'!K378</f>
        <v>0</v>
      </c>
      <c r="L212" s="122">
        <f t="shared" si="107"/>
        <v>0</v>
      </c>
      <c r="M212" s="123" t="s">
        <v>622</v>
      </c>
      <c r="Z212" s="124">
        <f t="shared" si="108"/>
        <v>0</v>
      </c>
      <c r="AB212" s="124">
        <f t="shared" si="109"/>
        <v>0</v>
      </c>
      <c r="AC212" s="124">
        <f t="shared" si="110"/>
        <v>0</v>
      </c>
      <c r="AD212" s="124">
        <f t="shared" si="111"/>
        <v>0</v>
      </c>
      <c r="AE212" s="124">
        <f t="shared" si="112"/>
        <v>0</v>
      </c>
      <c r="AF212" s="124">
        <f t="shared" si="113"/>
        <v>0</v>
      </c>
      <c r="AG212" s="124">
        <f t="shared" si="114"/>
        <v>0</v>
      </c>
      <c r="AH212" s="124">
        <f t="shared" si="115"/>
        <v>0</v>
      </c>
      <c r="AI212" s="113" t="s">
        <v>60</v>
      </c>
      <c r="AJ212" s="122">
        <f t="shared" si="116"/>
        <v>0</v>
      </c>
      <c r="AK212" s="122">
        <f t="shared" si="117"/>
        <v>0</v>
      </c>
      <c r="AL212" s="122">
        <f t="shared" si="118"/>
        <v>0</v>
      </c>
      <c r="AN212" s="124">
        <v>15</v>
      </c>
      <c r="AO212" s="124">
        <f t="shared" si="119"/>
        <v>0</v>
      </c>
      <c r="AP212" s="124">
        <f t="shared" si="120"/>
        <v>0</v>
      </c>
      <c r="AQ212" s="123" t="s">
        <v>85</v>
      </c>
      <c r="AV212" s="124">
        <f t="shared" si="121"/>
        <v>0</v>
      </c>
      <c r="AW212" s="124">
        <f t="shared" si="122"/>
        <v>0</v>
      </c>
      <c r="AX212" s="124">
        <f t="shared" si="123"/>
        <v>0</v>
      </c>
      <c r="AY212" s="125" t="s">
        <v>644</v>
      </c>
      <c r="AZ212" s="125" t="s">
        <v>1537</v>
      </c>
      <c r="BA212" s="113" t="s">
        <v>1542</v>
      </c>
      <c r="BC212" s="124">
        <f t="shared" si="124"/>
        <v>0</v>
      </c>
      <c r="BD212" s="124">
        <f t="shared" si="125"/>
        <v>0</v>
      </c>
      <c r="BE212" s="124">
        <v>0</v>
      </c>
      <c r="BF212" s="124">
        <f t="shared" si="126"/>
        <v>0</v>
      </c>
      <c r="BH212" s="122">
        <f t="shared" si="127"/>
        <v>0</v>
      </c>
      <c r="BI212" s="122">
        <f t="shared" si="128"/>
        <v>0</v>
      </c>
      <c r="BJ212" s="122">
        <f t="shared" si="129"/>
        <v>0</v>
      </c>
    </row>
    <row r="213" spans="1:62" s="174" customFormat="1" ht="12.75" hidden="1">
      <c r="A213" s="121" t="s">
        <v>665</v>
      </c>
      <c r="B213" s="121" t="s">
        <v>60</v>
      </c>
      <c r="C213" s="121" t="s">
        <v>1058</v>
      </c>
      <c r="D213" s="129" t="s">
        <v>1339</v>
      </c>
      <c r="E213" s="121" t="s">
        <v>606</v>
      </c>
      <c r="F213" s="122">
        <f>'Stavební rozpočet'!F379</f>
        <v>0</v>
      </c>
      <c r="G213" s="172"/>
      <c r="H213" s="122">
        <f t="shared" si="104"/>
        <v>0</v>
      </c>
      <c r="I213" s="122">
        <f t="shared" si="105"/>
        <v>0</v>
      </c>
      <c r="J213" s="122">
        <f t="shared" si="106"/>
        <v>0</v>
      </c>
      <c r="K213" s="122">
        <f>'Stavební rozpočet'!K379</f>
        <v>0</v>
      </c>
      <c r="L213" s="122">
        <f t="shared" si="107"/>
        <v>0</v>
      </c>
      <c r="M213" s="123" t="s">
        <v>622</v>
      </c>
      <c r="Z213" s="124">
        <f t="shared" si="108"/>
        <v>0</v>
      </c>
      <c r="AB213" s="124">
        <f t="shared" si="109"/>
        <v>0</v>
      </c>
      <c r="AC213" s="124">
        <f t="shared" si="110"/>
        <v>0</v>
      </c>
      <c r="AD213" s="124">
        <f t="shared" si="111"/>
        <v>0</v>
      </c>
      <c r="AE213" s="124">
        <f t="shared" si="112"/>
        <v>0</v>
      </c>
      <c r="AF213" s="124">
        <f t="shared" si="113"/>
        <v>0</v>
      </c>
      <c r="AG213" s="124">
        <f t="shared" si="114"/>
        <v>0</v>
      </c>
      <c r="AH213" s="124">
        <f t="shared" si="115"/>
        <v>0</v>
      </c>
      <c r="AI213" s="113" t="s">
        <v>60</v>
      </c>
      <c r="AJ213" s="122">
        <f t="shared" si="116"/>
        <v>0</v>
      </c>
      <c r="AK213" s="122">
        <f t="shared" si="117"/>
        <v>0</v>
      </c>
      <c r="AL213" s="122">
        <f t="shared" si="118"/>
        <v>0</v>
      </c>
      <c r="AN213" s="124">
        <v>15</v>
      </c>
      <c r="AO213" s="124">
        <f t="shared" si="119"/>
        <v>0</v>
      </c>
      <c r="AP213" s="124">
        <f t="shared" si="120"/>
        <v>0</v>
      </c>
      <c r="AQ213" s="123" t="s">
        <v>85</v>
      </c>
      <c r="AV213" s="124">
        <f t="shared" si="121"/>
        <v>0</v>
      </c>
      <c r="AW213" s="124">
        <f t="shared" si="122"/>
        <v>0</v>
      </c>
      <c r="AX213" s="124">
        <f t="shared" si="123"/>
        <v>0</v>
      </c>
      <c r="AY213" s="125" t="s">
        <v>644</v>
      </c>
      <c r="AZ213" s="125" t="s">
        <v>1537</v>
      </c>
      <c r="BA213" s="113" t="s">
        <v>1542</v>
      </c>
      <c r="BC213" s="124">
        <f t="shared" si="124"/>
        <v>0</v>
      </c>
      <c r="BD213" s="124">
        <f t="shared" si="125"/>
        <v>0</v>
      </c>
      <c r="BE213" s="124">
        <v>0</v>
      </c>
      <c r="BF213" s="124">
        <f t="shared" si="126"/>
        <v>0</v>
      </c>
      <c r="BH213" s="122">
        <f t="shared" si="127"/>
        <v>0</v>
      </c>
      <c r="BI213" s="122">
        <f t="shared" si="128"/>
        <v>0</v>
      </c>
      <c r="BJ213" s="122">
        <f t="shared" si="129"/>
        <v>0</v>
      </c>
    </row>
    <row r="214" spans="1:62" s="174" customFormat="1" ht="12.75">
      <c r="A214" s="121" t="s">
        <v>666</v>
      </c>
      <c r="B214" s="121" t="s">
        <v>60</v>
      </c>
      <c r="C214" s="121" t="s">
        <v>181</v>
      </c>
      <c r="D214" s="129" t="s">
        <v>1342</v>
      </c>
      <c r="E214" s="121" t="s">
        <v>609</v>
      </c>
      <c r="F214" s="122">
        <f>'Stavební rozpočet'!F380</f>
        <v>0.8</v>
      </c>
      <c r="G214" s="172"/>
      <c r="H214" s="122">
        <f t="shared" si="104"/>
        <v>0</v>
      </c>
      <c r="I214" s="122">
        <f t="shared" si="105"/>
        <v>0</v>
      </c>
      <c r="J214" s="122">
        <f t="shared" si="106"/>
        <v>0</v>
      </c>
      <c r="K214" s="122">
        <f>'Stavební rozpočet'!K380</f>
        <v>0</v>
      </c>
      <c r="L214" s="122">
        <f t="shared" si="107"/>
        <v>0</v>
      </c>
      <c r="M214" s="123" t="s">
        <v>622</v>
      </c>
      <c r="Z214" s="124">
        <f t="shared" si="108"/>
        <v>0</v>
      </c>
      <c r="AB214" s="124">
        <f t="shared" si="109"/>
        <v>0</v>
      </c>
      <c r="AC214" s="124">
        <f t="shared" si="110"/>
        <v>0</v>
      </c>
      <c r="AD214" s="124">
        <f t="shared" si="111"/>
        <v>0</v>
      </c>
      <c r="AE214" s="124">
        <f t="shared" si="112"/>
        <v>0</v>
      </c>
      <c r="AF214" s="124">
        <f t="shared" si="113"/>
        <v>0</v>
      </c>
      <c r="AG214" s="124">
        <f t="shared" si="114"/>
        <v>0</v>
      </c>
      <c r="AH214" s="124">
        <f t="shared" si="115"/>
        <v>0</v>
      </c>
      <c r="AI214" s="113" t="s">
        <v>60</v>
      </c>
      <c r="AJ214" s="122">
        <f t="shared" si="116"/>
        <v>0</v>
      </c>
      <c r="AK214" s="122">
        <f t="shared" si="117"/>
        <v>0</v>
      </c>
      <c r="AL214" s="122">
        <f t="shared" si="118"/>
        <v>0</v>
      </c>
      <c r="AN214" s="124">
        <v>15</v>
      </c>
      <c r="AO214" s="124">
        <f t="shared" si="119"/>
        <v>0</v>
      </c>
      <c r="AP214" s="124">
        <f t="shared" si="120"/>
        <v>0</v>
      </c>
      <c r="AQ214" s="123" t="s">
        <v>85</v>
      </c>
      <c r="AV214" s="124">
        <f t="shared" si="121"/>
        <v>0</v>
      </c>
      <c r="AW214" s="124">
        <f t="shared" si="122"/>
        <v>0</v>
      </c>
      <c r="AX214" s="124">
        <f t="shared" si="123"/>
        <v>0</v>
      </c>
      <c r="AY214" s="125" t="s">
        <v>644</v>
      </c>
      <c r="AZ214" s="125" t="s">
        <v>1537</v>
      </c>
      <c r="BA214" s="113" t="s">
        <v>1542</v>
      </c>
      <c r="BC214" s="124">
        <f t="shared" si="124"/>
        <v>0</v>
      </c>
      <c r="BD214" s="124">
        <f t="shared" si="125"/>
        <v>0</v>
      </c>
      <c r="BE214" s="124">
        <v>0</v>
      </c>
      <c r="BF214" s="124">
        <f t="shared" si="126"/>
        <v>0</v>
      </c>
      <c r="BH214" s="122">
        <f t="shared" si="127"/>
        <v>0</v>
      </c>
      <c r="BI214" s="122">
        <f t="shared" si="128"/>
        <v>0</v>
      </c>
      <c r="BJ214" s="122">
        <f t="shared" si="129"/>
        <v>0</v>
      </c>
    </row>
    <row r="215" spans="1:62" s="174" customFormat="1" ht="12.75" hidden="1">
      <c r="A215" s="121" t="s">
        <v>667</v>
      </c>
      <c r="B215" s="121" t="s">
        <v>60</v>
      </c>
      <c r="C215" s="121" t="s">
        <v>182</v>
      </c>
      <c r="D215" s="129" t="s">
        <v>1343</v>
      </c>
      <c r="E215" s="121" t="s">
        <v>609</v>
      </c>
      <c r="F215" s="122">
        <f>'Stavební rozpočet'!F381</f>
        <v>0</v>
      </c>
      <c r="G215" s="172"/>
      <c r="H215" s="122">
        <f t="shared" si="104"/>
        <v>0</v>
      </c>
      <c r="I215" s="122">
        <f t="shared" si="105"/>
        <v>0</v>
      </c>
      <c r="J215" s="122">
        <f t="shared" si="106"/>
        <v>0</v>
      </c>
      <c r="K215" s="122">
        <f>'Stavební rozpočet'!K381</f>
        <v>0</v>
      </c>
      <c r="L215" s="122">
        <f t="shared" si="107"/>
        <v>0</v>
      </c>
      <c r="M215" s="123" t="s">
        <v>622</v>
      </c>
      <c r="Z215" s="124">
        <f t="shared" si="108"/>
        <v>0</v>
      </c>
      <c r="AB215" s="124">
        <f t="shared" si="109"/>
        <v>0</v>
      </c>
      <c r="AC215" s="124">
        <f t="shared" si="110"/>
        <v>0</v>
      </c>
      <c r="AD215" s="124">
        <f t="shared" si="111"/>
        <v>0</v>
      </c>
      <c r="AE215" s="124">
        <f t="shared" si="112"/>
        <v>0</v>
      </c>
      <c r="AF215" s="124">
        <f t="shared" si="113"/>
        <v>0</v>
      </c>
      <c r="AG215" s="124">
        <f t="shared" si="114"/>
        <v>0</v>
      </c>
      <c r="AH215" s="124">
        <f t="shared" si="115"/>
        <v>0</v>
      </c>
      <c r="AI215" s="113" t="s">
        <v>60</v>
      </c>
      <c r="AJ215" s="122">
        <f t="shared" si="116"/>
        <v>0</v>
      </c>
      <c r="AK215" s="122">
        <f t="shared" si="117"/>
        <v>0</v>
      </c>
      <c r="AL215" s="122">
        <f t="shared" si="118"/>
        <v>0</v>
      </c>
      <c r="AN215" s="124">
        <v>15</v>
      </c>
      <c r="AO215" s="124">
        <f t="shared" si="119"/>
        <v>0</v>
      </c>
      <c r="AP215" s="124">
        <f t="shared" si="120"/>
        <v>0</v>
      </c>
      <c r="AQ215" s="123" t="s">
        <v>85</v>
      </c>
      <c r="AV215" s="124">
        <f t="shared" si="121"/>
        <v>0</v>
      </c>
      <c r="AW215" s="124">
        <f t="shared" si="122"/>
        <v>0</v>
      </c>
      <c r="AX215" s="124">
        <f t="shared" si="123"/>
        <v>0</v>
      </c>
      <c r="AY215" s="125" t="s">
        <v>644</v>
      </c>
      <c r="AZ215" s="125" t="s">
        <v>1537</v>
      </c>
      <c r="BA215" s="113" t="s">
        <v>1542</v>
      </c>
      <c r="BC215" s="124">
        <f t="shared" si="124"/>
        <v>0</v>
      </c>
      <c r="BD215" s="124">
        <f t="shared" si="125"/>
        <v>0</v>
      </c>
      <c r="BE215" s="124">
        <v>0</v>
      </c>
      <c r="BF215" s="124">
        <f t="shared" si="126"/>
        <v>0</v>
      </c>
      <c r="BH215" s="122">
        <f t="shared" si="127"/>
        <v>0</v>
      </c>
      <c r="BI215" s="122">
        <f t="shared" si="128"/>
        <v>0</v>
      </c>
      <c r="BJ215" s="122">
        <f t="shared" si="129"/>
        <v>0</v>
      </c>
    </row>
    <row r="216" spans="1:62" s="174" customFormat="1" ht="12.75">
      <c r="A216" s="121" t="s">
        <v>668</v>
      </c>
      <c r="B216" s="121" t="s">
        <v>60</v>
      </c>
      <c r="C216" s="121" t="s">
        <v>183</v>
      </c>
      <c r="D216" s="129" t="s">
        <v>1344</v>
      </c>
      <c r="E216" s="121" t="s">
        <v>609</v>
      </c>
      <c r="F216" s="122">
        <f>'Stavební rozpočet'!F382</f>
        <v>6.1</v>
      </c>
      <c r="G216" s="172"/>
      <c r="H216" s="122">
        <f t="shared" si="104"/>
        <v>0</v>
      </c>
      <c r="I216" s="122">
        <f t="shared" si="105"/>
        <v>0</v>
      </c>
      <c r="J216" s="122">
        <f t="shared" si="106"/>
        <v>0</v>
      </c>
      <c r="K216" s="122">
        <f>'Stavební rozpočet'!K382</f>
        <v>0</v>
      </c>
      <c r="L216" s="122">
        <f t="shared" si="107"/>
        <v>0</v>
      </c>
      <c r="M216" s="123" t="s">
        <v>622</v>
      </c>
      <c r="Z216" s="124">
        <f t="shared" si="108"/>
        <v>0</v>
      </c>
      <c r="AB216" s="124">
        <f t="shared" si="109"/>
        <v>0</v>
      </c>
      <c r="AC216" s="124">
        <f t="shared" si="110"/>
        <v>0</v>
      </c>
      <c r="AD216" s="124">
        <f t="shared" si="111"/>
        <v>0</v>
      </c>
      <c r="AE216" s="124">
        <f t="shared" si="112"/>
        <v>0</v>
      </c>
      <c r="AF216" s="124">
        <f t="shared" si="113"/>
        <v>0</v>
      </c>
      <c r="AG216" s="124">
        <f t="shared" si="114"/>
        <v>0</v>
      </c>
      <c r="AH216" s="124">
        <f t="shared" si="115"/>
        <v>0</v>
      </c>
      <c r="AI216" s="113" t="s">
        <v>60</v>
      </c>
      <c r="AJ216" s="122">
        <f t="shared" si="116"/>
        <v>0</v>
      </c>
      <c r="AK216" s="122">
        <f t="shared" si="117"/>
        <v>0</v>
      </c>
      <c r="AL216" s="122">
        <f t="shared" si="118"/>
        <v>0</v>
      </c>
      <c r="AN216" s="124">
        <v>15</v>
      </c>
      <c r="AO216" s="124">
        <f t="shared" si="119"/>
        <v>0</v>
      </c>
      <c r="AP216" s="124">
        <f t="shared" si="120"/>
        <v>0</v>
      </c>
      <c r="AQ216" s="123" t="s">
        <v>85</v>
      </c>
      <c r="AV216" s="124">
        <f t="shared" si="121"/>
        <v>0</v>
      </c>
      <c r="AW216" s="124">
        <f t="shared" si="122"/>
        <v>0</v>
      </c>
      <c r="AX216" s="124">
        <f t="shared" si="123"/>
        <v>0</v>
      </c>
      <c r="AY216" s="125" t="s">
        <v>644</v>
      </c>
      <c r="AZ216" s="125" t="s">
        <v>1537</v>
      </c>
      <c r="BA216" s="113" t="s">
        <v>1542</v>
      </c>
      <c r="BC216" s="124">
        <f t="shared" si="124"/>
        <v>0</v>
      </c>
      <c r="BD216" s="124">
        <f t="shared" si="125"/>
        <v>0</v>
      </c>
      <c r="BE216" s="124">
        <v>0</v>
      </c>
      <c r="BF216" s="124">
        <f t="shared" si="126"/>
        <v>0</v>
      </c>
      <c r="BH216" s="122">
        <f t="shared" si="127"/>
        <v>0</v>
      </c>
      <c r="BI216" s="122">
        <f t="shared" si="128"/>
        <v>0</v>
      </c>
      <c r="BJ216" s="122">
        <f t="shared" si="129"/>
        <v>0</v>
      </c>
    </row>
    <row r="217" spans="1:62" s="174" customFormat="1" ht="12.75">
      <c r="A217" s="121" t="s">
        <v>669</v>
      </c>
      <c r="B217" s="121" t="s">
        <v>60</v>
      </c>
      <c r="C217" s="121" t="s">
        <v>184</v>
      </c>
      <c r="D217" s="129" t="s">
        <v>1345</v>
      </c>
      <c r="E217" s="121" t="s">
        <v>609</v>
      </c>
      <c r="F217" s="122">
        <f>'Stavební rozpočet'!F383</f>
        <v>6.4</v>
      </c>
      <c r="G217" s="172"/>
      <c r="H217" s="122">
        <f t="shared" si="104"/>
        <v>0</v>
      </c>
      <c r="I217" s="122">
        <f t="shared" si="105"/>
        <v>0</v>
      </c>
      <c r="J217" s="122">
        <f t="shared" si="106"/>
        <v>0</v>
      </c>
      <c r="K217" s="122">
        <f>'Stavební rozpočet'!K383</f>
        <v>0</v>
      </c>
      <c r="L217" s="122">
        <f t="shared" si="107"/>
        <v>0</v>
      </c>
      <c r="M217" s="123" t="s">
        <v>622</v>
      </c>
      <c r="Z217" s="124">
        <f t="shared" si="108"/>
        <v>0</v>
      </c>
      <c r="AB217" s="124">
        <f t="shared" si="109"/>
        <v>0</v>
      </c>
      <c r="AC217" s="124">
        <f t="shared" si="110"/>
        <v>0</v>
      </c>
      <c r="AD217" s="124">
        <f t="shared" si="111"/>
        <v>0</v>
      </c>
      <c r="AE217" s="124">
        <f t="shared" si="112"/>
        <v>0</v>
      </c>
      <c r="AF217" s="124">
        <f t="shared" si="113"/>
        <v>0</v>
      </c>
      <c r="AG217" s="124">
        <f t="shared" si="114"/>
        <v>0</v>
      </c>
      <c r="AH217" s="124">
        <f t="shared" si="115"/>
        <v>0</v>
      </c>
      <c r="AI217" s="113" t="s">
        <v>60</v>
      </c>
      <c r="AJ217" s="122">
        <f t="shared" si="116"/>
        <v>0</v>
      </c>
      <c r="AK217" s="122">
        <f t="shared" si="117"/>
        <v>0</v>
      </c>
      <c r="AL217" s="122">
        <f t="shared" si="118"/>
        <v>0</v>
      </c>
      <c r="AN217" s="124">
        <v>15</v>
      </c>
      <c r="AO217" s="124">
        <f t="shared" si="119"/>
        <v>0</v>
      </c>
      <c r="AP217" s="124">
        <f t="shared" si="120"/>
        <v>0</v>
      </c>
      <c r="AQ217" s="123" t="s">
        <v>85</v>
      </c>
      <c r="AV217" s="124">
        <f t="shared" si="121"/>
        <v>0</v>
      </c>
      <c r="AW217" s="124">
        <f t="shared" si="122"/>
        <v>0</v>
      </c>
      <c r="AX217" s="124">
        <f t="shared" si="123"/>
        <v>0</v>
      </c>
      <c r="AY217" s="125" t="s">
        <v>644</v>
      </c>
      <c r="AZ217" s="125" t="s">
        <v>1537</v>
      </c>
      <c r="BA217" s="113" t="s">
        <v>1542</v>
      </c>
      <c r="BC217" s="124">
        <f t="shared" si="124"/>
        <v>0</v>
      </c>
      <c r="BD217" s="124">
        <f t="shared" si="125"/>
        <v>0</v>
      </c>
      <c r="BE217" s="124">
        <v>0</v>
      </c>
      <c r="BF217" s="124">
        <f t="shared" si="126"/>
        <v>0</v>
      </c>
      <c r="BH217" s="122">
        <f t="shared" si="127"/>
        <v>0</v>
      </c>
      <c r="BI217" s="122">
        <f t="shared" si="128"/>
        <v>0</v>
      </c>
      <c r="BJ217" s="122">
        <f t="shared" si="129"/>
        <v>0</v>
      </c>
    </row>
    <row r="218" spans="1:62" s="174" customFormat="1" ht="12.75">
      <c r="A218" s="121" t="s">
        <v>670</v>
      </c>
      <c r="B218" s="121" t="s">
        <v>60</v>
      </c>
      <c r="C218" s="121" t="s">
        <v>185</v>
      </c>
      <c r="D218" s="129" t="s">
        <v>1346</v>
      </c>
      <c r="E218" s="121" t="s">
        <v>609</v>
      </c>
      <c r="F218" s="122">
        <f>'Stavební rozpočet'!F384</f>
        <v>9.2</v>
      </c>
      <c r="G218" s="172"/>
      <c r="H218" s="122">
        <f t="shared" si="104"/>
        <v>0</v>
      </c>
      <c r="I218" s="122">
        <f t="shared" si="105"/>
        <v>0</v>
      </c>
      <c r="J218" s="122">
        <f t="shared" si="106"/>
        <v>0</v>
      </c>
      <c r="K218" s="122">
        <f>'Stavební rozpočet'!K384</f>
        <v>0</v>
      </c>
      <c r="L218" s="122">
        <f t="shared" si="107"/>
        <v>0</v>
      </c>
      <c r="M218" s="123" t="s">
        <v>622</v>
      </c>
      <c r="Z218" s="124">
        <f t="shared" si="108"/>
        <v>0</v>
      </c>
      <c r="AB218" s="124">
        <f t="shared" si="109"/>
        <v>0</v>
      </c>
      <c r="AC218" s="124">
        <f t="shared" si="110"/>
        <v>0</v>
      </c>
      <c r="AD218" s="124">
        <f t="shared" si="111"/>
        <v>0</v>
      </c>
      <c r="AE218" s="124">
        <f t="shared" si="112"/>
        <v>0</v>
      </c>
      <c r="AF218" s="124">
        <f t="shared" si="113"/>
        <v>0</v>
      </c>
      <c r="AG218" s="124">
        <f t="shared" si="114"/>
        <v>0</v>
      </c>
      <c r="AH218" s="124">
        <f t="shared" si="115"/>
        <v>0</v>
      </c>
      <c r="AI218" s="113" t="s">
        <v>60</v>
      </c>
      <c r="AJ218" s="122">
        <f t="shared" si="116"/>
        <v>0</v>
      </c>
      <c r="AK218" s="122">
        <f t="shared" si="117"/>
        <v>0</v>
      </c>
      <c r="AL218" s="122">
        <f t="shared" si="118"/>
        <v>0</v>
      </c>
      <c r="AN218" s="124">
        <v>15</v>
      </c>
      <c r="AO218" s="124">
        <f t="shared" si="119"/>
        <v>0</v>
      </c>
      <c r="AP218" s="124">
        <f t="shared" si="120"/>
        <v>0</v>
      </c>
      <c r="AQ218" s="123" t="s">
        <v>85</v>
      </c>
      <c r="AV218" s="124">
        <f t="shared" si="121"/>
        <v>0</v>
      </c>
      <c r="AW218" s="124">
        <f t="shared" si="122"/>
        <v>0</v>
      </c>
      <c r="AX218" s="124">
        <f t="shared" si="123"/>
        <v>0</v>
      </c>
      <c r="AY218" s="125" t="s">
        <v>644</v>
      </c>
      <c r="AZ218" s="125" t="s">
        <v>1537</v>
      </c>
      <c r="BA218" s="113" t="s">
        <v>1542</v>
      </c>
      <c r="BC218" s="124">
        <f t="shared" si="124"/>
        <v>0</v>
      </c>
      <c r="BD218" s="124">
        <f t="shared" si="125"/>
        <v>0</v>
      </c>
      <c r="BE218" s="124">
        <v>0</v>
      </c>
      <c r="BF218" s="124">
        <f t="shared" si="126"/>
        <v>0</v>
      </c>
      <c r="BH218" s="122">
        <f t="shared" si="127"/>
        <v>0</v>
      </c>
      <c r="BI218" s="122">
        <f t="shared" si="128"/>
        <v>0</v>
      </c>
      <c r="BJ218" s="122">
        <f t="shared" si="129"/>
        <v>0</v>
      </c>
    </row>
    <row r="219" spans="1:62" s="174" customFormat="1" ht="12.75">
      <c r="A219" s="121" t="s">
        <v>671</v>
      </c>
      <c r="B219" s="121" t="s">
        <v>60</v>
      </c>
      <c r="C219" s="121" t="s">
        <v>186</v>
      </c>
      <c r="D219" s="129" t="s">
        <v>1347</v>
      </c>
      <c r="E219" s="121" t="s">
        <v>609</v>
      </c>
      <c r="F219" s="122">
        <f>'Stavební rozpočet'!F385</f>
        <v>9.1</v>
      </c>
      <c r="G219" s="172"/>
      <c r="H219" s="122">
        <f t="shared" si="104"/>
        <v>0</v>
      </c>
      <c r="I219" s="122">
        <f t="shared" si="105"/>
        <v>0</v>
      </c>
      <c r="J219" s="122">
        <f t="shared" si="106"/>
        <v>0</v>
      </c>
      <c r="K219" s="122">
        <f>'Stavební rozpočet'!K385</f>
        <v>0</v>
      </c>
      <c r="L219" s="122">
        <f t="shared" si="107"/>
        <v>0</v>
      </c>
      <c r="M219" s="123" t="s">
        <v>622</v>
      </c>
      <c r="Z219" s="124">
        <f t="shared" si="108"/>
        <v>0</v>
      </c>
      <c r="AB219" s="124">
        <f t="shared" si="109"/>
        <v>0</v>
      </c>
      <c r="AC219" s="124">
        <f t="shared" si="110"/>
        <v>0</v>
      </c>
      <c r="AD219" s="124">
        <f t="shared" si="111"/>
        <v>0</v>
      </c>
      <c r="AE219" s="124">
        <f t="shared" si="112"/>
        <v>0</v>
      </c>
      <c r="AF219" s="124">
        <f t="shared" si="113"/>
        <v>0</v>
      </c>
      <c r="AG219" s="124">
        <f t="shared" si="114"/>
        <v>0</v>
      </c>
      <c r="AH219" s="124">
        <f t="shared" si="115"/>
        <v>0</v>
      </c>
      <c r="AI219" s="113" t="s">
        <v>60</v>
      </c>
      <c r="AJ219" s="122">
        <f t="shared" si="116"/>
        <v>0</v>
      </c>
      <c r="AK219" s="122">
        <f t="shared" si="117"/>
        <v>0</v>
      </c>
      <c r="AL219" s="122">
        <f t="shared" si="118"/>
        <v>0</v>
      </c>
      <c r="AN219" s="124">
        <v>15</v>
      </c>
      <c r="AO219" s="124">
        <f t="shared" si="119"/>
        <v>0</v>
      </c>
      <c r="AP219" s="124">
        <f t="shared" si="120"/>
        <v>0</v>
      </c>
      <c r="AQ219" s="123" t="s">
        <v>85</v>
      </c>
      <c r="AV219" s="124">
        <f t="shared" si="121"/>
        <v>0</v>
      </c>
      <c r="AW219" s="124">
        <f t="shared" si="122"/>
        <v>0</v>
      </c>
      <c r="AX219" s="124">
        <f t="shared" si="123"/>
        <v>0</v>
      </c>
      <c r="AY219" s="125" t="s">
        <v>644</v>
      </c>
      <c r="AZ219" s="125" t="s">
        <v>1537</v>
      </c>
      <c r="BA219" s="113" t="s">
        <v>1542</v>
      </c>
      <c r="BC219" s="124">
        <f t="shared" si="124"/>
        <v>0</v>
      </c>
      <c r="BD219" s="124">
        <f t="shared" si="125"/>
        <v>0</v>
      </c>
      <c r="BE219" s="124">
        <v>0</v>
      </c>
      <c r="BF219" s="124">
        <f t="shared" si="126"/>
        <v>0</v>
      </c>
      <c r="BH219" s="122">
        <f t="shared" si="127"/>
        <v>0</v>
      </c>
      <c r="BI219" s="122">
        <f t="shared" si="128"/>
        <v>0</v>
      </c>
      <c r="BJ219" s="122">
        <f t="shared" si="129"/>
        <v>0</v>
      </c>
    </row>
    <row r="220" spans="1:62" s="174" customFormat="1" ht="12.75" hidden="1">
      <c r="A220" s="121" t="s">
        <v>672</v>
      </c>
      <c r="B220" s="121" t="s">
        <v>60</v>
      </c>
      <c r="C220" s="121" t="s">
        <v>187</v>
      </c>
      <c r="D220" s="129" t="s">
        <v>1348</v>
      </c>
      <c r="E220" s="121" t="s">
        <v>609</v>
      </c>
      <c r="F220" s="122">
        <f>'Stavební rozpočet'!F386</f>
        <v>0</v>
      </c>
      <c r="G220" s="172"/>
      <c r="H220" s="122">
        <f t="shared" si="104"/>
        <v>0</v>
      </c>
      <c r="I220" s="122">
        <f t="shared" si="105"/>
        <v>0</v>
      </c>
      <c r="J220" s="122">
        <f t="shared" si="106"/>
        <v>0</v>
      </c>
      <c r="K220" s="122">
        <f>'Stavební rozpočet'!K386</f>
        <v>0</v>
      </c>
      <c r="L220" s="122">
        <f t="shared" si="107"/>
        <v>0</v>
      </c>
      <c r="M220" s="123" t="s">
        <v>622</v>
      </c>
      <c r="Z220" s="124">
        <f t="shared" si="108"/>
        <v>0</v>
      </c>
      <c r="AB220" s="124">
        <f t="shared" si="109"/>
        <v>0</v>
      </c>
      <c r="AC220" s="124">
        <f t="shared" si="110"/>
        <v>0</v>
      </c>
      <c r="AD220" s="124">
        <f t="shared" si="111"/>
        <v>0</v>
      </c>
      <c r="AE220" s="124">
        <f t="shared" si="112"/>
        <v>0</v>
      </c>
      <c r="AF220" s="124">
        <f t="shared" si="113"/>
        <v>0</v>
      </c>
      <c r="AG220" s="124">
        <f t="shared" si="114"/>
        <v>0</v>
      </c>
      <c r="AH220" s="124">
        <f t="shared" si="115"/>
        <v>0</v>
      </c>
      <c r="AI220" s="113" t="s">
        <v>60</v>
      </c>
      <c r="AJ220" s="122">
        <f t="shared" si="116"/>
        <v>0</v>
      </c>
      <c r="AK220" s="122">
        <f t="shared" si="117"/>
        <v>0</v>
      </c>
      <c r="AL220" s="122">
        <f t="shared" si="118"/>
        <v>0</v>
      </c>
      <c r="AN220" s="124">
        <v>15</v>
      </c>
      <c r="AO220" s="124">
        <f t="shared" si="119"/>
        <v>0</v>
      </c>
      <c r="AP220" s="124">
        <f t="shared" si="120"/>
        <v>0</v>
      </c>
      <c r="AQ220" s="123" t="s">
        <v>85</v>
      </c>
      <c r="AV220" s="124">
        <f t="shared" si="121"/>
        <v>0</v>
      </c>
      <c r="AW220" s="124">
        <f t="shared" si="122"/>
        <v>0</v>
      </c>
      <c r="AX220" s="124">
        <f t="shared" si="123"/>
        <v>0</v>
      </c>
      <c r="AY220" s="125" t="s">
        <v>644</v>
      </c>
      <c r="AZ220" s="125" t="s">
        <v>1537</v>
      </c>
      <c r="BA220" s="113" t="s">
        <v>1542</v>
      </c>
      <c r="BC220" s="124">
        <f t="shared" si="124"/>
        <v>0</v>
      </c>
      <c r="BD220" s="124">
        <f t="shared" si="125"/>
        <v>0</v>
      </c>
      <c r="BE220" s="124">
        <v>0</v>
      </c>
      <c r="BF220" s="124">
        <f t="shared" si="126"/>
        <v>0</v>
      </c>
      <c r="BH220" s="122">
        <f t="shared" si="127"/>
        <v>0</v>
      </c>
      <c r="BI220" s="122">
        <f t="shared" si="128"/>
        <v>0</v>
      </c>
      <c r="BJ220" s="122">
        <f t="shared" si="129"/>
        <v>0</v>
      </c>
    </row>
    <row r="221" spans="1:62" s="174" customFormat="1" ht="12.75">
      <c r="A221" s="121" t="s">
        <v>673</v>
      </c>
      <c r="B221" s="121" t="s">
        <v>60</v>
      </c>
      <c r="C221" s="121" t="s">
        <v>188</v>
      </c>
      <c r="D221" s="129" t="s">
        <v>1349</v>
      </c>
      <c r="E221" s="121" t="s">
        <v>606</v>
      </c>
      <c r="F221" s="122">
        <f>'Stavební rozpočet'!F387</f>
        <v>5</v>
      </c>
      <c r="G221" s="172"/>
      <c r="H221" s="122">
        <f t="shared" si="104"/>
        <v>0</v>
      </c>
      <c r="I221" s="122">
        <f t="shared" si="105"/>
        <v>0</v>
      </c>
      <c r="J221" s="122">
        <f t="shared" si="106"/>
        <v>0</v>
      </c>
      <c r="K221" s="122">
        <f>'Stavební rozpočet'!K387</f>
        <v>0</v>
      </c>
      <c r="L221" s="122">
        <f t="shared" si="107"/>
        <v>0</v>
      </c>
      <c r="M221" s="123" t="s">
        <v>622</v>
      </c>
      <c r="Z221" s="124">
        <f t="shared" si="108"/>
        <v>0</v>
      </c>
      <c r="AB221" s="124">
        <f t="shared" si="109"/>
        <v>0</v>
      </c>
      <c r="AC221" s="124">
        <f t="shared" si="110"/>
        <v>0</v>
      </c>
      <c r="AD221" s="124">
        <f t="shared" si="111"/>
        <v>0</v>
      </c>
      <c r="AE221" s="124">
        <f t="shared" si="112"/>
        <v>0</v>
      </c>
      <c r="AF221" s="124">
        <f t="shared" si="113"/>
        <v>0</v>
      </c>
      <c r="AG221" s="124">
        <f t="shared" si="114"/>
        <v>0</v>
      </c>
      <c r="AH221" s="124">
        <f t="shared" si="115"/>
        <v>0</v>
      </c>
      <c r="AI221" s="113" t="s">
        <v>60</v>
      </c>
      <c r="AJ221" s="122">
        <f t="shared" si="116"/>
        <v>0</v>
      </c>
      <c r="AK221" s="122">
        <f t="shared" si="117"/>
        <v>0</v>
      </c>
      <c r="AL221" s="122">
        <f t="shared" si="118"/>
        <v>0</v>
      </c>
      <c r="AN221" s="124">
        <v>15</v>
      </c>
      <c r="AO221" s="124">
        <f t="shared" si="119"/>
        <v>0</v>
      </c>
      <c r="AP221" s="124">
        <f t="shared" si="120"/>
        <v>0</v>
      </c>
      <c r="AQ221" s="123" t="s">
        <v>85</v>
      </c>
      <c r="AV221" s="124">
        <f t="shared" si="121"/>
        <v>0</v>
      </c>
      <c r="AW221" s="124">
        <f t="shared" si="122"/>
        <v>0</v>
      </c>
      <c r="AX221" s="124">
        <f t="shared" si="123"/>
        <v>0</v>
      </c>
      <c r="AY221" s="125" t="s">
        <v>644</v>
      </c>
      <c r="AZ221" s="125" t="s">
        <v>1537</v>
      </c>
      <c r="BA221" s="113" t="s">
        <v>1542</v>
      </c>
      <c r="BC221" s="124">
        <f t="shared" si="124"/>
        <v>0</v>
      </c>
      <c r="BD221" s="124">
        <f t="shared" si="125"/>
        <v>0</v>
      </c>
      <c r="BE221" s="124">
        <v>0</v>
      </c>
      <c r="BF221" s="124">
        <f t="shared" si="126"/>
        <v>0</v>
      </c>
      <c r="BH221" s="122">
        <f t="shared" si="127"/>
        <v>0</v>
      </c>
      <c r="BI221" s="122">
        <f t="shared" si="128"/>
        <v>0</v>
      </c>
      <c r="BJ221" s="122">
        <f t="shared" si="129"/>
        <v>0</v>
      </c>
    </row>
    <row r="222" spans="1:62" s="174" customFormat="1" ht="12.75">
      <c r="A222" s="121" t="s">
        <v>674</v>
      </c>
      <c r="B222" s="121" t="s">
        <v>60</v>
      </c>
      <c r="C222" s="121" t="s">
        <v>189</v>
      </c>
      <c r="D222" s="129" t="s">
        <v>1350</v>
      </c>
      <c r="E222" s="121" t="s">
        <v>606</v>
      </c>
      <c r="F222" s="122">
        <f>'Stavební rozpočet'!F388</f>
        <v>4</v>
      </c>
      <c r="G222" s="172"/>
      <c r="H222" s="122">
        <f t="shared" si="104"/>
        <v>0</v>
      </c>
      <c r="I222" s="122">
        <f t="shared" si="105"/>
        <v>0</v>
      </c>
      <c r="J222" s="122">
        <f t="shared" si="106"/>
        <v>0</v>
      </c>
      <c r="K222" s="122">
        <f>'Stavební rozpočet'!K388</f>
        <v>0</v>
      </c>
      <c r="L222" s="122">
        <f t="shared" si="107"/>
        <v>0</v>
      </c>
      <c r="M222" s="123" t="s">
        <v>622</v>
      </c>
      <c r="Z222" s="124">
        <f t="shared" si="108"/>
        <v>0</v>
      </c>
      <c r="AB222" s="124">
        <f t="shared" si="109"/>
        <v>0</v>
      </c>
      <c r="AC222" s="124">
        <f t="shared" si="110"/>
        <v>0</v>
      </c>
      <c r="AD222" s="124">
        <f t="shared" si="111"/>
        <v>0</v>
      </c>
      <c r="AE222" s="124">
        <f t="shared" si="112"/>
        <v>0</v>
      </c>
      <c r="AF222" s="124">
        <f t="shared" si="113"/>
        <v>0</v>
      </c>
      <c r="AG222" s="124">
        <f t="shared" si="114"/>
        <v>0</v>
      </c>
      <c r="AH222" s="124">
        <f t="shared" si="115"/>
        <v>0</v>
      </c>
      <c r="AI222" s="113" t="s">
        <v>60</v>
      </c>
      <c r="AJ222" s="122">
        <f t="shared" si="116"/>
        <v>0</v>
      </c>
      <c r="AK222" s="122">
        <f t="shared" si="117"/>
        <v>0</v>
      </c>
      <c r="AL222" s="122">
        <f t="shared" si="118"/>
        <v>0</v>
      </c>
      <c r="AN222" s="124">
        <v>15</v>
      </c>
      <c r="AO222" s="124">
        <f t="shared" si="119"/>
        <v>0</v>
      </c>
      <c r="AP222" s="124">
        <f t="shared" si="120"/>
        <v>0</v>
      </c>
      <c r="AQ222" s="123" t="s">
        <v>85</v>
      </c>
      <c r="AV222" s="124">
        <f t="shared" si="121"/>
        <v>0</v>
      </c>
      <c r="AW222" s="124">
        <f t="shared" si="122"/>
        <v>0</v>
      </c>
      <c r="AX222" s="124">
        <f t="shared" si="123"/>
        <v>0</v>
      </c>
      <c r="AY222" s="125" t="s">
        <v>644</v>
      </c>
      <c r="AZ222" s="125" t="s">
        <v>1537</v>
      </c>
      <c r="BA222" s="113" t="s">
        <v>1542</v>
      </c>
      <c r="BC222" s="124">
        <f t="shared" si="124"/>
        <v>0</v>
      </c>
      <c r="BD222" s="124">
        <f t="shared" si="125"/>
        <v>0</v>
      </c>
      <c r="BE222" s="124">
        <v>0</v>
      </c>
      <c r="BF222" s="124">
        <f t="shared" si="126"/>
        <v>0</v>
      </c>
      <c r="BH222" s="122">
        <f t="shared" si="127"/>
        <v>0</v>
      </c>
      <c r="BI222" s="122">
        <f t="shared" si="128"/>
        <v>0</v>
      </c>
      <c r="BJ222" s="122">
        <f t="shared" si="129"/>
        <v>0</v>
      </c>
    </row>
    <row r="223" spans="1:62" s="174" customFormat="1" ht="12.75" hidden="1">
      <c r="A223" s="121" t="s">
        <v>675</v>
      </c>
      <c r="B223" s="121" t="s">
        <v>60</v>
      </c>
      <c r="C223" s="121" t="s">
        <v>190</v>
      </c>
      <c r="D223" s="129" t="s">
        <v>1351</v>
      </c>
      <c r="E223" s="121" t="s">
        <v>606</v>
      </c>
      <c r="F223" s="122">
        <f>'Stavební rozpočet'!F389</f>
        <v>0</v>
      </c>
      <c r="G223" s="172"/>
      <c r="H223" s="122">
        <f t="shared" si="104"/>
        <v>0</v>
      </c>
      <c r="I223" s="122">
        <f t="shared" si="105"/>
        <v>0</v>
      </c>
      <c r="J223" s="122">
        <f t="shared" si="106"/>
        <v>0</v>
      </c>
      <c r="K223" s="122">
        <f>'Stavební rozpočet'!K389</f>
        <v>0</v>
      </c>
      <c r="L223" s="122">
        <f t="shared" si="107"/>
        <v>0</v>
      </c>
      <c r="M223" s="123" t="s">
        <v>622</v>
      </c>
      <c r="Z223" s="124">
        <f t="shared" si="108"/>
        <v>0</v>
      </c>
      <c r="AB223" s="124">
        <f t="shared" si="109"/>
        <v>0</v>
      </c>
      <c r="AC223" s="124">
        <f t="shared" si="110"/>
        <v>0</v>
      </c>
      <c r="AD223" s="124">
        <f t="shared" si="111"/>
        <v>0</v>
      </c>
      <c r="AE223" s="124">
        <f t="shared" si="112"/>
        <v>0</v>
      </c>
      <c r="AF223" s="124">
        <f t="shared" si="113"/>
        <v>0</v>
      </c>
      <c r="AG223" s="124">
        <f t="shared" si="114"/>
        <v>0</v>
      </c>
      <c r="AH223" s="124">
        <f t="shared" si="115"/>
        <v>0</v>
      </c>
      <c r="AI223" s="113" t="s">
        <v>60</v>
      </c>
      <c r="AJ223" s="122">
        <f t="shared" si="116"/>
        <v>0</v>
      </c>
      <c r="AK223" s="122">
        <f t="shared" si="117"/>
        <v>0</v>
      </c>
      <c r="AL223" s="122">
        <f t="shared" si="118"/>
        <v>0</v>
      </c>
      <c r="AN223" s="124">
        <v>15</v>
      </c>
      <c r="AO223" s="124">
        <f t="shared" si="119"/>
        <v>0</v>
      </c>
      <c r="AP223" s="124">
        <f t="shared" si="120"/>
        <v>0</v>
      </c>
      <c r="AQ223" s="123" t="s">
        <v>85</v>
      </c>
      <c r="AV223" s="124">
        <f t="shared" si="121"/>
        <v>0</v>
      </c>
      <c r="AW223" s="124">
        <f t="shared" si="122"/>
        <v>0</v>
      </c>
      <c r="AX223" s="124">
        <f t="shared" si="123"/>
        <v>0</v>
      </c>
      <c r="AY223" s="125" t="s">
        <v>644</v>
      </c>
      <c r="AZ223" s="125" t="s">
        <v>1537</v>
      </c>
      <c r="BA223" s="113" t="s">
        <v>1542</v>
      </c>
      <c r="BC223" s="124">
        <f t="shared" si="124"/>
        <v>0</v>
      </c>
      <c r="BD223" s="124">
        <f t="shared" si="125"/>
        <v>0</v>
      </c>
      <c r="BE223" s="124">
        <v>0</v>
      </c>
      <c r="BF223" s="124">
        <f t="shared" si="126"/>
        <v>0</v>
      </c>
      <c r="BH223" s="122">
        <f t="shared" si="127"/>
        <v>0</v>
      </c>
      <c r="BI223" s="122">
        <f t="shared" si="128"/>
        <v>0</v>
      </c>
      <c r="BJ223" s="122">
        <f t="shared" si="129"/>
        <v>0</v>
      </c>
    </row>
    <row r="224" spans="1:62" s="174" customFormat="1" ht="12.75" hidden="1">
      <c r="A224" s="121" t="s">
        <v>676</v>
      </c>
      <c r="B224" s="121" t="s">
        <v>60</v>
      </c>
      <c r="C224" s="121" t="s">
        <v>191</v>
      </c>
      <c r="D224" s="129" t="s">
        <v>1352</v>
      </c>
      <c r="E224" s="121" t="s">
        <v>606</v>
      </c>
      <c r="F224" s="122">
        <f>'Stavební rozpočet'!F390</f>
        <v>0</v>
      </c>
      <c r="G224" s="172"/>
      <c r="H224" s="122">
        <f t="shared" si="104"/>
        <v>0</v>
      </c>
      <c r="I224" s="122">
        <f t="shared" si="105"/>
        <v>0</v>
      </c>
      <c r="J224" s="122">
        <f t="shared" si="106"/>
        <v>0</v>
      </c>
      <c r="K224" s="122">
        <f>'Stavební rozpočet'!K390</f>
        <v>0</v>
      </c>
      <c r="L224" s="122">
        <f t="shared" si="107"/>
        <v>0</v>
      </c>
      <c r="M224" s="123" t="s">
        <v>622</v>
      </c>
      <c r="Z224" s="124">
        <f t="shared" si="108"/>
        <v>0</v>
      </c>
      <c r="AB224" s="124">
        <f t="shared" si="109"/>
        <v>0</v>
      </c>
      <c r="AC224" s="124">
        <f t="shared" si="110"/>
        <v>0</v>
      </c>
      <c r="AD224" s="124">
        <f t="shared" si="111"/>
        <v>0</v>
      </c>
      <c r="AE224" s="124">
        <f t="shared" si="112"/>
        <v>0</v>
      </c>
      <c r="AF224" s="124">
        <f t="shared" si="113"/>
        <v>0</v>
      </c>
      <c r="AG224" s="124">
        <f t="shared" si="114"/>
        <v>0</v>
      </c>
      <c r="AH224" s="124">
        <f t="shared" si="115"/>
        <v>0</v>
      </c>
      <c r="AI224" s="113" t="s">
        <v>60</v>
      </c>
      <c r="AJ224" s="122">
        <f t="shared" si="116"/>
        <v>0</v>
      </c>
      <c r="AK224" s="122">
        <f t="shared" si="117"/>
        <v>0</v>
      </c>
      <c r="AL224" s="122">
        <f t="shared" si="118"/>
        <v>0</v>
      </c>
      <c r="AN224" s="124">
        <v>15</v>
      </c>
      <c r="AO224" s="124">
        <f t="shared" si="119"/>
        <v>0</v>
      </c>
      <c r="AP224" s="124">
        <f t="shared" si="120"/>
        <v>0</v>
      </c>
      <c r="AQ224" s="123" t="s">
        <v>85</v>
      </c>
      <c r="AV224" s="124">
        <f t="shared" si="121"/>
        <v>0</v>
      </c>
      <c r="AW224" s="124">
        <f t="shared" si="122"/>
        <v>0</v>
      </c>
      <c r="AX224" s="124">
        <f t="shared" si="123"/>
        <v>0</v>
      </c>
      <c r="AY224" s="125" t="s">
        <v>644</v>
      </c>
      <c r="AZ224" s="125" t="s">
        <v>1537</v>
      </c>
      <c r="BA224" s="113" t="s">
        <v>1542</v>
      </c>
      <c r="BC224" s="124">
        <f t="shared" si="124"/>
        <v>0</v>
      </c>
      <c r="BD224" s="124">
        <f t="shared" si="125"/>
        <v>0</v>
      </c>
      <c r="BE224" s="124">
        <v>0</v>
      </c>
      <c r="BF224" s="124">
        <f t="shared" si="126"/>
        <v>0</v>
      </c>
      <c r="BH224" s="122">
        <f t="shared" si="127"/>
        <v>0</v>
      </c>
      <c r="BI224" s="122">
        <f t="shared" si="128"/>
        <v>0</v>
      </c>
      <c r="BJ224" s="122">
        <f t="shared" si="129"/>
        <v>0</v>
      </c>
    </row>
    <row r="225" spans="1:62" s="174" customFormat="1" ht="12.75">
      <c r="A225" s="121" t="s">
        <v>677</v>
      </c>
      <c r="B225" s="121" t="s">
        <v>60</v>
      </c>
      <c r="C225" s="121" t="s">
        <v>192</v>
      </c>
      <c r="D225" s="129" t="s">
        <v>1353</v>
      </c>
      <c r="E225" s="121" t="s">
        <v>606</v>
      </c>
      <c r="F225" s="122">
        <f>'Stavební rozpočet'!F391</f>
        <v>1</v>
      </c>
      <c r="G225" s="172"/>
      <c r="H225" s="122">
        <f t="shared" si="104"/>
        <v>0</v>
      </c>
      <c r="I225" s="122">
        <f t="shared" si="105"/>
        <v>0</v>
      </c>
      <c r="J225" s="122">
        <f t="shared" si="106"/>
        <v>0</v>
      </c>
      <c r="K225" s="122">
        <f>'Stavební rozpočet'!K391</f>
        <v>0</v>
      </c>
      <c r="L225" s="122">
        <f t="shared" si="107"/>
        <v>0</v>
      </c>
      <c r="M225" s="123" t="s">
        <v>622</v>
      </c>
      <c r="Z225" s="124">
        <f t="shared" si="108"/>
        <v>0</v>
      </c>
      <c r="AB225" s="124">
        <f t="shared" si="109"/>
        <v>0</v>
      </c>
      <c r="AC225" s="124">
        <f t="shared" si="110"/>
        <v>0</v>
      </c>
      <c r="AD225" s="124">
        <f t="shared" si="111"/>
        <v>0</v>
      </c>
      <c r="AE225" s="124">
        <f t="shared" si="112"/>
        <v>0</v>
      </c>
      <c r="AF225" s="124">
        <f t="shared" si="113"/>
        <v>0</v>
      </c>
      <c r="AG225" s="124">
        <f t="shared" si="114"/>
        <v>0</v>
      </c>
      <c r="AH225" s="124">
        <f t="shared" si="115"/>
        <v>0</v>
      </c>
      <c r="AI225" s="113" t="s">
        <v>60</v>
      </c>
      <c r="AJ225" s="122">
        <f t="shared" si="116"/>
        <v>0</v>
      </c>
      <c r="AK225" s="122">
        <f t="shared" si="117"/>
        <v>0</v>
      </c>
      <c r="AL225" s="122">
        <f t="shared" si="118"/>
        <v>0</v>
      </c>
      <c r="AN225" s="124">
        <v>15</v>
      </c>
      <c r="AO225" s="124">
        <f t="shared" si="119"/>
        <v>0</v>
      </c>
      <c r="AP225" s="124">
        <f t="shared" si="120"/>
        <v>0</v>
      </c>
      <c r="AQ225" s="123" t="s">
        <v>85</v>
      </c>
      <c r="AV225" s="124">
        <f t="shared" si="121"/>
        <v>0</v>
      </c>
      <c r="AW225" s="124">
        <f t="shared" si="122"/>
        <v>0</v>
      </c>
      <c r="AX225" s="124">
        <f t="shared" si="123"/>
        <v>0</v>
      </c>
      <c r="AY225" s="125" t="s">
        <v>644</v>
      </c>
      <c r="AZ225" s="125" t="s">
        <v>1537</v>
      </c>
      <c r="BA225" s="113" t="s">
        <v>1542</v>
      </c>
      <c r="BC225" s="124">
        <f t="shared" si="124"/>
        <v>0</v>
      </c>
      <c r="BD225" s="124">
        <f t="shared" si="125"/>
        <v>0</v>
      </c>
      <c r="BE225" s="124">
        <v>0</v>
      </c>
      <c r="BF225" s="124">
        <f t="shared" si="126"/>
        <v>0</v>
      </c>
      <c r="BH225" s="122">
        <f t="shared" si="127"/>
        <v>0</v>
      </c>
      <c r="BI225" s="122">
        <f t="shared" si="128"/>
        <v>0</v>
      </c>
      <c r="BJ225" s="122">
        <f t="shared" si="129"/>
        <v>0</v>
      </c>
    </row>
    <row r="226" spans="1:62" s="174" customFormat="1" ht="12.75" hidden="1">
      <c r="A226" s="121" t="s">
        <v>678</v>
      </c>
      <c r="B226" s="121" t="s">
        <v>60</v>
      </c>
      <c r="C226" s="121" t="s">
        <v>193</v>
      </c>
      <c r="D226" s="129" t="s">
        <v>1354</v>
      </c>
      <c r="E226" s="121" t="s">
        <v>606</v>
      </c>
      <c r="F226" s="122">
        <f>'Stavební rozpočet'!F392</f>
        <v>0</v>
      </c>
      <c r="G226" s="172"/>
      <c r="H226" s="122">
        <f t="shared" si="104"/>
        <v>0</v>
      </c>
      <c r="I226" s="122">
        <f t="shared" si="105"/>
        <v>0</v>
      </c>
      <c r="J226" s="122">
        <f t="shared" si="106"/>
        <v>0</v>
      </c>
      <c r="K226" s="122">
        <f>'Stavební rozpočet'!K392</f>
        <v>0</v>
      </c>
      <c r="L226" s="122">
        <f t="shared" si="107"/>
        <v>0</v>
      </c>
      <c r="M226" s="123" t="s">
        <v>622</v>
      </c>
      <c r="Z226" s="124">
        <f t="shared" si="108"/>
        <v>0</v>
      </c>
      <c r="AB226" s="124">
        <f t="shared" si="109"/>
        <v>0</v>
      </c>
      <c r="AC226" s="124">
        <f t="shared" si="110"/>
        <v>0</v>
      </c>
      <c r="AD226" s="124">
        <f t="shared" si="111"/>
        <v>0</v>
      </c>
      <c r="AE226" s="124">
        <f t="shared" si="112"/>
        <v>0</v>
      </c>
      <c r="AF226" s="124">
        <f t="shared" si="113"/>
        <v>0</v>
      </c>
      <c r="AG226" s="124">
        <f t="shared" si="114"/>
        <v>0</v>
      </c>
      <c r="AH226" s="124">
        <f t="shared" si="115"/>
        <v>0</v>
      </c>
      <c r="AI226" s="113" t="s">
        <v>60</v>
      </c>
      <c r="AJ226" s="122">
        <f t="shared" si="116"/>
        <v>0</v>
      </c>
      <c r="AK226" s="122">
        <f t="shared" si="117"/>
        <v>0</v>
      </c>
      <c r="AL226" s="122">
        <f t="shared" si="118"/>
        <v>0</v>
      </c>
      <c r="AN226" s="124">
        <v>15</v>
      </c>
      <c r="AO226" s="124">
        <f t="shared" si="119"/>
        <v>0</v>
      </c>
      <c r="AP226" s="124">
        <f t="shared" si="120"/>
        <v>0</v>
      </c>
      <c r="AQ226" s="123" t="s">
        <v>85</v>
      </c>
      <c r="AV226" s="124">
        <f t="shared" si="121"/>
        <v>0</v>
      </c>
      <c r="AW226" s="124">
        <f t="shared" si="122"/>
        <v>0</v>
      </c>
      <c r="AX226" s="124">
        <f t="shared" si="123"/>
        <v>0</v>
      </c>
      <c r="AY226" s="125" t="s">
        <v>644</v>
      </c>
      <c r="AZ226" s="125" t="s">
        <v>1537</v>
      </c>
      <c r="BA226" s="113" t="s">
        <v>1542</v>
      </c>
      <c r="BC226" s="124">
        <f t="shared" si="124"/>
        <v>0</v>
      </c>
      <c r="BD226" s="124">
        <f t="shared" si="125"/>
        <v>0</v>
      </c>
      <c r="BE226" s="124">
        <v>0</v>
      </c>
      <c r="BF226" s="124">
        <f t="shared" si="126"/>
        <v>0</v>
      </c>
      <c r="BH226" s="122">
        <f t="shared" si="127"/>
        <v>0</v>
      </c>
      <c r="BI226" s="122">
        <f t="shared" si="128"/>
        <v>0</v>
      </c>
      <c r="BJ226" s="122">
        <f t="shared" si="129"/>
        <v>0</v>
      </c>
    </row>
    <row r="227" spans="1:62" s="174" customFormat="1" ht="12.75">
      <c r="A227" s="121" t="s">
        <v>679</v>
      </c>
      <c r="B227" s="121" t="s">
        <v>60</v>
      </c>
      <c r="C227" s="121" t="s">
        <v>194</v>
      </c>
      <c r="D227" s="129" t="s">
        <v>1355</v>
      </c>
      <c r="E227" s="121" t="s">
        <v>606</v>
      </c>
      <c r="F227" s="122">
        <f>'Stavební rozpočet'!F393</f>
        <v>2</v>
      </c>
      <c r="G227" s="172"/>
      <c r="H227" s="122">
        <f t="shared" si="104"/>
        <v>0</v>
      </c>
      <c r="I227" s="122">
        <f t="shared" si="105"/>
        <v>0</v>
      </c>
      <c r="J227" s="122">
        <f t="shared" si="106"/>
        <v>0</v>
      </c>
      <c r="K227" s="122">
        <f>'Stavební rozpočet'!K393</f>
        <v>0</v>
      </c>
      <c r="L227" s="122">
        <f t="shared" si="107"/>
        <v>0</v>
      </c>
      <c r="M227" s="123" t="s">
        <v>622</v>
      </c>
      <c r="Z227" s="124">
        <f t="shared" si="108"/>
        <v>0</v>
      </c>
      <c r="AB227" s="124">
        <f t="shared" si="109"/>
        <v>0</v>
      </c>
      <c r="AC227" s="124">
        <f t="shared" si="110"/>
        <v>0</v>
      </c>
      <c r="AD227" s="124">
        <f t="shared" si="111"/>
        <v>0</v>
      </c>
      <c r="AE227" s="124">
        <f t="shared" si="112"/>
        <v>0</v>
      </c>
      <c r="AF227" s="124">
        <f t="shared" si="113"/>
        <v>0</v>
      </c>
      <c r="AG227" s="124">
        <f t="shared" si="114"/>
        <v>0</v>
      </c>
      <c r="AH227" s="124">
        <f t="shared" si="115"/>
        <v>0</v>
      </c>
      <c r="AI227" s="113" t="s">
        <v>60</v>
      </c>
      <c r="AJ227" s="122">
        <f t="shared" si="116"/>
        <v>0</v>
      </c>
      <c r="AK227" s="122">
        <f t="shared" si="117"/>
        <v>0</v>
      </c>
      <c r="AL227" s="122">
        <f t="shared" si="118"/>
        <v>0</v>
      </c>
      <c r="AN227" s="124">
        <v>15</v>
      </c>
      <c r="AO227" s="124">
        <f t="shared" si="119"/>
        <v>0</v>
      </c>
      <c r="AP227" s="124">
        <f t="shared" si="120"/>
        <v>0</v>
      </c>
      <c r="AQ227" s="123" t="s">
        <v>85</v>
      </c>
      <c r="AV227" s="124">
        <f t="shared" si="121"/>
        <v>0</v>
      </c>
      <c r="AW227" s="124">
        <f t="shared" si="122"/>
        <v>0</v>
      </c>
      <c r="AX227" s="124">
        <f t="shared" si="123"/>
        <v>0</v>
      </c>
      <c r="AY227" s="125" t="s">
        <v>644</v>
      </c>
      <c r="AZ227" s="125" t="s">
        <v>1537</v>
      </c>
      <c r="BA227" s="113" t="s">
        <v>1542</v>
      </c>
      <c r="BC227" s="124">
        <f t="shared" si="124"/>
        <v>0</v>
      </c>
      <c r="BD227" s="124">
        <f t="shared" si="125"/>
        <v>0</v>
      </c>
      <c r="BE227" s="124">
        <v>0</v>
      </c>
      <c r="BF227" s="124">
        <f t="shared" si="126"/>
        <v>0</v>
      </c>
      <c r="BH227" s="122">
        <f t="shared" si="127"/>
        <v>0</v>
      </c>
      <c r="BI227" s="122">
        <f t="shared" si="128"/>
        <v>0</v>
      </c>
      <c r="BJ227" s="122">
        <f t="shared" si="129"/>
        <v>0</v>
      </c>
    </row>
    <row r="228" spans="1:62" s="174" customFormat="1" ht="12.75">
      <c r="A228" s="121" t="s">
        <v>680</v>
      </c>
      <c r="B228" s="121" t="s">
        <v>60</v>
      </c>
      <c r="C228" s="121" t="s">
        <v>195</v>
      </c>
      <c r="D228" s="129" t="s">
        <v>1356</v>
      </c>
      <c r="E228" s="121" t="s">
        <v>606</v>
      </c>
      <c r="F228" s="122">
        <f>'Stavební rozpočet'!F394</f>
        <v>1</v>
      </c>
      <c r="G228" s="172"/>
      <c r="H228" s="122">
        <f t="shared" si="104"/>
        <v>0</v>
      </c>
      <c r="I228" s="122">
        <f t="shared" si="105"/>
        <v>0</v>
      </c>
      <c r="J228" s="122">
        <f t="shared" si="106"/>
        <v>0</v>
      </c>
      <c r="K228" s="122">
        <f>'Stavební rozpočet'!K394</f>
        <v>0</v>
      </c>
      <c r="L228" s="122">
        <f t="shared" si="107"/>
        <v>0</v>
      </c>
      <c r="M228" s="123" t="s">
        <v>622</v>
      </c>
      <c r="Z228" s="124">
        <f t="shared" si="108"/>
        <v>0</v>
      </c>
      <c r="AB228" s="124">
        <f t="shared" si="109"/>
        <v>0</v>
      </c>
      <c r="AC228" s="124">
        <f t="shared" si="110"/>
        <v>0</v>
      </c>
      <c r="AD228" s="124">
        <f t="shared" si="111"/>
        <v>0</v>
      </c>
      <c r="AE228" s="124">
        <f t="shared" si="112"/>
        <v>0</v>
      </c>
      <c r="AF228" s="124">
        <f t="shared" si="113"/>
        <v>0</v>
      </c>
      <c r="AG228" s="124">
        <f t="shared" si="114"/>
        <v>0</v>
      </c>
      <c r="AH228" s="124">
        <f t="shared" si="115"/>
        <v>0</v>
      </c>
      <c r="AI228" s="113" t="s">
        <v>60</v>
      </c>
      <c r="AJ228" s="122">
        <f t="shared" si="116"/>
        <v>0</v>
      </c>
      <c r="AK228" s="122">
        <f t="shared" si="117"/>
        <v>0</v>
      </c>
      <c r="AL228" s="122">
        <f t="shared" si="118"/>
        <v>0</v>
      </c>
      <c r="AN228" s="124">
        <v>15</v>
      </c>
      <c r="AO228" s="124">
        <f t="shared" si="119"/>
        <v>0</v>
      </c>
      <c r="AP228" s="124">
        <f t="shared" si="120"/>
        <v>0</v>
      </c>
      <c r="AQ228" s="123" t="s">
        <v>85</v>
      </c>
      <c r="AV228" s="124">
        <f t="shared" si="121"/>
        <v>0</v>
      </c>
      <c r="AW228" s="124">
        <f t="shared" si="122"/>
        <v>0</v>
      </c>
      <c r="AX228" s="124">
        <f t="shared" si="123"/>
        <v>0</v>
      </c>
      <c r="AY228" s="125" t="s">
        <v>644</v>
      </c>
      <c r="AZ228" s="125" t="s">
        <v>1537</v>
      </c>
      <c r="BA228" s="113" t="s">
        <v>1542</v>
      </c>
      <c r="BC228" s="124">
        <f t="shared" si="124"/>
        <v>0</v>
      </c>
      <c r="BD228" s="124">
        <f t="shared" si="125"/>
        <v>0</v>
      </c>
      <c r="BE228" s="124">
        <v>0</v>
      </c>
      <c r="BF228" s="124">
        <f t="shared" si="126"/>
        <v>0</v>
      </c>
      <c r="BH228" s="122">
        <f t="shared" si="127"/>
        <v>0</v>
      </c>
      <c r="BI228" s="122">
        <f t="shared" si="128"/>
        <v>0</v>
      </c>
      <c r="BJ228" s="122">
        <f t="shared" si="129"/>
        <v>0</v>
      </c>
    </row>
    <row r="229" spans="1:62" s="174" customFormat="1" ht="12.75" hidden="1">
      <c r="A229" s="121" t="s">
        <v>681</v>
      </c>
      <c r="B229" s="121" t="s">
        <v>60</v>
      </c>
      <c r="C229" s="121" t="s">
        <v>196</v>
      </c>
      <c r="D229" s="129" t="s">
        <v>1357</v>
      </c>
      <c r="E229" s="121" t="s">
        <v>606</v>
      </c>
      <c r="F229" s="122">
        <f>'Stavební rozpočet'!F395</f>
        <v>0</v>
      </c>
      <c r="G229" s="172"/>
      <c r="H229" s="122">
        <f t="shared" si="104"/>
        <v>0</v>
      </c>
      <c r="I229" s="122">
        <f t="shared" si="105"/>
        <v>0</v>
      </c>
      <c r="J229" s="122">
        <f t="shared" si="106"/>
        <v>0</v>
      </c>
      <c r="K229" s="122">
        <f>'Stavební rozpočet'!K395</f>
        <v>0</v>
      </c>
      <c r="L229" s="122">
        <f t="shared" si="107"/>
        <v>0</v>
      </c>
      <c r="M229" s="123" t="s">
        <v>622</v>
      </c>
      <c r="Z229" s="124">
        <f t="shared" si="108"/>
        <v>0</v>
      </c>
      <c r="AB229" s="124">
        <f t="shared" si="109"/>
        <v>0</v>
      </c>
      <c r="AC229" s="124">
        <f t="shared" si="110"/>
        <v>0</v>
      </c>
      <c r="AD229" s="124">
        <f t="shared" si="111"/>
        <v>0</v>
      </c>
      <c r="AE229" s="124">
        <f t="shared" si="112"/>
        <v>0</v>
      </c>
      <c r="AF229" s="124">
        <f t="shared" si="113"/>
        <v>0</v>
      </c>
      <c r="AG229" s="124">
        <f t="shared" si="114"/>
        <v>0</v>
      </c>
      <c r="AH229" s="124">
        <f t="shared" si="115"/>
        <v>0</v>
      </c>
      <c r="AI229" s="113" t="s">
        <v>60</v>
      </c>
      <c r="AJ229" s="122">
        <f t="shared" si="116"/>
        <v>0</v>
      </c>
      <c r="AK229" s="122">
        <f t="shared" si="117"/>
        <v>0</v>
      </c>
      <c r="AL229" s="122">
        <f t="shared" si="118"/>
        <v>0</v>
      </c>
      <c r="AN229" s="124">
        <v>15</v>
      </c>
      <c r="AO229" s="124">
        <f t="shared" si="119"/>
        <v>0</v>
      </c>
      <c r="AP229" s="124">
        <f t="shared" si="120"/>
        <v>0</v>
      </c>
      <c r="AQ229" s="123" t="s">
        <v>85</v>
      </c>
      <c r="AV229" s="124">
        <f t="shared" si="121"/>
        <v>0</v>
      </c>
      <c r="AW229" s="124">
        <f t="shared" si="122"/>
        <v>0</v>
      </c>
      <c r="AX229" s="124">
        <f t="shared" si="123"/>
        <v>0</v>
      </c>
      <c r="AY229" s="125" t="s">
        <v>644</v>
      </c>
      <c r="AZ229" s="125" t="s">
        <v>1537</v>
      </c>
      <c r="BA229" s="113" t="s">
        <v>1542</v>
      </c>
      <c r="BC229" s="124">
        <f t="shared" si="124"/>
        <v>0</v>
      </c>
      <c r="BD229" s="124">
        <f t="shared" si="125"/>
        <v>0</v>
      </c>
      <c r="BE229" s="124">
        <v>0</v>
      </c>
      <c r="BF229" s="124">
        <f t="shared" si="126"/>
        <v>0</v>
      </c>
      <c r="BH229" s="122">
        <f t="shared" si="127"/>
        <v>0</v>
      </c>
      <c r="BI229" s="122">
        <f t="shared" si="128"/>
        <v>0</v>
      </c>
      <c r="BJ229" s="122">
        <f t="shared" si="129"/>
        <v>0</v>
      </c>
    </row>
    <row r="230" spans="1:62" s="174" customFormat="1" ht="12.75" hidden="1">
      <c r="A230" s="121" t="s">
        <v>682</v>
      </c>
      <c r="B230" s="121" t="s">
        <v>60</v>
      </c>
      <c r="C230" s="121" t="s">
        <v>197</v>
      </c>
      <c r="D230" s="129" t="s">
        <v>1358</v>
      </c>
      <c r="E230" s="121" t="s">
        <v>606</v>
      </c>
      <c r="F230" s="122">
        <f>'Stavební rozpočet'!F396</f>
        <v>0</v>
      </c>
      <c r="G230" s="172"/>
      <c r="H230" s="122">
        <f t="shared" si="104"/>
        <v>0</v>
      </c>
      <c r="I230" s="122">
        <f t="shared" si="105"/>
        <v>0</v>
      </c>
      <c r="J230" s="122">
        <f t="shared" si="106"/>
        <v>0</v>
      </c>
      <c r="K230" s="122">
        <f>'Stavební rozpočet'!K396</f>
        <v>0</v>
      </c>
      <c r="L230" s="122">
        <f t="shared" si="107"/>
        <v>0</v>
      </c>
      <c r="M230" s="123" t="s">
        <v>622</v>
      </c>
      <c r="Z230" s="124">
        <f t="shared" si="108"/>
        <v>0</v>
      </c>
      <c r="AB230" s="124">
        <f t="shared" si="109"/>
        <v>0</v>
      </c>
      <c r="AC230" s="124">
        <f t="shared" si="110"/>
        <v>0</v>
      </c>
      <c r="AD230" s="124">
        <f t="shared" si="111"/>
        <v>0</v>
      </c>
      <c r="AE230" s="124">
        <f t="shared" si="112"/>
        <v>0</v>
      </c>
      <c r="AF230" s="124">
        <f t="shared" si="113"/>
        <v>0</v>
      </c>
      <c r="AG230" s="124">
        <f t="shared" si="114"/>
        <v>0</v>
      </c>
      <c r="AH230" s="124">
        <f t="shared" si="115"/>
        <v>0</v>
      </c>
      <c r="AI230" s="113" t="s">
        <v>60</v>
      </c>
      <c r="AJ230" s="122">
        <f t="shared" si="116"/>
        <v>0</v>
      </c>
      <c r="AK230" s="122">
        <f t="shared" si="117"/>
        <v>0</v>
      </c>
      <c r="AL230" s="122">
        <f t="shared" si="118"/>
        <v>0</v>
      </c>
      <c r="AN230" s="124">
        <v>15</v>
      </c>
      <c r="AO230" s="124">
        <f t="shared" si="119"/>
        <v>0</v>
      </c>
      <c r="AP230" s="124">
        <f t="shared" si="120"/>
        <v>0</v>
      </c>
      <c r="AQ230" s="123" t="s">
        <v>85</v>
      </c>
      <c r="AV230" s="124">
        <f t="shared" si="121"/>
        <v>0</v>
      </c>
      <c r="AW230" s="124">
        <f t="shared" si="122"/>
        <v>0</v>
      </c>
      <c r="AX230" s="124">
        <f t="shared" si="123"/>
        <v>0</v>
      </c>
      <c r="AY230" s="125" t="s">
        <v>644</v>
      </c>
      <c r="AZ230" s="125" t="s">
        <v>1537</v>
      </c>
      <c r="BA230" s="113" t="s">
        <v>1542</v>
      </c>
      <c r="BC230" s="124">
        <f t="shared" si="124"/>
        <v>0</v>
      </c>
      <c r="BD230" s="124">
        <f t="shared" si="125"/>
        <v>0</v>
      </c>
      <c r="BE230" s="124">
        <v>0</v>
      </c>
      <c r="BF230" s="124">
        <f t="shared" si="126"/>
        <v>0</v>
      </c>
      <c r="BH230" s="122">
        <f t="shared" si="127"/>
        <v>0</v>
      </c>
      <c r="BI230" s="122">
        <f t="shared" si="128"/>
        <v>0</v>
      </c>
      <c r="BJ230" s="122">
        <f t="shared" si="129"/>
        <v>0</v>
      </c>
    </row>
    <row r="231" spans="1:62" s="174" customFormat="1" ht="12.75">
      <c r="A231" s="121" t="s">
        <v>683</v>
      </c>
      <c r="B231" s="121" t="s">
        <v>60</v>
      </c>
      <c r="C231" s="121" t="s">
        <v>198</v>
      </c>
      <c r="D231" s="129" t="s">
        <v>1359</v>
      </c>
      <c r="E231" s="121" t="s">
        <v>606</v>
      </c>
      <c r="F231" s="122">
        <f>'Stavební rozpočet'!F397</f>
        <v>1</v>
      </c>
      <c r="G231" s="172"/>
      <c r="H231" s="122">
        <f t="shared" si="104"/>
        <v>0</v>
      </c>
      <c r="I231" s="122">
        <f t="shared" si="105"/>
        <v>0</v>
      </c>
      <c r="J231" s="122">
        <f t="shared" si="106"/>
        <v>0</v>
      </c>
      <c r="K231" s="122">
        <f>'Stavební rozpočet'!K397</f>
        <v>0</v>
      </c>
      <c r="L231" s="122">
        <f t="shared" si="107"/>
        <v>0</v>
      </c>
      <c r="M231" s="123" t="s">
        <v>622</v>
      </c>
      <c r="Z231" s="124">
        <f t="shared" si="108"/>
        <v>0</v>
      </c>
      <c r="AB231" s="124">
        <f t="shared" si="109"/>
        <v>0</v>
      </c>
      <c r="AC231" s="124">
        <f t="shared" si="110"/>
        <v>0</v>
      </c>
      <c r="AD231" s="124">
        <f t="shared" si="111"/>
        <v>0</v>
      </c>
      <c r="AE231" s="124">
        <f t="shared" si="112"/>
        <v>0</v>
      </c>
      <c r="AF231" s="124">
        <f t="shared" si="113"/>
        <v>0</v>
      </c>
      <c r="AG231" s="124">
        <f t="shared" si="114"/>
        <v>0</v>
      </c>
      <c r="AH231" s="124">
        <f t="shared" si="115"/>
        <v>0</v>
      </c>
      <c r="AI231" s="113" t="s">
        <v>60</v>
      </c>
      <c r="AJ231" s="122">
        <f t="shared" si="116"/>
        <v>0</v>
      </c>
      <c r="AK231" s="122">
        <f t="shared" si="117"/>
        <v>0</v>
      </c>
      <c r="AL231" s="122">
        <f t="shared" si="118"/>
        <v>0</v>
      </c>
      <c r="AN231" s="124">
        <v>15</v>
      </c>
      <c r="AO231" s="124">
        <f t="shared" si="119"/>
        <v>0</v>
      </c>
      <c r="AP231" s="124">
        <f t="shared" si="120"/>
        <v>0</v>
      </c>
      <c r="AQ231" s="123" t="s">
        <v>85</v>
      </c>
      <c r="AV231" s="124">
        <f t="shared" si="121"/>
        <v>0</v>
      </c>
      <c r="AW231" s="124">
        <f t="shared" si="122"/>
        <v>0</v>
      </c>
      <c r="AX231" s="124">
        <f t="shared" si="123"/>
        <v>0</v>
      </c>
      <c r="AY231" s="125" t="s">
        <v>644</v>
      </c>
      <c r="AZ231" s="125" t="s">
        <v>1537</v>
      </c>
      <c r="BA231" s="113" t="s">
        <v>1542</v>
      </c>
      <c r="BC231" s="124">
        <f t="shared" si="124"/>
        <v>0</v>
      </c>
      <c r="BD231" s="124">
        <f t="shared" si="125"/>
        <v>0</v>
      </c>
      <c r="BE231" s="124">
        <v>0</v>
      </c>
      <c r="BF231" s="124">
        <f t="shared" si="126"/>
        <v>0</v>
      </c>
      <c r="BH231" s="122">
        <f t="shared" si="127"/>
        <v>0</v>
      </c>
      <c r="BI231" s="122">
        <f t="shared" si="128"/>
        <v>0</v>
      </c>
      <c r="BJ231" s="122">
        <f t="shared" si="129"/>
        <v>0</v>
      </c>
    </row>
    <row r="232" spans="1:62" s="174" customFormat="1" ht="12.75">
      <c r="A232" s="121" t="s">
        <v>684</v>
      </c>
      <c r="B232" s="121" t="s">
        <v>60</v>
      </c>
      <c r="C232" s="121" t="s">
        <v>199</v>
      </c>
      <c r="D232" s="129" t="s">
        <v>1360</v>
      </c>
      <c r="E232" s="121" t="s">
        <v>608</v>
      </c>
      <c r="F232" s="122">
        <f>'Stavební rozpočet'!F398</f>
        <v>7.4</v>
      </c>
      <c r="G232" s="172"/>
      <c r="H232" s="122">
        <f t="shared" si="104"/>
        <v>0</v>
      </c>
      <c r="I232" s="122">
        <f t="shared" si="105"/>
        <v>0</v>
      </c>
      <c r="J232" s="122">
        <f t="shared" si="106"/>
        <v>0</v>
      </c>
      <c r="K232" s="122">
        <f>'Stavební rozpočet'!K398</f>
        <v>0</v>
      </c>
      <c r="L232" s="122">
        <f t="shared" si="107"/>
        <v>0</v>
      </c>
      <c r="M232" s="123" t="s">
        <v>622</v>
      </c>
      <c r="Z232" s="124">
        <f t="shared" si="108"/>
        <v>0</v>
      </c>
      <c r="AB232" s="124">
        <f t="shared" si="109"/>
        <v>0</v>
      </c>
      <c r="AC232" s="124">
        <f t="shared" si="110"/>
        <v>0</v>
      </c>
      <c r="AD232" s="124">
        <f t="shared" si="111"/>
        <v>0</v>
      </c>
      <c r="AE232" s="124">
        <f t="shared" si="112"/>
        <v>0</v>
      </c>
      <c r="AF232" s="124">
        <f t="shared" si="113"/>
        <v>0</v>
      </c>
      <c r="AG232" s="124">
        <f t="shared" si="114"/>
        <v>0</v>
      </c>
      <c r="AH232" s="124">
        <f t="shared" si="115"/>
        <v>0</v>
      </c>
      <c r="AI232" s="113" t="s">
        <v>60</v>
      </c>
      <c r="AJ232" s="122">
        <f t="shared" si="116"/>
        <v>0</v>
      </c>
      <c r="AK232" s="122">
        <f t="shared" si="117"/>
        <v>0</v>
      </c>
      <c r="AL232" s="122">
        <f t="shared" si="118"/>
        <v>0</v>
      </c>
      <c r="AN232" s="124">
        <v>15</v>
      </c>
      <c r="AO232" s="124">
        <f t="shared" si="119"/>
        <v>0</v>
      </c>
      <c r="AP232" s="124">
        <f t="shared" si="120"/>
        <v>0</v>
      </c>
      <c r="AQ232" s="123" t="s">
        <v>85</v>
      </c>
      <c r="AV232" s="124">
        <f t="shared" si="121"/>
        <v>0</v>
      </c>
      <c r="AW232" s="124">
        <f t="shared" si="122"/>
        <v>0</v>
      </c>
      <c r="AX232" s="124">
        <f t="shared" si="123"/>
        <v>0</v>
      </c>
      <c r="AY232" s="125" t="s">
        <v>644</v>
      </c>
      <c r="AZ232" s="125" t="s">
        <v>1537</v>
      </c>
      <c r="BA232" s="113" t="s">
        <v>1542</v>
      </c>
      <c r="BC232" s="124">
        <f t="shared" si="124"/>
        <v>0</v>
      </c>
      <c r="BD232" s="124">
        <f t="shared" si="125"/>
        <v>0</v>
      </c>
      <c r="BE232" s="124">
        <v>0</v>
      </c>
      <c r="BF232" s="124">
        <f t="shared" si="126"/>
        <v>0</v>
      </c>
      <c r="BH232" s="122">
        <f t="shared" si="127"/>
        <v>0</v>
      </c>
      <c r="BI232" s="122">
        <f t="shared" si="128"/>
        <v>0</v>
      </c>
      <c r="BJ232" s="122">
        <f t="shared" si="129"/>
        <v>0</v>
      </c>
    </row>
    <row r="233" spans="1:62" s="174" customFormat="1" ht="12.75">
      <c r="A233" s="121" t="s">
        <v>685</v>
      </c>
      <c r="B233" s="121" t="s">
        <v>60</v>
      </c>
      <c r="C233" s="121" t="s">
        <v>200</v>
      </c>
      <c r="D233" s="129" t="s">
        <v>1361</v>
      </c>
      <c r="E233" s="121" t="s">
        <v>607</v>
      </c>
      <c r="F233" s="122">
        <f>'Stavební rozpočet'!F399</f>
        <v>10</v>
      </c>
      <c r="G233" s="172"/>
      <c r="H233" s="122">
        <f t="shared" si="104"/>
        <v>0</v>
      </c>
      <c r="I233" s="122">
        <f t="shared" si="105"/>
        <v>0</v>
      </c>
      <c r="J233" s="122">
        <f t="shared" si="106"/>
        <v>0</v>
      </c>
      <c r="K233" s="122">
        <f>'Stavební rozpočet'!K399</f>
        <v>0</v>
      </c>
      <c r="L233" s="122">
        <f t="shared" si="107"/>
        <v>0</v>
      </c>
      <c r="M233" s="123" t="s">
        <v>622</v>
      </c>
      <c r="Z233" s="124">
        <f t="shared" si="108"/>
        <v>0</v>
      </c>
      <c r="AB233" s="124">
        <f t="shared" si="109"/>
        <v>0</v>
      </c>
      <c r="AC233" s="124">
        <f t="shared" si="110"/>
        <v>0</v>
      </c>
      <c r="AD233" s="124">
        <f t="shared" si="111"/>
        <v>0</v>
      </c>
      <c r="AE233" s="124">
        <f t="shared" si="112"/>
        <v>0</v>
      </c>
      <c r="AF233" s="124">
        <f t="shared" si="113"/>
        <v>0</v>
      </c>
      <c r="AG233" s="124">
        <f t="shared" si="114"/>
        <v>0</v>
      </c>
      <c r="AH233" s="124">
        <f t="shared" si="115"/>
        <v>0</v>
      </c>
      <c r="AI233" s="113" t="s">
        <v>60</v>
      </c>
      <c r="AJ233" s="122">
        <f t="shared" si="116"/>
        <v>0</v>
      </c>
      <c r="AK233" s="122">
        <f t="shared" si="117"/>
        <v>0</v>
      </c>
      <c r="AL233" s="122">
        <f t="shared" si="118"/>
        <v>0</v>
      </c>
      <c r="AN233" s="124">
        <v>15</v>
      </c>
      <c r="AO233" s="124">
        <f t="shared" si="119"/>
        <v>0</v>
      </c>
      <c r="AP233" s="124">
        <f t="shared" si="120"/>
        <v>0</v>
      </c>
      <c r="AQ233" s="123" t="s">
        <v>85</v>
      </c>
      <c r="AV233" s="124">
        <f t="shared" si="121"/>
        <v>0</v>
      </c>
      <c r="AW233" s="124">
        <f t="shared" si="122"/>
        <v>0</v>
      </c>
      <c r="AX233" s="124">
        <f t="shared" si="123"/>
        <v>0</v>
      </c>
      <c r="AY233" s="125" t="s">
        <v>644</v>
      </c>
      <c r="AZ233" s="125" t="s">
        <v>1537</v>
      </c>
      <c r="BA233" s="113" t="s">
        <v>1542</v>
      </c>
      <c r="BC233" s="124">
        <f t="shared" si="124"/>
        <v>0</v>
      </c>
      <c r="BD233" s="124">
        <f t="shared" si="125"/>
        <v>0</v>
      </c>
      <c r="BE233" s="124">
        <v>0</v>
      </c>
      <c r="BF233" s="124">
        <f t="shared" si="126"/>
        <v>0</v>
      </c>
      <c r="BH233" s="122">
        <f t="shared" si="127"/>
        <v>0</v>
      </c>
      <c r="BI233" s="122">
        <f t="shared" si="128"/>
        <v>0</v>
      </c>
      <c r="BJ233" s="122">
        <f t="shared" si="129"/>
        <v>0</v>
      </c>
    </row>
    <row r="234" spans="1:62" s="174" customFormat="1" ht="12.75">
      <c r="A234" s="121" t="s">
        <v>686</v>
      </c>
      <c r="B234" s="121" t="s">
        <v>60</v>
      </c>
      <c r="C234" s="121" t="s">
        <v>201</v>
      </c>
      <c r="D234" s="129" t="s">
        <v>1362</v>
      </c>
      <c r="E234" s="121" t="s">
        <v>607</v>
      </c>
      <c r="F234" s="122">
        <f>'Stavební rozpočet'!F400</f>
        <v>5</v>
      </c>
      <c r="G234" s="172"/>
      <c r="H234" s="122">
        <f aca="true" t="shared" si="130" ref="H234:H250">F234*AO234</f>
        <v>0</v>
      </c>
      <c r="I234" s="122">
        <f aca="true" t="shared" si="131" ref="I234:I250">F234*AP234</f>
        <v>0</v>
      </c>
      <c r="J234" s="122">
        <f aca="true" t="shared" si="132" ref="J234:J250">F234*G234</f>
        <v>0</v>
      </c>
      <c r="K234" s="122">
        <f>'Stavební rozpočet'!K400</f>
        <v>0</v>
      </c>
      <c r="L234" s="122">
        <f aca="true" t="shared" si="133" ref="L234:L250">F234*K234</f>
        <v>0</v>
      </c>
      <c r="M234" s="123" t="s">
        <v>622</v>
      </c>
      <c r="Z234" s="124">
        <f aca="true" t="shared" si="134" ref="Z234:Z250">IF(AQ234="5",BJ234,0)</f>
        <v>0</v>
      </c>
      <c r="AB234" s="124">
        <f aca="true" t="shared" si="135" ref="AB234:AB250">IF(AQ234="1",BH234,0)</f>
        <v>0</v>
      </c>
      <c r="AC234" s="124">
        <f aca="true" t="shared" si="136" ref="AC234:AC250">IF(AQ234="1",BI234,0)</f>
        <v>0</v>
      </c>
      <c r="AD234" s="124">
        <f aca="true" t="shared" si="137" ref="AD234:AD250">IF(AQ234="7",BH234,0)</f>
        <v>0</v>
      </c>
      <c r="AE234" s="124">
        <f aca="true" t="shared" si="138" ref="AE234:AE250">IF(AQ234="7",BI234,0)</f>
        <v>0</v>
      </c>
      <c r="AF234" s="124">
        <f aca="true" t="shared" si="139" ref="AF234:AF250">IF(AQ234="2",BH234,0)</f>
        <v>0</v>
      </c>
      <c r="AG234" s="124">
        <f aca="true" t="shared" si="140" ref="AG234:AG250">IF(AQ234="2",BI234,0)</f>
        <v>0</v>
      </c>
      <c r="AH234" s="124">
        <f aca="true" t="shared" si="141" ref="AH234:AH250">IF(AQ234="0",BJ234,0)</f>
        <v>0</v>
      </c>
      <c r="AI234" s="113" t="s">
        <v>60</v>
      </c>
      <c r="AJ234" s="122">
        <f aca="true" t="shared" si="142" ref="AJ234:AJ250">IF(AN234=0,J234,0)</f>
        <v>0</v>
      </c>
      <c r="AK234" s="122">
        <f aca="true" t="shared" si="143" ref="AK234:AK250">IF(AN234=15,J234,0)</f>
        <v>0</v>
      </c>
      <c r="AL234" s="122">
        <f aca="true" t="shared" si="144" ref="AL234:AL250">IF(AN234=21,J234,0)</f>
        <v>0</v>
      </c>
      <c r="AN234" s="124">
        <v>15</v>
      </c>
      <c r="AO234" s="124">
        <f aca="true" t="shared" si="145" ref="AO234:AO250">G234*0</f>
        <v>0</v>
      </c>
      <c r="AP234" s="124">
        <f aca="true" t="shared" si="146" ref="AP234:AP250">G234*(1-0)</f>
        <v>0</v>
      </c>
      <c r="AQ234" s="123" t="s">
        <v>85</v>
      </c>
      <c r="AV234" s="124">
        <f aca="true" t="shared" si="147" ref="AV234:AV250">AW234+AX234</f>
        <v>0</v>
      </c>
      <c r="AW234" s="124">
        <f aca="true" t="shared" si="148" ref="AW234:AW250">F234*AO234</f>
        <v>0</v>
      </c>
      <c r="AX234" s="124">
        <f aca="true" t="shared" si="149" ref="AX234:AX250">F234*AP234</f>
        <v>0</v>
      </c>
      <c r="AY234" s="125" t="s">
        <v>644</v>
      </c>
      <c r="AZ234" s="125" t="s">
        <v>1537</v>
      </c>
      <c r="BA234" s="113" t="s">
        <v>1542</v>
      </c>
      <c r="BC234" s="124">
        <f aca="true" t="shared" si="150" ref="BC234:BC250">AW234+AX234</f>
        <v>0</v>
      </c>
      <c r="BD234" s="124">
        <f aca="true" t="shared" si="151" ref="BD234:BD250">G234/(100-BE234)*100</f>
        <v>0</v>
      </c>
      <c r="BE234" s="124">
        <v>0</v>
      </c>
      <c r="BF234" s="124">
        <f aca="true" t="shared" si="152" ref="BF234:BF250">L234</f>
        <v>0</v>
      </c>
      <c r="BH234" s="122">
        <f aca="true" t="shared" si="153" ref="BH234:BH250">F234*AO234</f>
        <v>0</v>
      </c>
      <c r="BI234" s="122">
        <f aca="true" t="shared" si="154" ref="BI234:BI250">F234*AP234</f>
        <v>0</v>
      </c>
      <c r="BJ234" s="122">
        <f aca="true" t="shared" si="155" ref="BJ234:BJ250">F234*G234</f>
        <v>0</v>
      </c>
    </row>
    <row r="235" spans="1:62" s="174" customFormat="1" ht="12.75">
      <c r="A235" s="121" t="s">
        <v>687</v>
      </c>
      <c r="B235" s="121" t="s">
        <v>60</v>
      </c>
      <c r="C235" s="121" t="s">
        <v>315</v>
      </c>
      <c r="D235" s="129" t="s">
        <v>501</v>
      </c>
      <c r="E235" s="121" t="s">
        <v>611</v>
      </c>
      <c r="F235" s="122">
        <f>'Stavební rozpočet'!F401</f>
        <v>20</v>
      </c>
      <c r="G235" s="172"/>
      <c r="H235" s="122">
        <f t="shared" si="130"/>
        <v>0</v>
      </c>
      <c r="I235" s="122">
        <f t="shared" si="131"/>
        <v>0</v>
      </c>
      <c r="J235" s="122">
        <f t="shared" si="132"/>
        <v>0</v>
      </c>
      <c r="K235" s="122">
        <f>'Stavební rozpočet'!K401</f>
        <v>0</v>
      </c>
      <c r="L235" s="122">
        <f t="shared" si="133"/>
        <v>0</v>
      </c>
      <c r="M235" s="123" t="s">
        <v>622</v>
      </c>
      <c r="Z235" s="124">
        <f t="shared" si="134"/>
        <v>0</v>
      </c>
      <c r="AB235" s="124">
        <f t="shared" si="135"/>
        <v>0</v>
      </c>
      <c r="AC235" s="124">
        <f t="shared" si="136"/>
        <v>0</v>
      </c>
      <c r="AD235" s="124">
        <f t="shared" si="137"/>
        <v>0</v>
      </c>
      <c r="AE235" s="124">
        <f t="shared" si="138"/>
        <v>0</v>
      </c>
      <c r="AF235" s="124">
        <f t="shared" si="139"/>
        <v>0</v>
      </c>
      <c r="AG235" s="124">
        <f t="shared" si="140"/>
        <v>0</v>
      </c>
      <c r="AH235" s="124">
        <f t="shared" si="141"/>
        <v>0</v>
      </c>
      <c r="AI235" s="113" t="s">
        <v>60</v>
      </c>
      <c r="AJ235" s="122">
        <f t="shared" si="142"/>
        <v>0</v>
      </c>
      <c r="AK235" s="122">
        <f t="shared" si="143"/>
        <v>0</v>
      </c>
      <c r="AL235" s="122">
        <f t="shared" si="144"/>
        <v>0</v>
      </c>
      <c r="AN235" s="124">
        <v>15</v>
      </c>
      <c r="AO235" s="124">
        <f t="shared" si="145"/>
        <v>0</v>
      </c>
      <c r="AP235" s="124">
        <f t="shared" si="146"/>
        <v>0</v>
      </c>
      <c r="AQ235" s="123" t="s">
        <v>85</v>
      </c>
      <c r="AV235" s="124">
        <f t="shared" si="147"/>
        <v>0</v>
      </c>
      <c r="AW235" s="124">
        <f t="shared" si="148"/>
        <v>0</v>
      </c>
      <c r="AX235" s="124">
        <f t="shared" si="149"/>
        <v>0</v>
      </c>
      <c r="AY235" s="125" t="s">
        <v>644</v>
      </c>
      <c r="AZ235" s="125" t="s">
        <v>1537</v>
      </c>
      <c r="BA235" s="113" t="s">
        <v>1542</v>
      </c>
      <c r="BC235" s="124">
        <f t="shared" si="150"/>
        <v>0</v>
      </c>
      <c r="BD235" s="124">
        <f t="shared" si="151"/>
        <v>0</v>
      </c>
      <c r="BE235" s="124">
        <v>0</v>
      </c>
      <c r="BF235" s="124">
        <f t="shared" si="152"/>
        <v>0</v>
      </c>
      <c r="BH235" s="122">
        <f t="shared" si="153"/>
        <v>0</v>
      </c>
      <c r="BI235" s="122">
        <f t="shared" si="154"/>
        <v>0</v>
      </c>
      <c r="BJ235" s="122">
        <f t="shared" si="155"/>
        <v>0</v>
      </c>
    </row>
    <row r="236" spans="1:62" s="174" customFormat="1" ht="12.75">
      <c r="A236" s="121" t="s">
        <v>688</v>
      </c>
      <c r="B236" s="121" t="s">
        <v>60</v>
      </c>
      <c r="C236" s="121" t="s">
        <v>316</v>
      </c>
      <c r="D236" s="129" t="s">
        <v>1363</v>
      </c>
      <c r="E236" s="121" t="s">
        <v>606</v>
      </c>
      <c r="F236" s="122">
        <f>'Stavební rozpočet'!F402</f>
        <v>1</v>
      </c>
      <c r="G236" s="172"/>
      <c r="H236" s="122">
        <f t="shared" si="130"/>
        <v>0</v>
      </c>
      <c r="I236" s="122">
        <f t="shared" si="131"/>
        <v>0</v>
      </c>
      <c r="J236" s="122">
        <f t="shared" si="132"/>
        <v>0</v>
      </c>
      <c r="K236" s="122">
        <f>'Stavební rozpočet'!K402</f>
        <v>0</v>
      </c>
      <c r="L236" s="122">
        <f t="shared" si="133"/>
        <v>0</v>
      </c>
      <c r="M236" s="123" t="s">
        <v>622</v>
      </c>
      <c r="Z236" s="124">
        <f t="shared" si="134"/>
        <v>0</v>
      </c>
      <c r="AB236" s="124">
        <f t="shared" si="135"/>
        <v>0</v>
      </c>
      <c r="AC236" s="124">
        <f t="shared" si="136"/>
        <v>0</v>
      </c>
      <c r="AD236" s="124">
        <f t="shared" si="137"/>
        <v>0</v>
      </c>
      <c r="AE236" s="124">
        <f t="shared" si="138"/>
        <v>0</v>
      </c>
      <c r="AF236" s="124">
        <f t="shared" si="139"/>
        <v>0</v>
      </c>
      <c r="AG236" s="124">
        <f t="shared" si="140"/>
        <v>0</v>
      </c>
      <c r="AH236" s="124">
        <f t="shared" si="141"/>
        <v>0</v>
      </c>
      <c r="AI236" s="113" t="s">
        <v>60</v>
      </c>
      <c r="AJ236" s="122">
        <f t="shared" si="142"/>
        <v>0</v>
      </c>
      <c r="AK236" s="122">
        <f t="shared" si="143"/>
        <v>0</v>
      </c>
      <c r="AL236" s="122">
        <f t="shared" si="144"/>
        <v>0</v>
      </c>
      <c r="AN236" s="124">
        <v>15</v>
      </c>
      <c r="AO236" s="124">
        <f t="shared" si="145"/>
        <v>0</v>
      </c>
      <c r="AP236" s="124">
        <f t="shared" si="146"/>
        <v>0</v>
      </c>
      <c r="AQ236" s="123" t="s">
        <v>85</v>
      </c>
      <c r="AV236" s="124">
        <f t="shared" si="147"/>
        <v>0</v>
      </c>
      <c r="AW236" s="124">
        <f t="shared" si="148"/>
        <v>0</v>
      </c>
      <c r="AX236" s="124">
        <f t="shared" si="149"/>
        <v>0</v>
      </c>
      <c r="AY236" s="125" t="s">
        <v>644</v>
      </c>
      <c r="AZ236" s="125" t="s">
        <v>1537</v>
      </c>
      <c r="BA236" s="113" t="s">
        <v>1542</v>
      </c>
      <c r="BC236" s="124">
        <f t="shared" si="150"/>
        <v>0</v>
      </c>
      <c r="BD236" s="124">
        <f t="shared" si="151"/>
        <v>0</v>
      </c>
      <c r="BE236" s="124">
        <v>0</v>
      </c>
      <c r="BF236" s="124">
        <f t="shared" si="152"/>
        <v>0</v>
      </c>
      <c r="BH236" s="122">
        <f t="shared" si="153"/>
        <v>0</v>
      </c>
      <c r="BI236" s="122">
        <f t="shared" si="154"/>
        <v>0</v>
      </c>
      <c r="BJ236" s="122">
        <f t="shared" si="155"/>
        <v>0</v>
      </c>
    </row>
    <row r="237" spans="1:62" s="174" customFormat="1" ht="12.75">
      <c r="A237" s="121" t="s">
        <v>689</v>
      </c>
      <c r="B237" s="121" t="s">
        <v>60</v>
      </c>
      <c r="C237" s="121" t="s">
        <v>698</v>
      </c>
      <c r="D237" s="129" t="s">
        <v>1364</v>
      </c>
      <c r="E237" s="121" t="s">
        <v>606</v>
      </c>
      <c r="F237" s="122">
        <f>'Stavební rozpočet'!F403</f>
        <v>8</v>
      </c>
      <c r="G237" s="172"/>
      <c r="H237" s="122">
        <f t="shared" si="130"/>
        <v>0</v>
      </c>
      <c r="I237" s="122">
        <f t="shared" si="131"/>
        <v>0</v>
      </c>
      <c r="J237" s="122">
        <f t="shared" si="132"/>
        <v>0</v>
      </c>
      <c r="K237" s="122">
        <f>'Stavební rozpočet'!K403</f>
        <v>0</v>
      </c>
      <c r="L237" s="122">
        <f t="shared" si="133"/>
        <v>0</v>
      </c>
      <c r="M237" s="123" t="s">
        <v>622</v>
      </c>
      <c r="Z237" s="124">
        <f t="shared" si="134"/>
        <v>0</v>
      </c>
      <c r="AB237" s="124">
        <f t="shared" si="135"/>
        <v>0</v>
      </c>
      <c r="AC237" s="124">
        <f t="shared" si="136"/>
        <v>0</v>
      </c>
      <c r="AD237" s="124">
        <f t="shared" si="137"/>
        <v>0</v>
      </c>
      <c r="AE237" s="124">
        <f t="shared" si="138"/>
        <v>0</v>
      </c>
      <c r="AF237" s="124">
        <f t="shared" si="139"/>
        <v>0</v>
      </c>
      <c r="AG237" s="124">
        <f t="shared" si="140"/>
        <v>0</v>
      </c>
      <c r="AH237" s="124">
        <f t="shared" si="141"/>
        <v>0</v>
      </c>
      <c r="AI237" s="113" t="s">
        <v>60</v>
      </c>
      <c r="AJ237" s="122">
        <f t="shared" si="142"/>
        <v>0</v>
      </c>
      <c r="AK237" s="122">
        <f t="shared" si="143"/>
        <v>0</v>
      </c>
      <c r="AL237" s="122">
        <f t="shared" si="144"/>
        <v>0</v>
      </c>
      <c r="AN237" s="124">
        <v>15</v>
      </c>
      <c r="AO237" s="124">
        <f t="shared" si="145"/>
        <v>0</v>
      </c>
      <c r="AP237" s="124">
        <f t="shared" si="146"/>
        <v>0</v>
      </c>
      <c r="AQ237" s="123" t="s">
        <v>85</v>
      </c>
      <c r="AV237" s="124">
        <f t="shared" si="147"/>
        <v>0</v>
      </c>
      <c r="AW237" s="124">
        <f t="shared" si="148"/>
        <v>0</v>
      </c>
      <c r="AX237" s="124">
        <f t="shared" si="149"/>
        <v>0</v>
      </c>
      <c r="AY237" s="125" t="s">
        <v>644</v>
      </c>
      <c r="AZ237" s="125" t="s">
        <v>1537</v>
      </c>
      <c r="BA237" s="113" t="s">
        <v>1542</v>
      </c>
      <c r="BC237" s="124">
        <f t="shared" si="150"/>
        <v>0</v>
      </c>
      <c r="BD237" s="124">
        <f t="shared" si="151"/>
        <v>0</v>
      </c>
      <c r="BE237" s="124">
        <v>0</v>
      </c>
      <c r="BF237" s="124">
        <f t="shared" si="152"/>
        <v>0</v>
      </c>
      <c r="BH237" s="122">
        <f t="shared" si="153"/>
        <v>0</v>
      </c>
      <c r="BI237" s="122">
        <f t="shared" si="154"/>
        <v>0</v>
      </c>
      <c r="BJ237" s="122">
        <f t="shared" si="155"/>
        <v>0</v>
      </c>
    </row>
    <row r="238" spans="1:62" s="174" customFormat="1" ht="12.75">
      <c r="A238" s="121" t="s">
        <v>690</v>
      </c>
      <c r="B238" s="121" t="s">
        <v>60</v>
      </c>
      <c r="C238" s="121" t="s">
        <v>699</v>
      </c>
      <c r="D238" s="129" t="s">
        <v>1365</v>
      </c>
      <c r="E238" s="121" t="s">
        <v>1527</v>
      </c>
      <c r="F238" s="122">
        <f>'Stavební rozpočet'!F404</f>
        <v>1</v>
      </c>
      <c r="G238" s="172"/>
      <c r="H238" s="122">
        <f t="shared" si="130"/>
        <v>0</v>
      </c>
      <c r="I238" s="122">
        <f t="shared" si="131"/>
        <v>0</v>
      </c>
      <c r="J238" s="122">
        <f t="shared" si="132"/>
        <v>0</v>
      </c>
      <c r="K238" s="122">
        <f>'Stavební rozpočet'!K404</f>
        <v>0</v>
      </c>
      <c r="L238" s="122">
        <f t="shared" si="133"/>
        <v>0</v>
      </c>
      <c r="M238" s="123" t="s">
        <v>622</v>
      </c>
      <c r="Z238" s="124">
        <f t="shared" si="134"/>
        <v>0</v>
      </c>
      <c r="AB238" s="124">
        <f t="shared" si="135"/>
        <v>0</v>
      </c>
      <c r="AC238" s="124">
        <f t="shared" si="136"/>
        <v>0</v>
      </c>
      <c r="AD238" s="124">
        <f t="shared" si="137"/>
        <v>0</v>
      </c>
      <c r="AE238" s="124">
        <f t="shared" si="138"/>
        <v>0</v>
      </c>
      <c r="AF238" s="124">
        <f t="shared" si="139"/>
        <v>0</v>
      </c>
      <c r="AG238" s="124">
        <f t="shared" si="140"/>
        <v>0</v>
      </c>
      <c r="AH238" s="124">
        <f t="shared" si="141"/>
        <v>0</v>
      </c>
      <c r="AI238" s="113" t="s">
        <v>60</v>
      </c>
      <c r="AJ238" s="122">
        <f t="shared" si="142"/>
        <v>0</v>
      </c>
      <c r="AK238" s="122">
        <f t="shared" si="143"/>
        <v>0</v>
      </c>
      <c r="AL238" s="122">
        <f t="shared" si="144"/>
        <v>0</v>
      </c>
      <c r="AN238" s="124">
        <v>15</v>
      </c>
      <c r="AO238" s="124">
        <f t="shared" si="145"/>
        <v>0</v>
      </c>
      <c r="AP238" s="124">
        <f t="shared" si="146"/>
        <v>0</v>
      </c>
      <c r="AQ238" s="123" t="s">
        <v>85</v>
      </c>
      <c r="AV238" s="124">
        <f t="shared" si="147"/>
        <v>0</v>
      </c>
      <c r="AW238" s="124">
        <f t="shared" si="148"/>
        <v>0</v>
      </c>
      <c r="AX238" s="124">
        <f t="shared" si="149"/>
        <v>0</v>
      </c>
      <c r="AY238" s="125" t="s">
        <v>644</v>
      </c>
      <c r="AZ238" s="125" t="s">
        <v>1537</v>
      </c>
      <c r="BA238" s="113" t="s">
        <v>1542</v>
      </c>
      <c r="BC238" s="124">
        <f t="shared" si="150"/>
        <v>0</v>
      </c>
      <c r="BD238" s="124">
        <f t="shared" si="151"/>
        <v>0</v>
      </c>
      <c r="BE238" s="124">
        <v>0</v>
      </c>
      <c r="BF238" s="124">
        <f t="shared" si="152"/>
        <v>0</v>
      </c>
      <c r="BH238" s="122">
        <f t="shared" si="153"/>
        <v>0</v>
      </c>
      <c r="BI238" s="122">
        <f t="shared" si="154"/>
        <v>0</v>
      </c>
      <c r="BJ238" s="122">
        <f t="shared" si="155"/>
        <v>0</v>
      </c>
    </row>
    <row r="239" spans="1:62" s="174" customFormat="1" ht="12.75">
      <c r="A239" s="121" t="s">
        <v>691</v>
      </c>
      <c r="B239" s="121" t="s">
        <v>60</v>
      </c>
      <c r="C239" s="121" t="s">
        <v>700</v>
      </c>
      <c r="D239" s="129" t="s">
        <v>497</v>
      </c>
      <c r="E239" s="121" t="s">
        <v>611</v>
      </c>
      <c r="F239" s="122">
        <f>'Stavební rozpočet'!F405</f>
        <v>5</v>
      </c>
      <c r="G239" s="172"/>
      <c r="H239" s="122">
        <f t="shared" si="130"/>
        <v>0</v>
      </c>
      <c r="I239" s="122">
        <f t="shared" si="131"/>
        <v>0</v>
      </c>
      <c r="J239" s="122">
        <f t="shared" si="132"/>
        <v>0</v>
      </c>
      <c r="K239" s="122">
        <f>'Stavební rozpočet'!K405</f>
        <v>0</v>
      </c>
      <c r="L239" s="122">
        <f t="shared" si="133"/>
        <v>0</v>
      </c>
      <c r="M239" s="123" t="s">
        <v>622</v>
      </c>
      <c r="Z239" s="124">
        <f t="shared" si="134"/>
        <v>0</v>
      </c>
      <c r="AB239" s="124">
        <f t="shared" si="135"/>
        <v>0</v>
      </c>
      <c r="AC239" s="124">
        <f t="shared" si="136"/>
        <v>0</v>
      </c>
      <c r="AD239" s="124">
        <f t="shared" si="137"/>
        <v>0</v>
      </c>
      <c r="AE239" s="124">
        <f t="shared" si="138"/>
        <v>0</v>
      </c>
      <c r="AF239" s="124">
        <f t="shared" si="139"/>
        <v>0</v>
      </c>
      <c r="AG239" s="124">
        <f t="shared" si="140"/>
        <v>0</v>
      </c>
      <c r="AH239" s="124">
        <f t="shared" si="141"/>
        <v>0</v>
      </c>
      <c r="AI239" s="113" t="s">
        <v>60</v>
      </c>
      <c r="AJ239" s="122">
        <f t="shared" si="142"/>
        <v>0</v>
      </c>
      <c r="AK239" s="122">
        <f t="shared" si="143"/>
        <v>0</v>
      </c>
      <c r="AL239" s="122">
        <f t="shared" si="144"/>
        <v>0</v>
      </c>
      <c r="AN239" s="124">
        <v>15</v>
      </c>
      <c r="AO239" s="124">
        <f t="shared" si="145"/>
        <v>0</v>
      </c>
      <c r="AP239" s="124">
        <f t="shared" si="146"/>
        <v>0</v>
      </c>
      <c r="AQ239" s="123" t="s">
        <v>85</v>
      </c>
      <c r="AV239" s="124">
        <f t="shared" si="147"/>
        <v>0</v>
      </c>
      <c r="AW239" s="124">
        <f t="shared" si="148"/>
        <v>0</v>
      </c>
      <c r="AX239" s="124">
        <f t="shared" si="149"/>
        <v>0</v>
      </c>
      <c r="AY239" s="125" t="s">
        <v>644</v>
      </c>
      <c r="AZ239" s="125" t="s">
        <v>1537</v>
      </c>
      <c r="BA239" s="113" t="s">
        <v>1542</v>
      </c>
      <c r="BC239" s="124">
        <f t="shared" si="150"/>
        <v>0</v>
      </c>
      <c r="BD239" s="124">
        <f t="shared" si="151"/>
        <v>0</v>
      </c>
      <c r="BE239" s="124">
        <v>0</v>
      </c>
      <c r="BF239" s="124">
        <f t="shared" si="152"/>
        <v>0</v>
      </c>
      <c r="BH239" s="122">
        <f t="shared" si="153"/>
        <v>0</v>
      </c>
      <c r="BI239" s="122">
        <f t="shared" si="154"/>
        <v>0</v>
      </c>
      <c r="BJ239" s="122">
        <f t="shared" si="155"/>
        <v>0</v>
      </c>
    </row>
    <row r="240" spans="1:62" s="174" customFormat="1" ht="12.75">
      <c r="A240" s="121" t="s">
        <v>692</v>
      </c>
      <c r="B240" s="121" t="s">
        <v>60</v>
      </c>
      <c r="C240" s="121" t="s">
        <v>701</v>
      </c>
      <c r="D240" s="129" t="s">
        <v>1366</v>
      </c>
      <c r="E240" s="121" t="s">
        <v>606</v>
      </c>
      <c r="F240" s="122">
        <f>'Stavební rozpočet'!F406</f>
        <v>1</v>
      </c>
      <c r="G240" s="172"/>
      <c r="H240" s="122">
        <f t="shared" si="130"/>
        <v>0</v>
      </c>
      <c r="I240" s="122">
        <f t="shared" si="131"/>
        <v>0</v>
      </c>
      <c r="J240" s="122">
        <f t="shared" si="132"/>
        <v>0</v>
      </c>
      <c r="K240" s="122">
        <f>'Stavební rozpočet'!K406</f>
        <v>0</v>
      </c>
      <c r="L240" s="122">
        <f t="shared" si="133"/>
        <v>0</v>
      </c>
      <c r="M240" s="123" t="s">
        <v>622</v>
      </c>
      <c r="Z240" s="124">
        <f t="shared" si="134"/>
        <v>0</v>
      </c>
      <c r="AB240" s="124">
        <f t="shared" si="135"/>
        <v>0</v>
      </c>
      <c r="AC240" s="124">
        <f t="shared" si="136"/>
        <v>0</v>
      </c>
      <c r="AD240" s="124">
        <f t="shared" si="137"/>
        <v>0</v>
      </c>
      <c r="AE240" s="124">
        <f t="shared" si="138"/>
        <v>0</v>
      </c>
      <c r="AF240" s="124">
        <f t="shared" si="139"/>
        <v>0</v>
      </c>
      <c r="AG240" s="124">
        <f t="shared" si="140"/>
        <v>0</v>
      </c>
      <c r="AH240" s="124">
        <f t="shared" si="141"/>
        <v>0</v>
      </c>
      <c r="AI240" s="113" t="s">
        <v>60</v>
      </c>
      <c r="AJ240" s="122">
        <f t="shared" si="142"/>
        <v>0</v>
      </c>
      <c r="AK240" s="122">
        <f t="shared" si="143"/>
        <v>0</v>
      </c>
      <c r="AL240" s="122">
        <f t="shared" si="144"/>
        <v>0</v>
      </c>
      <c r="AN240" s="124">
        <v>15</v>
      </c>
      <c r="AO240" s="124">
        <f t="shared" si="145"/>
        <v>0</v>
      </c>
      <c r="AP240" s="124">
        <f t="shared" si="146"/>
        <v>0</v>
      </c>
      <c r="AQ240" s="123" t="s">
        <v>85</v>
      </c>
      <c r="AV240" s="124">
        <f t="shared" si="147"/>
        <v>0</v>
      </c>
      <c r="AW240" s="124">
        <f t="shared" si="148"/>
        <v>0</v>
      </c>
      <c r="AX240" s="124">
        <f t="shared" si="149"/>
        <v>0</v>
      </c>
      <c r="AY240" s="125" t="s">
        <v>644</v>
      </c>
      <c r="AZ240" s="125" t="s">
        <v>1537</v>
      </c>
      <c r="BA240" s="113" t="s">
        <v>1542</v>
      </c>
      <c r="BC240" s="124">
        <f t="shared" si="150"/>
        <v>0</v>
      </c>
      <c r="BD240" s="124">
        <f t="shared" si="151"/>
        <v>0</v>
      </c>
      <c r="BE240" s="124">
        <v>0</v>
      </c>
      <c r="BF240" s="124">
        <f t="shared" si="152"/>
        <v>0</v>
      </c>
      <c r="BH240" s="122">
        <f t="shared" si="153"/>
        <v>0</v>
      </c>
      <c r="BI240" s="122">
        <f t="shared" si="154"/>
        <v>0</v>
      </c>
      <c r="BJ240" s="122">
        <f t="shared" si="155"/>
        <v>0</v>
      </c>
    </row>
    <row r="241" spans="1:62" s="174" customFormat="1" ht="12.75">
      <c r="A241" s="121" t="s">
        <v>693</v>
      </c>
      <c r="B241" s="121" t="s">
        <v>60</v>
      </c>
      <c r="C241" s="121" t="s">
        <v>702</v>
      </c>
      <c r="D241" s="129" t="s">
        <v>1367</v>
      </c>
      <c r="E241" s="121" t="s">
        <v>606</v>
      </c>
      <c r="F241" s="122">
        <f>'Stavební rozpočet'!F407</f>
        <v>1</v>
      </c>
      <c r="G241" s="172"/>
      <c r="H241" s="122">
        <f t="shared" si="130"/>
        <v>0</v>
      </c>
      <c r="I241" s="122">
        <f t="shared" si="131"/>
        <v>0</v>
      </c>
      <c r="J241" s="122">
        <f t="shared" si="132"/>
        <v>0</v>
      </c>
      <c r="K241" s="122">
        <f>'Stavební rozpočet'!K407</f>
        <v>0</v>
      </c>
      <c r="L241" s="122">
        <f t="shared" si="133"/>
        <v>0</v>
      </c>
      <c r="M241" s="123" t="s">
        <v>622</v>
      </c>
      <c r="Z241" s="124">
        <f t="shared" si="134"/>
        <v>0</v>
      </c>
      <c r="AB241" s="124">
        <f t="shared" si="135"/>
        <v>0</v>
      </c>
      <c r="AC241" s="124">
        <f t="shared" si="136"/>
        <v>0</v>
      </c>
      <c r="AD241" s="124">
        <f t="shared" si="137"/>
        <v>0</v>
      </c>
      <c r="AE241" s="124">
        <f t="shared" si="138"/>
        <v>0</v>
      </c>
      <c r="AF241" s="124">
        <f t="shared" si="139"/>
        <v>0</v>
      </c>
      <c r="AG241" s="124">
        <f t="shared" si="140"/>
        <v>0</v>
      </c>
      <c r="AH241" s="124">
        <f t="shared" si="141"/>
        <v>0</v>
      </c>
      <c r="AI241" s="113" t="s">
        <v>60</v>
      </c>
      <c r="AJ241" s="122">
        <f t="shared" si="142"/>
        <v>0</v>
      </c>
      <c r="AK241" s="122">
        <f t="shared" si="143"/>
        <v>0</v>
      </c>
      <c r="AL241" s="122">
        <f t="shared" si="144"/>
        <v>0</v>
      </c>
      <c r="AN241" s="124">
        <v>15</v>
      </c>
      <c r="AO241" s="124">
        <f t="shared" si="145"/>
        <v>0</v>
      </c>
      <c r="AP241" s="124">
        <f t="shared" si="146"/>
        <v>0</v>
      </c>
      <c r="AQ241" s="123" t="s">
        <v>85</v>
      </c>
      <c r="AV241" s="124">
        <f t="shared" si="147"/>
        <v>0</v>
      </c>
      <c r="AW241" s="124">
        <f t="shared" si="148"/>
        <v>0</v>
      </c>
      <c r="AX241" s="124">
        <f t="shared" si="149"/>
        <v>0</v>
      </c>
      <c r="AY241" s="125" t="s">
        <v>644</v>
      </c>
      <c r="AZ241" s="125" t="s">
        <v>1537</v>
      </c>
      <c r="BA241" s="113" t="s">
        <v>1542</v>
      </c>
      <c r="BC241" s="124">
        <f t="shared" si="150"/>
        <v>0</v>
      </c>
      <c r="BD241" s="124">
        <f t="shared" si="151"/>
        <v>0</v>
      </c>
      <c r="BE241" s="124">
        <v>0</v>
      </c>
      <c r="BF241" s="124">
        <f t="shared" si="152"/>
        <v>0</v>
      </c>
      <c r="BH241" s="122">
        <f t="shared" si="153"/>
        <v>0</v>
      </c>
      <c r="BI241" s="122">
        <f t="shared" si="154"/>
        <v>0</v>
      </c>
      <c r="BJ241" s="122">
        <f t="shared" si="155"/>
        <v>0</v>
      </c>
    </row>
    <row r="242" spans="1:62" s="174" customFormat="1" ht="12.75">
      <c r="A242" s="121" t="s">
        <v>694</v>
      </c>
      <c r="B242" s="121" t="s">
        <v>60</v>
      </c>
      <c r="C242" s="121" t="s">
        <v>703</v>
      </c>
      <c r="D242" s="129" t="s">
        <v>1368</v>
      </c>
      <c r="E242" s="121" t="s">
        <v>606</v>
      </c>
      <c r="F242" s="122">
        <f>'Stavební rozpočet'!F408</f>
        <v>1</v>
      </c>
      <c r="G242" s="172"/>
      <c r="H242" s="122">
        <f t="shared" si="130"/>
        <v>0</v>
      </c>
      <c r="I242" s="122">
        <f t="shared" si="131"/>
        <v>0</v>
      </c>
      <c r="J242" s="122">
        <f t="shared" si="132"/>
        <v>0</v>
      </c>
      <c r="K242" s="122">
        <f>'Stavební rozpočet'!K408</f>
        <v>0</v>
      </c>
      <c r="L242" s="122">
        <f t="shared" si="133"/>
        <v>0</v>
      </c>
      <c r="M242" s="123" t="s">
        <v>622</v>
      </c>
      <c r="Z242" s="124">
        <f t="shared" si="134"/>
        <v>0</v>
      </c>
      <c r="AB242" s="124">
        <f t="shared" si="135"/>
        <v>0</v>
      </c>
      <c r="AC242" s="124">
        <f t="shared" si="136"/>
        <v>0</v>
      </c>
      <c r="AD242" s="124">
        <f t="shared" si="137"/>
        <v>0</v>
      </c>
      <c r="AE242" s="124">
        <f t="shared" si="138"/>
        <v>0</v>
      </c>
      <c r="AF242" s="124">
        <f t="shared" si="139"/>
        <v>0</v>
      </c>
      <c r="AG242" s="124">
        <f t="shared" si="140"/>
        <v>0</v>
      </c>
      <c r="AH242" s="124">
        <f t="shared" si="141"/>
        <v>0</v>
      </c>
      <c r="AI242" s="113" t="s">
        <v>60</v>
      </c>
      <c r="AJ242" s="122">
        <f t="shared" si="142"/>
        <v>0</v>
      </c>
      <c r="AK242" s="122">
        <f t="shared" si="143"/>
        <v>0</v>
      </c>
      <c r="AL242" s="122">
        <f t="shared" si="144"/>
        <v>0</v>
      </c>
      <c r="AN242" s="124">
        <v>15</v>
      </c>
      <c r="AO242" s="124">
        <f t="shared" si="145"/>
        <v>0</v>
      </c>
      <c r="AP242" s="124">
        <f t="shared" si="146"/>
        <v>0</v>
      </c>
      <c r="AQ242" s="123" t="s">
        <v>85</v>
      </c>
      <c r="AV242" s="124">
        <f t="shared" si="147"/>
        <v>0</v>
      </c>
      <c r="AW242" s="124">
        <f t="shared" si="148"/>
        <v>0</v>
      </c>
      <c r="AX242" s="124">
        <f t="shared" si="149"/>
        <v>0</v>
      </c>
      <c r="AY242" s="125" t="s">
        <v>644</v>
      </c>
      <c r="AZ242" s="125" t="s">
        <v>1537</v>
      </c>
      <c r="BA242" s="113" t="s">
        <v>1542</v>
      </c>
      <c r="BC242" s="124">
        <f t="shared" si="150"/>
        <v>0</v>
      </c>
      <c r="BD242" s="124">
        <f t="shared" si="151"/>
        <v>0</v>
      </c>
      <c r="BE242" s="124">
        <v>0</v>
      </c>
      <c r="BF242" s="124">
        <f t="shared" si="152"/>
        <v>0</v>
      </c>
      <c r="BH242" s="122">
        <f t="shared" si="153"/>
        <v>0</v>
      </c>
      <c r="BI242" s="122">
        <f t="shared" si="154"/>
        <v>0</v>
      </c>
      <c r="BJ242" s="122">
        <f t="shared" si="155"/>
        <v>0</v>
      </c>
    </row>
    <row r="243" spans="1:62" s="174" customFormat="1" ht="12.75">
      <c r="A243" s="121" t="s">
        <v>695</v>
      </c>
      <c r="B243" s="121" t="s">
        <v>60</v>
      </c>
      <c r="C243" s="121" t="s">
        <v>704</v>
      </c>
      <c r="D243" s="129" t="s">
        <v>1369</v>
      </c>
      <c r="E243" s="121" t="s">
        <v>606</v>
      </c>
      <c r="F243" s="122">
        <f>'Stavební rozpočet'!F409</f>
        <v>1</v>
      </c>
      <c r="G243" s="172"/>
      <c r="H243" s="122">
        <f t="shared" si="130"/>
        <v>0</v>
      </c>
      <c r="I243" s="122">
        <f t="shared" si="131"/>
        <v>0</v>
      </c>
      <c r="J243" s="122">
        <f t="shared" si="132"/>
        <v>0</v>
      </c>
      <c r="K243" s="122">
        <f>'Stavební rozpočet'!K409</f>
        <v>0</v>
      </c>
      <c r="L243" s="122">
        <f t="shared" si="133"/>
        <v>0</v>
      </c>
      <c r="M243" s="123" t="s">
        <v>622</v>
      </c>
      <c r="Z243" s="124">
        <f t="shared" si="134"/>
        <v>0</v>
      </c>
      <c r="AB243" s="124">
        <f t="shared" si="135"/>
        <v>0</v>
      </c>
      <c r="AC243" s="124">
        <f t="shared" si="136"/>
        <v>0</v>
      </c>
      <c r="AD243" s="124">
        <f t="shared" si="137"/>
        <v>0</v>
      </c>
      <c r="AE243" s="124">
        <f t="shared" si="138"/>
        <v>0</v>
      </c>
      <c r="AF243" s="124">
        <f t="shared" si="139"/>
        <v>0</v>
      </c>
      <c r="AG243" s="124">
        <f t="shared" si="140"/>
        <v>0</v>
      </c>
      <c r="AH243" s="124">
        <f t="shared" si="141"/>
        <v>0</v>
      </c>
      <c r="AI243" s="113" t="s">
        <v>60</v>
      </c>
      <c r="AJ243" s="122">
        <f t="shared" si="142"/>
        <v>0</v>
      </c>
      <c r="AK243" s="122">
        <f t="shared" si="143"/>
        <v>0</v>
      </c>
      <c r="AL243" s="122">
        <f t="shared" si="144"/>
        <v>0</v>
      </c>
      <c r="AN243" s="124">
        <v>15</v>
      </c>
      <c r="AO243" s="124">
        <f t="shared" si="145"/>
        <v>0</v>
      </c>
      <c r="AP243" s="124">
        <f t="shared" si="146"/>
        <v>0</v>
      </c>
      <c r="AQ243" s="123" t="s">
        <v>85</v>
      </c>
      <c r="AV243" s="124">
        <f t="shared" si="147"/>
        <v>0</v>
      </c>
      <c r="AW243" s="124">
        <f t="shared" si="148"/>
        <v>0</v>
      </c>
      <c r="AX243" s="124">
        <f t="shared" si="149"/>
        <v>0</v>
      </c>
      <c r="AY243" s="125" t="s">
        <v>644</v>
      </c>
      <c r="AZ243" s="125" t="s">
        <v>1537</v>
      </c>
      <c r="BA243" s="113" t="s">
        <v>1542</v>
      </c>
      <c r="BC243" s="124">
        <f t="shared" si="150"/>
        <v>0</v>
      </c>
      <c r="BD243" s="124">
        <f t="shared" si="151"/>
        <v>0</v>
      </c>
      <c r="BE243" s="124">
        <v>0</v>
      </c>
      <c r="BF243" s="124">
        <f t="shared" si="152"/>
        <v>0</v>
      </c>
      <c r="BH243" s="122">
        <f t="shared" si="153"/>
        <v>0</v>
      </c>
      <c r="BI243" s="122">
        <f t="shared" si="154"/>
        <v>0</v>
      </c>
      <c r="BJ243" s="122">
        <f t="shared" si="155"/>
        <v>0</v>
      </c>
    </row>
    <row r="244" spans="1:62" s="174" customFormat="1" ht="12.75">
      <c r="A244" s="121" t="s">
        <v>696</v>
      </c>
      <c r="B244" s="121" t="s">
        <v>60</v>
      </c>
      <c r="C244" s="121" t="s">
        <v>705</v>
      </c>
      <c r="D244" s="129" t="s">
        <v>1370</v>
      </c>
      <c r="E244" s="121" t="s">
        <v>611</v>
      </c>
      <c r="F244" s="122">
        <f>'Stavební rozpočet'!F410</f>
        <v>10</v>
      </c>
      <c r="G244" s="172"/>
      <c r="H244" s="122">
        <f t="shared" si="130"/>
        <v>0</v>
      </c>
      <c r="I244" s="122">
        <f t="shared" si="131"/>
        <v>0</v>
      </c>
      <c r="J244" s="122">
        <f t="shared" si="132"/>
        <v>0</v>
      </c>
      <c r="K244" s="122">
        <f>'Stavební rozpočet'!K410</f>
        <v>0</v>
      </c>
      <c r="L244" s="122">
        <f t="shared" si="133"/>
        <v>0</v>
      </c>
      <c r="M244" s="123" t="s">
        <v>622</v>
      </c>
      <c r="Z244" s="124">
        <f t="shared" si="134"/>
        <v>0</v>
      </c>
      <c r="AB244" s="124">
        <f t="shared" si="135"/>
        <v>0</v>
      </c>
      <c r="AC244" s="124">
        <f t="shared" si="136"/>
        <v>0</v>
      </c>
      <c r="AD244" s="124">
        <f t="shared" si="137"/>
        <v>0</v>
      </c>
      <c r="AE244" s="124">
        <f t="shared" si="138"/>
        <v>0</v>
      </c>
      <c r="AF244" s="124">
        <f t="shared" si="139"/>
        <v>0</v>
      </c>
      <c r="AG244" s="124">
        <f t="shared" si="140"/>
        <v>0</v>
      </c>
      <c r="AH244" s="124">
        <f t="shared" si="141"/>
        <v>0</v>
      </c>
      <c r="AI244" s="113" t="s">
        <v>60</v>
      </c>
      <c r="AJ244" s="122">
        <f t="shared" si="142"/>
        <v>0</v>
      </c>
      <c r="AK244" s="122">
        <f t="shared" si="143"/>
        <v>0</v>
      </c>
      <c r="AL244" s="122">
        <f t="shared" si="144"/>
        <v>0</v>
      </c>
      <c r="AN244" s="124">
        <v>15</v>
      </c>
      <c r="AO244" s="124">
        <f t="shared" si="145"/>
        <v>0</v>
      </c>
      <c r="AP244" s="124">
        <f t="shared" si="146"/>
        <v>0</v>
      </c>
      <c r="AQ244" s="123" t="s">
        <v>85</v>
      </c>
      <c r="AV244" s="124">
        <f t="shared" si="147"/>
        <v>0</v>
      </c>
      <c r="AW244" s="124">
        <f t="shared" si="148"/>
        <v>0</v>
      </c>
      <c r="AX244" s="124">
        <f t="shared" si="149"/>
        <v>0</v>
      </c>
      <c r="AY244" s="125" t="s">
        <v>644</v>
      </c>
      <c r="AZ244" s="125" t="s">
        <v>1537</v>
      </c>
      <c r="BA244" s="113" t="s">
        <v>1542</v>
      </c>
      <c r="BC244" s="124">
        <f t="shared" si="150"/>
        <v>0</v>
      </c>
      <c r="BD244" s="124">
        <f t="shared" si="151"/>
        <v>0</v>
      </c>
      <c r="BE244" s="124">
        <v>0</v>
      </c>
      <c r="BF244" s="124">
        <f t="shared" si="152"/>
        <v>0</v>
      </c>
      <c r="BH244" s="122">
        <f t="shared" si="153"/>
        <v>0</v>
      </c>
      <c r="BI244" s="122">
        <f t="shared" si="154"/>
        <v>0</v>
      </c>
      <c r="BJ244" s="122">
        <f t="shared" si="155"/>
        <v>0</v>
      </c>
    </row>
    <row r="245" spans="1:62" s="174" customFormat="1" ht="12.75">
      <c r="A245" s="121" t="s">
        <v>697</v>
      </c>
      <c r="B245" s="121" t="s">
        <v>60</v>
      </c>
      <c r="C245" s="121" t="s">
        <v>706</v>
      </c>
      <c r="D245" s="129" t="s">
        <v>491</v>
      </c>
      <c r="E245" s="121" t="s">
        <v>606</v>
      </c>
      <c r="F245" s="122">
        <f>'Stavební rozpočet'!F411</f>
        <v>1</v>
      </c>
      <c r="G245" s="172"/>
      <c r="H245" s="122">
        <f t="shared" si="130"/>
        <v>0</v>
      </c>
      <c r="I245" s="122">
        <f t="shared" si="131"/>
        <v>0</v>
      </c>
      <c r="J245" s="122">
        <f t="shared" si="132"/>
        <v>0</v>
      </c>
      <c r="K245" s="122">
        <f>'Stavební rozpočet'!K411</f>
        <v>0</v>
      </c>
      <c r="L245" s="122">
        <f t="shared" si="133"/>
        <v>0</v>
      </c>
      <c r="M245" s="123" t="s">
        <v>622</v>
      </c>
      <c r="Z245" s="124">
        <f t="shared" si="134"/>
        <v>0</v>
      </c>
      <c r="AB245" s="124">
        <f t="shared" si="135"/>
        <v>0</v>
      </c>
      <c r="AC245" s="124">
        <f t="shared" si="136"/>
        <v>0</v>
      </c>
      <c r="AD245" s="124">
        <f t="shared" si="137"/>
        <v>0</v>
      </c>
      <c r="AE245" s="124">
        <f t="shared" si="138"/>
        <v>0</v>
      </c>
      <c r="AF245" s="124">
        <f t="shared" si="139"/>
        <v>0</v>
      </c>
      <c r="AG245" s="124">
        <f t="shared" si="140"/>
        <v>0</v>
      </c>
      <c r="AH245" s="124">
        <f t="shared" si="141"/>
        <v>0</v>
      </c>
      <c r="AI245" s="113" t="s">
        <v>60</v>
      </c>
      <c r="AJ245" s="122">
        <f t="shared" si="142"/>
        <v>0</v>
      </c>
      <c r="AK245" s="122">
        <f t="shared" si="143"/>
        <v>0</v>
      </c>
      <c r="AL245" s="122">
        <f t="shared" si="144"/>
        <v>0</v>
      </c>
      <c r="AN245" s="124">
        <v>15</v>
      </c>
      <c r="AO245" s="124">
        <f t="shared" si="145"/>
        <v>0</v>
      </c>
      <c r="AP245" s="124">
        <f t="shared" si="146"/>
        <v>0</v>
      </c>
      <c r="AQ245" s="123" t="s">
        <v>85</v>
      </c>
      <c r="AV245" s="124">
        <f t="shared" si="147"/>
        <v>0</v>
      </c>
      <c r="AW245" s="124">
        <f t="shared" si="148"/>
        <v>0</v>
      </c>
      <c r="AX245" s="124">
        <f t="shared" si="149"/>
        <v>0</v>
      </c>
      <c r="AY245" s="125" t="s">
        <v>644</v>
      </c>
      <c r="AZ245" s="125" t="s">
        <v>1537</v>
      </c>
      <c r="BA245" s="113" t="s">
        <v>1542</v>
      </c>
      <c r="BC245" s="124">
        <f t="shared" si="150"/>
        <v>0</v>
      </c>
      <c r="BD245" s="124">
        <f t="shared" si="151"/>
        <v>0</v>
      </c>
      <c r="BE245" s="124">
        <v>0</v>
      </c>
      <c r="BF245" s="124">
        <f t="shared" si="152"/>
        <v>0</v>
      </c>
      <c r="BH245" s="122">
        <f t="shared" si="153"/>
        <v>0</v>
      </c>
      <c r="BI245" s="122">
        <f t="shared" si="154"/>
        <v>0</v>
      </c>
      <c r="BJ245" s="122">
        <f t="shared" si="155"/>
        <v>0</v>
      </c>
    </row>
    <row r="246" spans="1:62" s="174" customFormat="1" ht="12.75">
      <c r="A246" s="121" t="s">
        <v>315</v>
      </c>
      <c r="B246" s="121" t="s">
        <v>60</v>
      </c>
      <c r="C246" s="121" t="s">
        <v>707</v>
      </c>
      <c r="D246" s="129" t="s">
        <v>1371</v>
      </c>
      <c r="E246" s="121" t="s">
        <v>611</v>
      </c>
      <c r="F246" s="122">
        <f>'Stavební rozpočet'!F412</f>
        <v>5</v>
      </c>
      <c r="G246" s="172"/>
      <c r="H246" s="122">
        <f t="shared" si="130"/>
        <v>0</v>
      </c>
      <c r="I246" s="122">
        <f t="shared" si="131"/>
        <v>0</v>
      </c>
      <c r="J246" s="122">
        <f t="shared" si="132"/>
        <v>0</v>
      </c>
      <c r="K246" s="122">
        <f>'Stavební rozpočet'!K412</f>
        <v>0</v>
      </c>
      <c r="L246" s="122">
        <f t="shared" si="133"/>
        <v>0</v>
      </c>
      <c r="M246" s="123" t="s">
        <v>622</v>
      </c>
      <c r="Z246" s="124">
        <f t="shared" si="134"/>
        <v>0</v>
      </c>
      <c r="AB246" s="124">
        <f t="shared" si="135"/>
        <v>0</v>
      </c>
      <c r="AC246" s="124">
        <f t="shared" si="136"/>
        <v>0</v>
      </c>
      <c r="AD246" s="124">
        <f t="shared" si="137"/>
        <v>0</v>
      </c>
      <c r="AE246" s="124">
        <f t="shared" si="138"/>
        <v>0</v>
      </c>
      <c r="AF246" s="124">
        <f t="shared" si="139"/>
        <v>0</v>
      </c>
      <c r="AG246" s="124">
        <f t="shared" si="140"/>
        <v>0</v>
      </c>
      <c r="AH246" s="124">
        <f t="shared" si="141"/>
        <v>0</v>
      </c>
      <c r="AI246" s="113" t="s">
        <v>60</v>
      </c>
      <c r="AJ246" s="122">
        <f t="shared" si="142"/>
        <v>0</v>
      </c>
      <c r="AK246" s="122">
        <f t="shared" si="143"/>
        <v>0</v>
      </c>
      <c r="AL246" s="122">
        <f t="shared" si="144"/>
        <v>0</v>
      </c>
      <c r="AN246" s="124">
        <v>15</v>
      </c>
      <c r="AO246" s="124">
        <f t="shared" si="145"/>
        <v>0</v>
      </c>
      <c r="AP246" s="124">
        <f t="shared" si="146"/>
        <v>0</v>
      </c>
      <c r="AQ246" s="123" t="s">
        <v>85</v>
      </c>
      <c r="AV246" s="124">
        <f t="shared" si="147"/>
        <v>0</v>
      </c>
      <c r="AW246" s="124">
        <f t="shared" si="148"/>
        <v>0</v>
      </c>
      <c r="AX246" s="124">
        <f t="shared" si="149"/>
        <v>0</v>
      </c>
      <c r="AY246" s="125" t="s">
        <v>644</v>
      </c>
      <c r="AZ246" s="125" t="s">
        <v>1537</v>
      </c>
      <c r="BA246" s="113" t="s">
        <v>1542</v>
      </c>
      <c r="BC246" s="124">
        <f t="shared" si="150"/>
        <v>0</v>
      </c>
      <c r="BD246" s="124">
        <f t="shared" si="151"/>
        <v>0</v>
      </c>
      <c r="BE246" s="124">
        <v>0</v>
      </c>
      <c r="BF246" s="124">
        <f t="shared" si="152"/>
        <v>0</v>
      </c>
      <c r="BH246" s="122">
        <f t="shared" si="153"/>
        <v>0</v>
      </c>
      <c r="BI246" s="122">
        <f t="shared" si="154"/>
        <v>0</v>
      </c>
      <c r="BJ246" s="122">
        <f t="shared" si="155"/>
        <v>0</v>
      </c>
    </row>
    <row r="247" spans="1:62" s="174" customFormat="1" ht="12.75">
      <c r="A247" s="121" t="s">
        <v>316</v>
      </c>
      <c r="B247" s="121" t="s">
        <v>60</v>
      </c>
      <c r="C247" s="121" t="s">
        <v>708</v>
      </c>
      <c r="D247" s="129" t="s">
        <v>1372</v>
      </c>
      <c r="E247" s="121" t="s">
        <v>606</v>
      </c>
      <c r="F247" s="122">
        <f>'Stavební rozpočet'!F413</f>
        <v>1</v>
      </c>
      <c r="G247" s="172"/>
      <c r="H247" s="122">
        <f t="shared" si="130"/>
        <v>0</v>
      </c>
      <c r="I247" s="122">
        <f t="shared" si="131"/>
        <v>0</v>
      </c>
      <c r="J247" s="122">
        <f t="shared" si="132"/>
        <v>0</v>
      </c>
      <c r="K247" s="122">
        <f>'Stavební rozpočet'!K413</f>
        <v>0</v>
      </c>
      <c r="L247" s="122">
        <f t="shared" si="133"/>
        <v>0</v>
      </c>
      <c r="M247" s="123" t="s">
        <v>622</v>
      </c>
      <c r="Z247" s="124">
        <f t="shared" si="134"/>
        <v>0</v>
      </c>
      <c r="AB247" s="124">
        <f t="shared" si="135"/>
        <v>0</v>
      </c>
      <c r="AC247" s="124">
        <f t="shared" si="136"/>
        <v>0</v>
      </c>
      <c r="AD247" s="124">
        <f t="shared" si="137"/>
        <v>0</v>
      </c>
      <c r="AE247" s="124">
        <f t="shared" si="138"/>
        <v>0</v>
      </c>
      <c r="AF247" s="124">
        <f t="shared" si="139"/>
        <v>0</v>
      </c>
      <c r="AG247" s="124">
        <f t="shared" si="140"/>
        <v>0</v>
      </c>
      <c r="AH247" s="124">
        <f t="shared" si="141"/>
        <v>0</v>
      </c>
      <c r="AI247" s="113" t="s">
        <v>60</v>
      </c>
      <c r="AJ247" s="122">
        <f t="shared" si="142"/>
        <v>0</v>
      </c>
      <c r="AK247" s="122">
        <f t="shared" si="143"/>
        <v>0</v>
      </c>
      <c r="AL247" s="122">
        <f t="shared" si="144"/>
        <v>0</v>
      </c>
      <c r="AN247" s="124">
        <v>15</v>
      </c>
      <c r="AO247" s="124">
        <f t="shared" si="145"/>
        <v>0</v>
      </c>
      <c r="AP247" s="124">
        <f t="shared" si="146"/>
        <v>0</v>
      </c>
      <c r="AQ247" s="123" t="s">
        <v>85</v>
      </c>
      <c r="AV247" s="124">
        <f t="shared" si="147"/>
        <v>0</v>
      </c>
      <c r="AW247" s="124">
        <f t="shared" si="148"/>
        <v>0</v>
      </c>
      <c r="AX247" s="124">
        <f t="shared" si="149"/>
        <v>0</v>
      </c>
      <c r="AY247" s="125" t="s">
        <v>644</v>
      </c>
      <c r="AZ247" s="125" t="s">
        <v>1537</v>
      </c>
      <c r="BA247" s="113" t="s">
        <v>1542</v>
      </c>
      <c r="BC247" s="124">
        <f t="shared" si="150"/>
        <v>0</v>
      </c>
      <c r="BD247" s="124">
        <f t="shared" si="151"/>
        <v>0</v>
      </c>
      <c r="BE247" s="124">
        <v>0</v>
      </c>
      <c r="BF247" s="124">
        <f t="shared" si="152"/>
        <v>0</v>
      </c>
      <c r="BH247" s="122">
        <f t="shared" si="153"/>
        <v>0</v>
      </c>
      <c r="BI247" s="122">
        <f t="shared" si="154"/>
        <v>0</v>
      </c>
      <c r="BJ247" s="122">
        <f t="shared" si="155"/>
        <v>0</v>
      </c>
    </row>
    <row r="248" spans="1:62" s="174" customFormat="1" ht="12.75">
      <c r="A248" s="121" t="s">
        <v>698</v>
      </c>
      <c r="B248" s="121" t="s">
        <v>60</v>
      </c>
      <c r="C248" s="121" t="s">
        <v>709</v>
      </c>
      <c r="D248" s="129" t="s">
        <v>489</v>
      </c>
      <c r="E248" s="121" t="s">
        <v>606</v>
      </c>
      <c r="F248" s="122">
        <f>'Stavební rozpočet'!F414</f>
        <v>1</v>
      </c>
      <c r="G248" s="172"/>
      <c r="H248" s="122">
        <f t="shared" si="130"/>
        <v>0</v>
      </c>
      <c r="I248" s="122">
        <f t="shared" si="131"/>
        <v>0</v>
      </c>
      <c r="J248" s="122">
        <f t="shared" si="132"/>
        <v>0</v>
      </c>
      <c r="K248" s="122">
        <f>'Stavební rozpočet'!K414</f>
        <v>0</v>
      </c>
      <c r="L248" s="122">
        <f t="shared" si="133"/>
        <v>0</v>
      </c>
      <c r="M248" s="123" t="s">
        <v>622</v>
      </c>
      <c r="Z248" s="124">
        <f t="shared" si="134"/>
        <v>0</v>
      </c>
      <c r="AB248" s="124">
        <f t="shared" si="135"/>
        <v>0</v>
      </c>
      <c r="AC248" s="124">
        <f t="shared" si="136"/>
        <v>0</v>
      </c>
      <c r="AD248" s="124">
        <f t="shared" si="137"/>
        <v>0</v>
      </c>
      <c r="AE248" s="124">
        <f t="shared" si="138"/>
        <v>0</v>
      </c>
      <c r="AF248" s="124">
        <f t="shared" si="139"/>
        <v>0</v>
      </c>
      <c r="AG248" s="124">
        <f t="shared" si="140"/>
        <v>0</v>
      </c>
      <c r="AH248" s="124">
        <f t="shared" si="141"/>
        <v>0</v>
      </c>
      <c r="AI248" s="113" t="s">
        <v>60</v>
      </c>
      <c r="AJ248" s="122">
        <f t="shared" si="142"/>
        <v>0</v>
      </c>
      <c r="AK248" s="122">
        <f t="shared" si="143"/>
        <v>0</v>
      </c>
      <c r="AL248" s="122">
        <f t="shared" si="144"/>
        <v>0</v>
      </c>
      <c r="AN248" s="124">
        <v>15</v>
      </c>
      <c r="AO248" s="124">
        <f t="shared" si="145"/>
        <v>0</v>
      </c>
      <c r="AP248" s="124">
        <f t="shared" si="146"/>
        <v>0</v>
      </c>
      <c r="AQ248" s="123" t="s">
        <v>85</v>
      </c>
      <c r="AV248" s="124">
        <f t="shared" si="147"/>
        <v>0</v>
      </c>
      <c r="AW248" s="124">
        <f t="shared" si="148"/>
        <v>0</v>
      </c>
      <c r="AX248" s="124">
        <f t="shared" si="149"/>
        <v>0</v>
      </c>
      <c r="AY248" s="125" t="s">
        <v>644</v>
      </c>
      <c r="AZ248" s="125" t="s">
        <v>1537</v>
      </c>
      <c r="BA248" s="113" t="s">
        <v>1542</v>
      </c>
      <c r="BC248" s="124">
        <f t="shared" si="150"/>
        <v>0</v>
      </c>
      <c r="BD248" s="124">
        <f t="shared" si="151"/>
        <v>0</v>
      </c>
      <c r="BE248" s="124">
        <v>0</v>
      </c>
      <c r="BF248" s="124">
        <f t="shared" si="152"/>
        <v>0</v>
      </c>
      <c r="BH248" s="122">
        <f t="shared" si="153"/>
        <v>0</v>
      </c>
      <c r="BI248" s="122">
        <f t="shared" si="154"/>
        <v>0</v>
      </c>
      <c r="BJ248" s="122">
        <f t="shared" si="155"/>
        <v>0</v>
      </c>
    </row>
    <row r="249" spans="1:62" s="174" customFormat="1" ht="12.75">
      <c r="A249" s="121" t="s">
        <v>699</v>
      </c>
      <c r="B249" s="121" t="s">
        <v>60</v>
      </c>
      <c r="C249" s="121" t="s">
        <v>710</v>
      </c>
      <c r="D249" s="129" t="s">
        <v>492</v>
      </c>
      <c r="E249" s="121" t="s">
        <v>606</v>
      </c>
      <c r="F249" s="122">
        <f>'Stavební rozpočet'!F415</f>
        <v>1</v>
      </c>
      <c r="G249" s="172"/>
      <c r="H249" s="122">
        <f t="shared" si="130"/>
        <v>0</v>
      </c>
      <c r="I249" s="122">
        <f t="shared" si="131"/>
        <v>0</v>
      </c>
      <c r="J249" s="122">
        <f t="shared" si="132"/>
        <v>0</v>
      </c>
      <c r="K249" s="122">
        <f>'Stavební rozpočet'!K415</f>
        <v>0</v>
      </c>
      <c r="L249" s="122">
        <f t="shared" si="133"/>
        <v>0</v>
      </c>
      <c r="M249" s="123" t="s">
        <v>622</v>
      </c>
      <c r="Z249" s="124">
        <f t="shared" si="134"/>
        <v>0</v>
      </c>
      <c r="AB249" s="124">
        <f t="shared" si="135"/>
        <v>0</v>
      </c>
      <c r="AC249" s="124">
        <f t="shared" si="136"/>
        <v>0</v>
      </c>
      <c r="AD249" s="124">
        <f t="shared" si="137"/>
        <v>0</v>
      </c>
      <c r="AE249" s="124">
        <f t="shared" si="138"/>
        <v>0</v>
      </c>
      <c r="AF249" s="124">
        <f t="shared" si="139"/>
        <v>0</v>
      </c>
      <c r="AG249" s="124">
        <f t="shared" si="140"/>
        <v>0</v>
      </c>
      <c r="AH249" s="124">
        <f t="shared" si="141"/>
        <v>0</v>
      </c>
      <c r="AI249" s="113" t="s">
        <v>60</v>
      </c>
      <c r="AJ249" s="122">
        <f t="shared" si="142"/>
        <v>0</v>
      </c>
      <c r="AK249" s="122">
        <f t="shared" si="143"/>
        <v>0</v>
      </c>
      <c r="AL249" s="122">
        <f t="shared" si="144"/>
        <v>0</v>
      </c>
      <c r="AN249" s="124">
        <v>15</v>
      </c>
      <c r="AO249" s="124">
        <f t="shared" si="145"/>
        <v>0</v>
      </c>
      <c r="AP249" s="124">
        <f t="shared" si="146"/>
        <v>0</v>
      </c>
      <c r="AQ249" s="123" t="s">
        <v>85</v>
      </c>
      <c r="AV249" s="124">
        <f t="shared" si="147"/>
        <v>0</v>
      </c>
      <c r="AW249" s="124">
        <f t="shared" si="148"/>
        <v>0</v>
      </c>
      <c r="AX249" s="124">
        <f t="shared" si="149"/>
        <v>0</v>
      </c>
      <c r="AY249" s="125" t="s">
        <v>644</v>
      </c>
      <c r="AZ249" s="125" t="s">
        <v>1537</v>
      </c>
      <c r="BA249" s="113" t="s">
        <v>1542</v>
      </c>
      <c r="BC249" s="124">
        <f t="shared" si="150"/>
        <v>0</v>
      </c>
      <c r="BD249" s="124">
        <f t="shared" si="151"/>
        <v>0</v>
      </c>
      <c r="BE249" s="124">
        <v>0</v>
      </c>
      <c r="BF249" s="124">
        <f t="shared" si="152"/>
        <v>0</v>
      </c>
      <c r="BH249" s="122">
        <f t="shared" si="153"/>
        <v>0</v>
      </c>
      <c r="BI249" s="122">
        <f t="shared" si="154"/>
        <v>0</v>
      </c>
      <c r="BJ249" s="122">
        <f t="shared" si="155"/>
        <v>0</v>
      </c>
    </row>
    <row r="250" spans="1:62" s="174" customFormat="1" ht="12.75">
      <c r="A250" s="121" t="s">
        <v>700</v>
      </c>
      <c r="B250" s="121" t="s">
        <v>60</v>
      </c>
      <c r="C250" s="121" t="s">
        <v>711</v>
      </c>
      <c r="D250" s="129" t="s">
        <v>493</v>
      </c>
      <c r="E250" s="121" t="s">
        <v>606</v>
      </c>
      <c r="F250" s="122">
        <f>'Stavební rozpočet'!F416</f>
        <v>1</v>
      </c>
      <c r="G250" s="172"/>
      <c r="H250" s="122">
        <f t="shared" si="130"/>
        <v>0</v>
      </c>
      <c r="I250" s="122">
        <f t="shared" si="131"/>
        <v>0</v>
      </c>
      <c r="J250" s="122">
        <f t="shared" si="132"/>
        <v>0</v>
      </c>
      <c r="K250" s="122">
        <f>'Stavební rozpočet'!K416</f>
        <v>0</v>
      </c>
      <c r="L250" s="122">
        <f t="shared" si="133"/>
        <v>0</v>
      </c>
      <c r="M250" s="123" t="s">
        <v>622</v>
      </c>
      <c r="Z250" s="124">
        <f t="shared" si="134"/>
        <v>0</v>
      </c>
      <c r="AB250" s="124">
        <f t="shared" si="135"/>
        <v>0</v>
      </c>
      <c r="AC250" s="124">
        <f t="shared" si="136"/>
        <v>0</v>
      </c>
      <c r="AD250" s="124">
        <f t="shared" si="137"/>
        <v>0</v>
      </c>
      <c r="AE250" s="124">
        <f t="shared" si="138"/>
        <v>0</v>
      </c>
      <c r="AF250" s="124">
        <f t="shared" si="139"/>
        <v>0</v>
      </c>
      <c r="AG250" s="124">
        <f t="shared" si="140"/>
        <v>0</v>
      </c>
      <c r="AH250" s="124">
        <f t="shared" si="141"/>
        <v>0</v>
      </c>
      <c r="AI250" s="113" t="s">
        <v>60</v>
      </c>
      <c r="AJ250" s="122">
        <f t="shared" si="142"/>
        <v>0</v>
      </c>
      <c r="AK250" s="122">
        <f t="shared" si="143"/>
        <v>0</v>
      </c>
      <c r="AL250" s="122">
        <f t="shared" si="144"/>
        <v>0</v>
      </c>
      <c r="AN250" s="124">
        <v>15</v>
      </c>
      <c r="AO250" s="124">
        <f t="shared" si="145"/>
        <v>0</v>
      </c>
      <c r="AP250" s="124">
        <f t="shared" si="146"/>
        <v>0</v>
      </c>
      <c r="AQ250" s="123" t="s">
        <v>85</v>
      </c>
      <c r="AV250" s="124">
        <f t="shared" si="147"/>
        <v>0</v>
      </c>
      <c r="AW250" s="124">
        <f t="shared" si="148"/>
        <v>0</v>
      </c>
      <c r="AX250" s="124">
        <f t="shared" si="149"/>
        <v>0</v>
      </c>
      <c r="AY250" s="125" t="s">
        <v>644</v>
      </c>
      <c r="AZ250" s="125" t="s">
        <v>1537</v>
      </c>
      <c r="BA250" s="113" t="s">
        <v>1542</v>
      </c>
      <c r="BC250" s="124">
        <f t="shared" si="150"/>
        <v>0</v>
      </c>
      <c r="BD250" s="124">
        <f t="shared" si="151"/>
        <v>0</v>
      </c>
      <c r="BE250" s="124">
        <v>0</v>
      </c>
      <c r="BF250" s="124">
        <f t="shared" si="152"/>
        <v>0</v>
      </c>
      <c r="BH250" s="122">
        <f t="shared" si="153"/>
        <v>0</v>
      </c>
      <c r="BI250" s="122">
        <f t="shared" si="154"/>
        <v>0</v>
      </c>
      <c r="BJ250" s="122">
        <f t="shared" si="155"/>
        <v>0</v>
      </c>
    </row>
    <row r="251" spans="1:47" s="174" customFormat="1" ht="12.75">
      <c r="A251" s="118"/>
      <c r="B251" s="119" t="s">
        <v>60</v>
      </c>
      <c r="C251" s="119" t="s">
        <v>317</v>
      </c>
      <c r="D251" s="136" t="s">
        <v>506</v>
      </c>
      <c r="E251" s="118" t="s">
        <v>57</v>
      </c>
      <c r="F251" s="118" t="s">
        <v>57</v>
      </c>
      <c r="G251" s="118"/>
      <c r="H251" s="120">
        <f>SUM(H252:H315)</f>
        <v>0</v>
      </c>
      <c r="I251" s="120">
        <f>SUM(I252:I315)</f>
        <v>0</v>
      </c>
      <c r="J251" s="120">
        <f>SUM(J252:J315)</f>
        <v>0</v>
      </c>
      <c r="K251" s="113"/>
      <c r="L251" s="120">
        <f>SUM(L252:L315)</f>
        <v>0</v>
      </c>
      <c r="M251" s="113"/>
      <c r="AI251" s="113" t="s">
        <v>60</v>
      </c>
      <c r="AS251" s="120">
        <f>SUM(AJ252:AJ315)</f>
        <v>0</v>
      </c>
      <c r="AT251" s="120">
        <f>SUM(AK252:AK315)</f>
        <v>0</v>
      </c>
      <c r="AU251" s="120">
        <f>SUM(AL252:AL315)</f>
        <v>0</v>
      </c>
    </row>
    <row r="252" spans="1:62" s="174" customFormat="1" ht="12.75">
      <c r="A252" s="121" t="s">
        <v>701</v>
      </c>
      <c r="B252" s="121" t="s">
        <v>60</v>
      </c>
      <c r="C252" s="121" t="s">
        <v>318</v>
      </c>
      <c r="D252" s="129" t="s">
        <v>509</v>
      </c>
      <c r="E252" s="121" t="s">
        <v>609</v>
      </c>
      <c r="F252" s="122">
        <f>'Stavební rozpočet'!F418</f>
        <v>105.9</v>
      </c>
      <c r="G252" s="172"/>
      <c r="H252" s="122">
        <f aca="true" t="shared" si="156" ref="H252:H283">F252*AO252</f>
        <v>0</v>
      </c>
      <c r="I252" s="122">
        <f aca="true" t="shared" si="157" ref="I252:I283">F252*AP252</f>
        <v>0</v>
      </c>
      <c r="J252" s="122">
        <f aca="true" t="shared" si="158" ref="J252:J283">F252*G252</f>
        <v>0</v>
      </c>
      <c r="K252" s="122">
        <f>'Stavební rozpočet'!K418</f>
        <v>0</v>
      </c>
      <c r="L252" s="122">
        <f aca="true" t="shared" si="159" ref="L252:L283">F252*K252</f>
        <v>0</v>
      </c>
      <c r="M252" s="123" t="s">
        <v>622</v>
      </c>
      <c r="Z252" s="124">
        <f aca="true" t="shared" si="160" ref="Z252:Z283">IF(AQ252="5",BJ252,0)</f>
        <v>0</v>
      </c>
      <c r="AB252" s="124">
        <f aca="true" t="shared" si="161" ref="AB252:AB283">IF(AQ252="1",BH252,0)</f>
        <v>0</v>
      </c>
      <c r="AC252" s="124">
        <f aca="true" t="shared" si="162" ref="AC252:AC283">IF(AQ252="1",BI252,0)</f>
        <v>0</v>
      </c>
      <c r="AD252" s="124">
        <f aca="true" t="shared" si="163" ref="AD252:AD283">IF(AQ252="7",BH252,0)</f>
        <v>0</v>
      </c>
      <c r="AE252" s="124">
        <f aca="true" t="shared" si="164" ref="AE252:AE283">IF(AQ252="7",BI252,0)</f>
        <v>0</v>
      </c>
      <c r="AF252" s="124">
        <f aca="true" t="shared" si="165" ref="AF252:AF283">IF(AQ252="2",BH252,0)</f>
        <v>0</v>
      </c>
      <c r="AG252" s="124">
        <f aca="true" t="shared" si="166" ref="AG252:AG283">IF(AQ252="2",BI252,0)</f>
        <v>0</v>
      </c>
      <c r="AH252" s="124">
        <f aca="true" t="shared" si="167" ref="AH252:AH283">IF(AQ252="0",BJ252,0)</f>
        <v>0</v>
      </c>
      <c r="AI252" s="113" t="s">
        <v>60</v>
      </c>
      <c r="AJ252" s="122">
        <f aca="true" t="shared" si="168" ref="AJ252:AJ283">IF(AN252=0,J252,0)</f>
        <v>0</v>
      </c>
      <c r="AK252" s="122">
        <f aca="true" t="shared" si="169" ref="AK252:AK283">IF(AN252=15,J252,0)</f>
        <v>0</v>
      </c>
      <c r="AL252" s="122">
        <f aca="true" t="shared" si="170" ref="AL252:AL283">IF(AN252=21,J252,0)</f>
        <v>0</v>
      </c>
      <c r="AN252" s="124">
        <v>15</v>
      </c>
      <c r="AO252" s="124">
        <f aca="true" t="shared" si="171" ref="AO252:AO283">G252*0</f>
        <v>0</v>
      </c>
      <c r="AP252" s="124">
        <f aca="true" t="shared" si="172" ref="AP252:AP283">G252*(1-0)</f>
        <v>0</v>
      </c>
      <c r="AQ252" s="123" t="s">
        <v>85</v>
      </c>
      <c r="AV252" s="124">
        <f aca="true" t="shared" si="173" ref="AV252:AV283">AW252+AX252</f>
        <v>0</v>
      </c>
      <c r="AW252" s="124">
        <f aca="true" t="shared" si="174" ref="AW252:AW283">F252*AO252</f>
        <v>0</v>
      </c>
      <c r="AX252" s="124">
        <f aca="true" t="shared" si="175" ref="AX252:AX283">F252*AP252</f>
        <v>0</v>
      </c>
      <c r="AY252" s="125" t="s">
        <v>645</v>
      </c>
      <c r="AZ252" s="125" t="s">
        <v>1538</v>
      </c>
      <c r="BA252" s="113" t="s">
        <v>1542</v>
      </c>
      <c r="BC252" s="124">
        <f aca="true" t="shared" si="176" ref="BC252:BC283">AW252+AX252</f>
        <v>0</v>
      </c>
      <c r="BD252" s="124">
        <f aca="true" t="shared" si="177" ref="BD252:BD283">G252/(100-BE252)*100</f>
        <v>0</v>
      </c>
      <c r="BE252" s="124">
        <v>0</v>
      </c>
      <c r="BF252" s="124">
        <f aca="true" t="shared" si="178" ref="BF252:BF283">L252</f>
        <v>0</v>
      </c>
      <c r="BH252" s="122">
        <f aca="true" t="shared" si="179" ref="BH252:BH283">F252*AO252</f>
        <v>0</v>
      </c>
      <c r="BI252" s="122">
        <f aca="true" t="shared" si="180" ref="BI252:BI283">F252*AP252</f>
        <v>0</v>
      </c>
      <c r="BJ252" s="122">
        <f aca="true" t="shared" si="181" ref="BJ252:BJ283">F252*G252</f>
        <v>0</v>
      </c>
    </row>
    <row r="253" spans="1:62" s="174" customFormat="1" ht="12.75">
      <c r="A253" s="121" t="s">
        <v>702</v>
      </c>
      <c r="B253" s="121" t="s">
        <v>60</v>
      </c>
      <c r="C253" s="121" t="s">
        <v>319</v>
      </c>
      <c r="D253" s="129" t="s">
        <v>510</v>
      </c>
      <c r="E253" s="121" t="s">
        <v>609</v>
      </c>
      <c r="F253" s="122">
        <f>'Stavební rozpočet'!F419</f>
        <v>33.6</v>
      </c>
      <c r="G253" s="172"/>
      <c r="H253" s="122">
        <f t="shared" si="156"/>
        <v>0</v>
      </c>
      <c r="I253" s="122">
        <f t="shared" si="157"/>
        <v>0</v>
      </c>
      <c r="J253" s="122">
        <f t="shared" si="158"/>
        <v>0</v>
      </c>
      <c r="K253" s="122">
        <f>'Stavební rozpočet'!K419</f>
        <v>0</v>
      </c>
      <c r="L253" s="122">
        <f t="shared" si="159"/>
        <v>0</v>
      </c>
      <c r="M253" s="123" t="s">
        <v>622</v>
      </c>
      <c r="Z253" s="124">
        <f t="shared" si="160"/>
        <v>0</v>
      </c>
      <c r="AB253" s="124">
        <f t="shared" si="161"/>
        <v>0</v>
      </c>
      <c r="AC253" s="124">
        <f t="shared" si="162"/>
        <v>0</v>
      </c>
      <c r="AD253" s="124">
        <f t="shared" si="163"/>
        <v>0</v>
      </c>
      <c r="AE253" s="124">
        <f t="shared" si="164"/>
        <v>0</v>
      </c>
      <c r="AF253" s="124">
        <f t="shared" si="165"/>
        <v>0</v>
      </c>
      <c r="AG253" s="124">
        <f t="shared" si="166"/>
        <v>0</v>
      </c>
      <c r="AH253" s="124">
        <f t="shared" si="167"/>
        <v>0</v>
      </c>
      <c r="AI253" s="113" t="s">
        <v>60</v>
      </c>
      <c r="AJ253" s="122">
        <f t="shared" si="168"/>
        <v>0</v>
      </c>
      <c r="AK253" s="122">
        <f t="shared" si="169"/>
        <v>0</v>
      </c>
      <c r="AL253" s="122">
        <f t="shared" si="170"/>
        <v>0</v>
      </c>
      <c r="AN253" s="124">
        <v>15</v>
      </c>
      <c r="AO253" s="124">
        <f t="shared" si="171"/>
        <v>0</v>
      </c>
      <c r="AP253" s="124">
        <f t="shared" si="172"/>
        <v>0</v>
      </c>
      <c r="AQ253" s="123" t="s">
        <v>85</v>
      </c>
      <c r="AV253" s="124">
        <f t="shared" si="173"/>
        <v>0</v>
      </c>
      <c r="AW253" s="124">
        <f t="shared" si="174"/>
        <v>0</v>
      </c>
      <c r="AX253" s="124">
        <f t="shared" si="175"/>
        <v>0</v>
      </c>
      <c r="AY253" s="125" t="s">
        <v>645</v>
      </c>
      <c r="AZ253" s="125" t="s">
        <v>1538</v>
      </c>
      <c r="BA253" s="113" t="s">
        <v>1542</v>
      </c>
      <c r="BC253" s="124">
        <f t="shared" si="176"/>
        <v>0</v>
      </c>
      <c r="BD253" s="124">
        <f t="shared" si="177"/>
        <v>0</v>
      </c>
      <c r="BE253" s="124">
        <v>0</v>
      </c>
      <c r="BF253" s="124">
        <f t="shared" si="178"/>
        <v>0</v>
      </c>
      <c r="BH253" s="122">
        <f t="shared" si="179"/>
        <v>0</v>
      </c>
      <c r="BI253" s="122">
        <f t="shared" si="180"/>
        <v>0</v>
      </c>
      <c r="BJ253" s="122">
        <f t="shared" si="181"/>
        <v>0</v>
      </c>
    </row>
    <row r="254" spans="1:62" s="174" customFormat="1" ht="12.75">
      <c r="A254" s="121" t="s">
        <v>703</v>
      </c>
      <c r="B254" s="121" t="s">
        <v>60</v>
      </c>
      <c r="C254" s="121" t="s">
        <v>1059</v>
      </c>
      <c r="D254" s="129" t="s">
        <v>1373</v>
      </c>
      <c r="E254" s="121" t="s">
        <v>609</v>
      </c>
      <c r="F254" s="122">
        <f>'Stavební rozpočet'!F420</f>
        <v>26.7</v>
      </c>
      <c r="G254" s="172"/>
      <c r="H254" s="122">
        <f t="shared" si="156"/>
        <v>0</v>
      </c>
      <c r="I254" s="122">
        <f t="shared" si="157"/>
        <v>0</v>
      </c>
      <c r="J254" s="122">
        <f t="shared" si="158"/>
        <v>0</v>
      </c>
      <c r="K254" s="122">
        <f>'Stavební rozpočet'!K420</f>
        <v>0</v>
      </c>
      <c r="L254" s="122">
        <f t="shared" si="159"/>
        <v>0</v>
      </c>
      <c r="M254" s="123" t="s">
        <v>622</v>
      </c>
      <c r="Z254" s="124">
        <f t="shared" si="160"/>
        <v>0</v>
      </c>
      <c r="AB254" s="124">
        <f t="shared" si="161"/>
        <v>0</v>
      </c>
      <c r="AC254" s="124">
        <f t="shared" si="162"/>
        <v>0</v>
      </c>
      <c r="AD254" s="124">
        <f t="shared" si="163"/>
        <v>0</v>
      </c>
      <c r="AE254" s="124">
        <f t="shared" si="164"/>
        <v>0</v>
      </c>
      <c r="AF254" s="124">
        <f t="shared" si="165"/>
        <v>0</v>
      </c>
      <c r="AG254" s="124">
        <f t="shared" si="166"/>
        <v>0</v>
      </c>
      <c r="AH254" s="124">
        <f t="shared" si="167"/>
        <v>0</v>
      </c>
      <c r="AI254" s="113" t="s">
        <v>60</v>
      </c>
      <c r="AJ254" s="122">
        <f t="shared" si="168"/>
        <v>0</v>
      </c>
      <c r="AK254" s="122">
        <f t="shared" si="169"/>
        <v>0</v>
      </c>
      <c r="AL254" s="122">
        <f t="shared" si="170"/>
        <v>0</v>
      </c>
      <c r="AN254" s="124">
        <v>15</v>
      </c>
      <c r="AO254" s="124">
        <f t="shared" si="171"/>
        <v>0</v>
      </c>
      <c r="AP254" s="124">
        <f t="shared" si="172"/>
        <v>0</v>
      </c>
      <c r="AQ254" s="123" t="s">
        <v>85</v>
      </c>
      <c r="AV254" s="124">
        <f t="shared" si="173"/>
        <v>0</v>
      </c>
      <c r="AW254" s="124">
        <f t="shared" si="174"/>
        <v>0</v>
      </c>
      <c r="AX254" s="124">
        <f t="shared" si="175"/>
        <v>0</v>
      </c>
      <c r="AY254" s="125" t="s">
        <v>645</v>
      </c>
      <c r="AZ254" s="125" t="s">
        <v>1538</v>
      </c>
      <c r="BA254" s="113" t="s">
        <v>1542</v>
      </c>
      <c r="BC254" s="124">
        <f t="shared" si="176"/>
        <v>0</v>
      </c>
      <c r="BD254" s="124">
        <f t="shared" si="177"/>
        <v>0</v>
      </c>
      <c r="BE254" s="124">
        <v>0</v>
      </c>
      <c r="BF254" s="124">
        <f t="shared" si="178"/>
        <v>0</v>
      </c>
      <c r="BH254" s="122">
        <f t="shared" si="179"/>
        <v>0</v>
      </c>
      <c r="BI254" s="122">
        <f t="shared" si="180"/>
        <v>0</v>
      </c>
      <c r="BJ254" s="122">
        <f t="shared" si="181"/>
        <v>0</v>
      </c>
    </row>
    <row r="255" spans="1:62" s="174" customFormat="1" ht="12.75">
      <c r="A255" s="121" t="s">
        <v>704</v>
      </c>
      <c r="B255" s="121" t="s">
        <v>60</v>
      </c>
      <c r="C255" s="121" t="s">
        <v>1060</v>
      </c>
      <c r="D255" s="129" t="s">
        <v>511</v>
      </c>
      <c r="E255" s="121" t="s">
        <v>609</v>
      </c>
      <c r="F255" s="122">
        <f>'Stavební rozpočet'!F421</f>
        <v>38.3</v>
      </c>
      <c r="G255" s="172"/>
      <c r="H255" s="122">
        <f t="shared" si="156"/>
        <v>0</v>
      </c>
      <c r="I255" s="122">
        <f t="shared" si="157"/>
        <v>0</v>
      </c>
      <c r="J255" s="122">
        <f t="shared" si="158"/>
        <v>0</v>
      </c>
      <c r="K255" s="122">
        <f>'Stavební rozpočet'!K421</f>
        <v>0</v>
      </c>
      <c r="L255" s="122">
        <f t="shared" si="159"/>
        <v>0</v>
      </c>
      <c r="M255" s="123" t="s">
        <v>622</v>
      </c>
      <c r="Z255" s="124">
        <f t="shared" si="160"/>
        <v>0</v>
      </c>
      <c r="AB255" s="124">
        <f t="shared" si="161"/>
        <v>0</v>
      </c>
      <c r="AC255" s="124">
        <f t="shared" si="162"/>
        <v>0</v>
      </c>
      <c r="AD255" s="124">
        <f t="shared" si="163"/>
        <v>0</v>
      </c>
      <c r="AE255" s="124">
        <f t="shared" si="164"/>
        <v>0</v>
      </c>
      <c r="AF255" s="124">
        <f t="shared" si="165"/>
        <v>0</v>
      </c>
      <c r="AG255" s="124">
        <f t="shared" si="166"/>
        <v>0</v>
      </c>
      <c r="AH255" s="124">
        <f t="shared" si="167"/>
        <v>0</v>
      </c>
      <c r="AI255" s="113" t="s">
        <v>60</v>
      </c>
      <c r="AJ255" s="122">
        <f t="shared" si="168"/>
        <v>0</v>
      </c>
      <c r="AK255" s="122">
        <f t="shared" si="169"/>
        <v>0</v>
      </c>
      <c r="AL255" s="122">
        <f t="shared" si="170"/>
        <v>0</v>
      </c>
      <c r="AN255" s="124">
        <v>15</v>
      </c>
      <c r="AO255" s="124">
        <f t="shared" si="171"/>
        <v>0</v>
      </c>
      <c r="AP255" s="124">
        <f t="shared" si="172"/>
        <v>0</v>
      </c>
      <c r="AQ255" s="123" t="s">
        <v>85</v>
      </c>
      <c r="AV255" s="124">
        <f t="shared" si="173"/>
        <v>0</v>
      </c>
      <c r="AW255" s="124">
        <f t="shared" si="174"/>
        <v>0</v>
      </c>
      <c r="AX255" s="124">
        <f t="shared" si="175"/>
        <v>0</v>
      </c>
      <c r="AY255" s="125" t="s">
        <v>645</v>
      </c>
      <c r="AZ255" s="125" t="s">
        <v>1538</v>
      </c>
      <c r="BA255" s="113" t="s">
        <v>1542</v>
      </c>
      <c r="BC255" s="124">
        <f t="shared" si="176"/>
        <v>0</v>
      </c>
      <c r="BD255" s="124">
        <f t="shared" si="177"/>
        <v>0</v>
      </c>
      <c r="BE255" s="124">
        <v>0</v>
      </c>
      <c r="BF255" s="124">
        <f t="shared" si="178"/>
        <v>0</v>
      </c>
      <c r="BH255" s="122">
        <f t="shared" si="179"/>
        <v>0</v>
      </c>
      <c r="BI255" s="122">
        <f t="shared" si="180"/>
        <v>0</v>
      </c>
      <c r="BJ255" s="122">
        <f t="shared" si="181"/>
        <v>0</v>
      </c>
    </row>
    <row r="256" spans="1:62" s="174" customFormat="1" ht="12.75">
      <c r="A256" s="121" t="s">
        <v>705</v>
      </c>
      <c r="B256" s="121" t="s">
        <v>60</v>
      </c>
      <c r="C256" s="121" t="s">
        <v>320</v>
      </c>
      <c r="D256" s="129" t="s">
        <v>1374</v>
      </c>
      <c r="E256" s="121" t="s">
        <v>609</v>
      </c>
      <c r="F256" s="122">
        <f>'Stavební rozpočet'!F422</f>
        <v>2.3</v>
      </c>
      <c r="G256" s="172"/>
      <c r="H256" s="122">
        <f t="shared" si="156"/>
        <v>0</v>
      </c>
      <c r="I256" s="122">
        <f t="shared" si="157"/>
        <v>0</v>
      </c>
      <c r="J256" s="122">
        <f t="shared" si="158"/>
        <v>0</v>
      </c>
      <c r="K256" s="122">
        <f>'Stavební rozpočet'!K422</f>
        <v>0</v>
      </c>
      <c r="L256" s="122">
        <f t="shared" si="159"/>
        <v>0</v>
      </c>
      <c r="M256" s="123" t="s">
        <v>622</v>
      </c>
      <c r="Z256" s="124">
        <f t="shared" si="160"/>
        <v>0</v>
      </c>
      <c r="AB256" s="124">
        <f t="shared" si="161"/>
        <v>0</v>
      </c>
      <c r="AC256" s="124">
        <f t="shared" si="162"/>
        <v>0</v>
      </c>
      <c r="AD256" s="124">
        <f t="shared" si="163"/>
        <v>0</v>
      </c>
      <c r="AE256" s="124">
        <f t="shared" si="164"/>
        <v>0</v>
      </c>
      <c r="AF256" s="124">
        <f t="shared" si="165"/>
        <v>0</v>
      </c>
      <c r="AG256" s="124">
        <f t="shared" si="166"/>
        <v>0</v>
      </c>
      <c r="AH256" s="124">
        <f t="shared" si="167"/>
        <v>0</v>
      </c>
      <c r="AI256" s="113" t="s">
        <v>60</v>
      </c>
      <c r="AJ256" s="122">
        <f t="shared" si="168"/>
        <v>0</v>
      </c>
      <c r="AK256" s="122">
        <f t="shared" si="169"/>
        <v>0</v>
      </c>
      <c r="AL256" s="122">
        <f t="shared" si="170"/>
        <v>0</v>
      </c>
      <c r="AN256" s="124">
        <v>15</v>
      </c>
      <c r="AO256" s="124">
        <f t="shared" si="171"/>
        <v>0</v>
      </c>
      <c r="AP256" s="124">
        <f t="shared" si="172"/>
        <v>0</v>
      </c>
      <c r="AQ256" s="123" t="s">
        <v>85</v>
      </c>
      <c r="AV256" s="124">
        <f t="shared" si="173"/>
        <v>0</v>
      </c>
      <c r="AW256" s="124">
        <f t="shared" si="174"/>
        <v>0</v>
      </c>
      <c r="AX256" s="124">
        <f t="shared" si="175"/>
        <v>0</v>
      </c>
      <c r="AY256" s="125" t="s">
        <v>645</v>
      </c>
      <c r="AZ256" s="125" t="s">
        <v>1538</v>
      </c>
      <c r="BA256" s="113" t="s">
        <v>1542</v>
      </c>
      <c r="BC256" s="124">
        <f t="shared" si="176"/>
        <v>0</v>
      </c>
      <c r="BD256" s="124">
        <f t="shared" si="177"/>
        <v>0</v>
      </c>
      <c r="BE256" s="124">
        <v>0</v>
      </c>
      <c r="BF256" s="124">
        <f t="shared" si="178"/>
        <v>0</v>
      </c>
      <c r="BH256" s="122">
        <f t="shared" si="179"/>
        <v>0</v>
      </c>
      <c r="BI256" s="122">
        <f t="shared" si="180"/>
        <v>0</v>
      </c>
      <c r="BJ256" s="122">
        <f t="shared" si="181"/>
        <v>0</v>
      </c>
    </row>
    <row r="257" spans="1:62" s="174" customFormat="1" ht="12.75" hidden="1">
      <c r="A257" s="121" t="s">
        <v>706</v>
      </c>
      <c r="B257" s="121" t="s">
        <v>60</v>
      </c>
      <c r="C257" s="121" t="s">
        <v>323</v>
      </c>
      <c r="D257" s="129" t="s">
        <v>513</v>
      </c>
      <c r="E257" s="121" t="s">
        <v>609</v>
      </c>
      <c r="F257" s="122">
        <f>'Stavební rozpočet'!F423</f>
        <v>0</v>
      </c>
      <c r="G257" s="172"/>
      <c r="H257" s="122">
        <f t="shared" si="156"/>
        <v>0</v>
      </c>
      <c r="I257" s="122">
        <f t="shared" si="157"/>
        <v>0</v>
      </c>
      <c r="J257" s="122">
        <f t="shared" si="158"/>
        <v>0</v>
      </c>
      <c r="K257" s="122">
        <f>'Stavební rozpočet'!K423</f>
        <v>0</v>
      </c>
      <c r="L257" s="122">
        <f t="shared" si="159"/>
        <v>0</v>
      </c>
      <c r="M257" s="123" t="s">
        <v>622</v>
      </c>
      <c r="Z257" s="124">
        <f t="shared" si="160"/>
        <v>0</v>
      </c>
      <c r="AB257" s="124">
        <f t="shared" si="161"/>
        <v>0</v>
      </c>
      <c r="AC257" s="124">
        <f t="shared" si="162"/>
        <v>0</v>
      </c>
      <c r="AD257" s="124">
        <f t="shared" si="163"/>
        <v>0</v>
      </c>
      <c r="AE257" s="124">
        <f t="shared" si="164"/>
        <v>0</v>
      </c>
      <c r="AF257" s="124">
        <f t="shared" si="165"/>
        <v>0</v>
      </c>
      <c r="AG257" s="124">
        <f t="shared" si="166"/>
        <v>0</v>
      </c>
      <c r="AH257" s="124">
        <f t="shared" si="167"/>
        <v>0</v>
      </c>
      <c r="AI257" s="113" t="s">
        <v>60</v>
      </c>
      <c r="AJ257" s="122">
        <f t="shared" si="168"/>
        <v>0</v>
      </c>
      <c r="AK257" s="122">
        <f t="shared" si="169"/>
        <v>0</v>
      </c>
      <c r="AL257" s="122">
        <f t="shared" si="170"/>
        <v>0</v>
      </c>
      <c r="AN257" s="124">
        <v>15</v>
      </c>
      <c r="AO257" s="124">
        <f t="shared" si="171"/>
        <v>0</v>
      </c>
      <c r="AP257" s="124">
        <f t="shared" si="172"/>
        <v>0</v>
      </c>
      <c r="AQ257" s="123" t="s">
        <v>85</v>
      </c>
      <c r="AV257" s="124">
        <f t="shared" si="173"/>
        <v>0</v>
      </c>
      <c r="AW257" s="124">
        <f t="shared" si="174"/>
        <v>0</v>
      </c>
      <c r="AX257" s="124">
        <f t="shared" si="175"/>
        <v>0</v>
      </c>
      <c r="AY257" s="125" t="s">
        <v>645</v>
      </c>
      <c r="AZ257" s="125" t="s">
        <v>1538</v>
      </c>
      <c r="BA257" s="113" t="s">
        <v>1542</v>
      </c>
      <c r="BC257" s="124">
        <f t="shared" si="176"/>
        <v>0</v>
      </c>
      <c r="BD257" s="124">
        <f t="shared" si="177"/>
        <v>0</v>
      </c>
      <c r="BE257" s="124">
        <v>0</v>
      </c>
      <c r="BF257" s="124">
        <f t="shared" si="178"/>
        <v>0</v>
      </c>
      <c r="BH257" s="122">
        <f t="shared" si="179"/>
        <v>0</v>
      </c>
      <c r="BI257" s="122">
        <f t="shared" si="180"/>
        <v>0</v>
      </c>
      <c r="BJ257" s="122">
        <f t="shared" si="181"/>
        <v>0</v>
      </c>
    </row>
    <row r="258" spans="1:62" s="174" customFormat="1" ht="12.75" hidden="1">
      <c r="A258" s="121" t="s">
        <v>707</v>
      </c>
      <c r="B258" s="121" t="s">
        <v>60</v>
      </c>
      <c r="C258" s="121" t="s">
        <v>1061</v>
      </c>
      <c r="D258" s="129" t="s">
        <v>514</v>
      </c>
      <c r="E258" s="121" t="s">
        <v>609</v>
      </c>
      <c r="F258" s="122">
        <f>'Stavební rozpočet'!F424</f>
        <v>0</v>
      </c>
      <c r="G258" s="172"/>
      <c r="H258" s="122">
        <f t="shared" si="156"/>
        <v>0</v>
      </c>
      <c r="I258" s="122">
        <f t="shared" si="157"/>
        <v>0</v>
      </c>
      <c r="J258" s="122">
        <f t="shared" si="158"/>
        <v>0</v>
      </c>
      <c r="K258" s="122">
        <f>'Stavební rozpočet'!K424</f>
        <v>0</v>
      </c>
      <c r="L258" s="122">
        <f t="shared" si="159"/>
        <v>0</v>
      </c>
      <c r="M258" s="123" t="s">
        <v>622</v>
      </c>
      <c r="Z258" s="124">
        <f t="shared" si="160"/>
        <v>0</v>
      </c>
      <c r="AB258" s="124">
        <f t="shared" si="161"/>
        <v>0</v>
      </c>
      <c r="AC258" s="124">
        <f t="shared" si="162"/>
        <v>0</v>
      </c>
      <c r="AD258" s="124">
        <f t="shared" si="163"/>
        <v>0</v>
      </c>
      <c r="AE258" s="124">
        <f t="shared" si="164"/>
        <v>0</v>
      </c>
      <c r="AF258" s="124">
        <f t="shared" si="165"/>
        <v>0</v>
      </c>
      <c r="AG258" s="124">
        <f t="shared" si="166"/>
        <v>0</v>
      </c>
      <c r="AH258" s="124">
        <f t="shared" si="167"/>
        <v>0</v>
      </c>
      <c r="AI258" s="113" t="s">
        <v>60</v>
      </c>
      <c r="AJ258" s="122">
        <f t="shared" si="168"/>
        <v>0</v>
      </c>
      <c r="AK258" s="122">
        <f t="shared" si="169"/>
        <v>0</v>
      </c>
      <c r="AL258" s="122">
        <f t="shared" si="170"/>
        <v>0</v>
      </c>
      <c r="AN258" s="124">
        <v>15</v>
      </c>
      <c r="AO258" s="124">
        <f t="shared" si="171"/>
        <v>0</v>
      </c>
      <c r="AP258" s="124">
        <f t="shared" si="172"/>
        <v>0</v>
      </c>
      <c r="AQ258" s="123" t="s">
        <v>85</v>
      </c>
      <c r="AV258" s="124">
        <f t="shared" si="173"/>
        <v>0</v>
      </c>
      <c r="AW258" s="124">
        <f t="shared" si="174"/>
        <v>0</v>
      </c>
      <c r="AX258" s="124">
        <f t="shared" si="175"/>
        <v>0</v>
      </c>
      <c r="AY258" s="125" t="s">
        <v>645</v>
      </c>
      <c r="AZ258" s="125" t="s">
        <v>1538</v>
      </c>
      <c r="BA258" s="113" t="s">
        <v>1542</v>
      </c>
      <c r="BC258" s="124">
        <f t="shared" si="176"/>
        <v>0</v>
      </c>
      <c r="BD258" s="124">
        <f t="shared" si="177"/>
        <v>0</v>
      </c>
      <c r="BE258" s="124">
        <v>0</v>
      </c>
      <c r="BF258" s="124">
        <f t="shared" si="178"/>
        <v>0</v>
      </c>
      <c r="BH258" s="122">
        <f t="shared" si="179"/>
        <v>0</v>
      </c>
      <c r="BI258" s="122">
        <f t="shared" si="180"/>
        <v>0</v>
      </c>
      <c r="BJ258" s="122">
        <f t="shared" si="181"/>
        <v>0</v>
      </c>
    </row>
    <row r="259" spans="1:62" s="174" customFormat="1" ht="12.75">
      <c r="A259" s="121" t="s">
        <v>708</v>
      </c>
      <c r="B259" s="121" t="s">
        <v>60</v>
      </c>
      <c r="C259" s="121" t="s">
        <v>1062</v>
      </c>
      <c r="D259" s="129" t="s">
        <v>1375</v>
      </c>
      <c r="E259" s="121" t="s">
        <v>609</v>
      </c>
      <c r="F259" s="122">
        <f>'Stavební rozpočet'!F425</f>
        <v>12</v>
      </c>
      <c r="G259" s="172"/>
      <c r="H259" s="122">
        <f t="shared" si="156"/>
        <v>0</v>
      </c>
      <c r="I259" s="122">
        <f t="shared" si="157"/>
        <v>0</v>
      </c>
      <c r="J259" s="122">
        <f t="shared" si="158"/>
        <v>0</v>
      </c>
      <c r="K259" s="122">
        <f>'Stavební rozpočet'!K425</f>
        <v>0</v>
      </c>
      <c r="L259" s="122">
        <f t="shared" si="159"/>
        <v>0</v>
      </c>
      <c r="M259" s="123" t="s">
        <v>622</v>
      </c>
      <c r="Z259" s="124">
        <f t="shared" si="160"/>
        <v>0</v>
      </c>
      <c r="AB259" s="124">
        <f t="shared" si="161"/>
        <v>0</v>
      </c>
      <c r="AC259" s="124">
        <f t="shared" si="162"/>
        <v>0</v>
      </c>
      <c r="AD259" s="124">
        <f t="shared" si="163"/>
        <v>0</v>
      </c>
      <c r="AE259" s="124">
        <f t="shared" si="164"/>
        <v>0</v>
      </c>
      <c r="AF259" s="124">
        <f t="shared" si="165"/>
        <v>0</v>
      </c>
      <c r="AG259" s="124">
        <f t="shared" si="166"/>
        <v>0</v>
      </c>
      <c r="AH259" s="124">
        <f t="shared" si="167"/>
        <v>0</v>
      </c>
      <c r="AI259" s="113" t="s">
        <v>60</v>
      </c>
      <c r="AJ259" s="122">
        <f t="shared" si="168"/>
        <v>0</v>
      </c>
      <c r="AK259" s="122">
        <f t="shared" si="169"/>
        <v>0</v>
      </c>
      <c r="AL259" s="122">
        <f t="shared" si="170"/>
        <v>0</v>
      </c>
      <c r="AN259" s="124">
        <v>15</v>
      </c>
      <c r="AO259" s="124">
        <f t="shared" si="171"/>
        <v>0</v>
      </c>
      <c r="AP259" s="124">
        <f t="shared" si="172"/>
        <v>0</v>
      </c>
      <c r="AQ259" s="123" t="s">
        <v>85</v>
      </c>
      <c r="AV259" s="124">
        <f t="shared" si="173"/>
        <v>0</v>
      </c>
      <c r="AW259" s="124">
        <f t="shared" si="174"/>
        <v>0</v>
      </c>
      <c r="AX259" s="124">
        <f t="shared" si="175"/>
        <v>0</v>
      </c>
      <c r="AY259" s="125" t="s">
        <v>645</v>
      </c>
      <c r="AZ259" s="125" t="s">
        <v>1538</v>
      </c>
      <c r="BA259" s="113" t="s">
        <v>1542</v>
      </c>
      <c r="BC259" s="124">
        <f t="shared" si="176"/>
        <v>0</v>
      </c>
      <c r="BD259" s="124">
        <f t="shared" si="177"/>
        <v>0</v>
      </c>
      <c r="BE259" s="124">
        <v>0</v>
      </c>
      <c r="BF259" s="124">
        <f t="shared" si="178"/>
        <v>0</v>
      </c>
      <c r="BH259" s="122">
        <f t="shared" si="179"/>
        <v>0</v>
      </c>
      <c r="BI259" s="122">
        <f t="shared" si="180"/>
        <v>0</v>
      </c>
      <c r="BJ259" s="122">
        <f t="shared" si="181"/>
        <v>0</v>
      </c>
    </row>
    <row r="260" spans="1:62" s="174" customFormat="1" ht="12.75">
      <c r="A260" s="121" t="s">
        <v>709</v>
      </c>
      <c r="B260" s="121" t="s">
        <v>60</v>
      </c>
      <c r="C260" s="121" t="s">
        <v>1063</v>
      </c>
      <c r="D260" s="129" t="s">
        <v>515</v>
      </c>
      <c r="E260" s="121" t="s">
        <v>609</v>
      </c>
      <c r="F260" s="122">
        <f>'Stavební rozpočet'!F426</f>
        <v>14.2</v>
      </c>
      <c r="G260" s="172"/>
      <c r="H260" s="122">
        <f t="shared" si="156"/>
        <v>0</v>
      </c>
      <c r="I260" s="122">
        <f t="shared" si="157"/>
        <v>0</v>
      </c>
      <c r="J260" s="122">
        <f t="shared" si="158"/>
        <v>0</v>
      </c>
      <c r="K260" s="122">
        <f>'Stavební rozpočet'!K426</f>
        <v>0</v>
      </c>
      <c r="L260" s="122">
        <f t="shared" si="159"/>
        <v>0</v>
      </c>
      <c r="M260" s="123" t="s">
        <v>622</v>
      </c>
      <c r="Z260" s="124">
        <f t="shared" si="160"/>
        <v>0</v>
      </c>
      <c r="AB260" s="124">
        <f t="shared" si="161"/>
        <v>0</v>
      </c>
      <c r="AC260" s="124">
        <f t="shared" si="162"/>
        <v>0</v>
      </c>
      <c r="AD260" s="124">
        <f t="shared" si="163"/>
        <v>0</v>
      </c>
      <c r="AE260" s="124">
        <f t="shared" si="164"/>
        <v>0</v>
      </c>
      <c r="AF260" s="124">
        <f t="shared" si="165"/>
        <v>0</v>
      </c>
      <c r="AG260" s="124">
        <f t="shared" si="166"/>
        <v>0</v>
      </c>
      <c r="AH260" s="124">
        <f t="shared" si="167"/>
        <v>0</v>
      </c>
      <c r="AI260" s="113" t="s">
        <v>60</v>
      </c>
      <c r="AJ260" s="122">
        <f t="shared" si="168"/>
        <v>0</v>
      </c>
      <c r="AK260" s="122">
        <f t="shared" si="169"/>
        <v>0</v>
      </c>
      <c r="AL260" s="122">
        <f t="shared" si="170"/>
        <v>0</v>
      </c>
      <c r="AN260" s="124">
        <v>15</v>
      </c>
      <c r="AO260" s="124">
        <f t="shared" si="171"/>
        <v>0</v>
      </c>
      <c r="AP260" s="124">
        <f t="shared" si="172"/>
        <v>0</v>
      </c>
      <c r="AQ260" s="123" t="s">
        <v>85</v>
      </c>
      <c r="AV260" s="124">
        <f t="shared" si="173"/>
        <v>0</v>
      </c>
      <c r="AW260" s="124">
        <f t="shared" si="174"/>
        <v>0</v>
      </c>
      <c r="AX260" s="124">
        <f t="shared" si="175"/>
        <v>0</v>
      </c>
      <c r="AY260" s="125" t="s">
        <v>645</v>
      </c>
      <c r="AZ260" s="125" t="s">
        <v>1538</v>
      </c>
      <c r="BA260" s="113" t="s">
        <v>1542</v>
      </c>
      <c r="BC260" s="124">
        <f t="shared" si="176"/>
        <v>0</v>
      </c>
      <c r="BD260" s="124">
        <f t="shared" si="177"/>
        <v>0</v>
      </c>
      <c r="BE260" s="124">
        <v>0</v>
      </c>
      <c r="BF260" s="124">
        <f t="shared" si="178"/>
        <v>0</v>
      </c>
      <c r="BH260" s="122">
        <f t="shared" si="179"/>
        <v>0</v>
      </c>
      <c r="BI260" s="122">
        <f t="shared" si="180"/>
        <v>0</v>
      </c>
      <c r="BJ260" s="122">
        <f t="shared" si="181"/>
        <v>0</v>
      </c>
    </row>
    <row r="261" spans="1:62" s="174" customFormat="1" ht="12.75">
      <c r="A261" s="121" t="s">
        <v>710</v>
      </c>
      <c r="B261" s="121" t="s">
        <v>60</v>
      </c>
      <c r="C261" s="121" t="s">
        <v>1064</v>
      </c>
      <c r="D261" s="129" t="s">
        <v>516</v>
      </c>
      <c r="E261" s="121" t="s">
        <v>609</v>
      </c>
      <c r="F261" s="122">
        <f>'Stavební rozpočet'!F427</f>
        <v>105.9</v>
      </c>
      <c r="G261" s="172"/>
      <c r="H261" s="122">
        <f t="shared" si="156"/>
        <v>0</v>
      </c>
      <c r="I261" s="122">
        <f t="shared" si="157"/>
        <v>0</v>
      </c>
      <c r="J261" s="122">
        <f t="shared" si="158"/>
        <v>0</v>
      </c>
      <c r="K261" s="122">
        <f>'Stavební rozpočet'!K427</f>
        <v>0</v>
      </c>
      <c r="L261" s="122">
        <f t="shared" si="159"/>
        <v>0</v>
      </c>
      <c r="M261" s="123" t="s">
        <v>622</v>
      </c>
      <c r="Z261" s="124">
        <f t="shared" si="160"/>
        <v>0</v>
      </c>
      <c r="AB261" s="124">
        <f t="shared" si="161"/>
        <v>0</v>
      </c>
      <c r="AC261" s="124">
        <f t="shared" si="162"/>
        <v>0</v>
      </c>
      <c r="AD261" s="124">
        <f t="shared" si="163"/>
        <v>0</v>
      </c>
      <c r="AE261" s="124">
        <f t="shared" si="164"/>
        <v>0</v>
      </c>
      <c r="AF261" s="124">
        <f t="shared" si="165"/>
        <v>0</v>
      </c>
      <c r="AG261" s="124">
        <f t="shared" si="166"/>
        <v>0</v>
      </c>
      <c r="AH261" s="124">
        <f t="shared" si="167"/>
        <v>0</v>
      </c>
      <c r="AI261" s="113" t="s">
        <v>60</v>
      </c>
      <c r="AJ261" s="122">
        <f t="shared" si="168"/>
        <v>0</v>
      </c>
      <c r="AK261" s="122">
        <f t="shared" si="169"/>
        <v>0</v>
      </c>
      <c r="AL261" s="122">
        <f t="shared" si="170"/>
        <v>0</v>
      </c>
      <c r="AN261" s="124">
        <v>15</v>
      </c>
      <c r="AO261" s="124">
        <f t="shared" si="171"/>
        <v>0</v>
      </c>
      <c r="AP261" s="124">
        <f t="shared" si="172"/>
        <v>0</v>
      </c>
      <c r="AQ261" s="123" t="s">
        <v>85</v>
      </c>
      <c r="AV261" s="124">
        <f t="shared" si="173"/>
        <v>0</v>
      </c>
      <c r="AW261" s="124">
        <f t="shared" si="174"/>
        <v>0</v>
      </c>
      <c r="AX261" s="124">
        <f t="shared" si="175"/>
        <v>0</v>
      </c>
      <c r="AY261" s="125" t="s">
        <v>645</v>
      </c>
      <c r="AZ261" s="125" t="s">
        <v>1538</v>
      </c>
      <c r="BA261" s="113" t="s">
        <v>1542</v>
      </c>
      <c r="BC261" s="124">
        <f t="shared" si="176"/>
        <v>0</v>
      </c>
      <c r="BD261" s="124">
        <f t="shared" si="177"/>
        <v>0</v>
      </c>
      <c r="BE261" s="124">
        <v>0</v>
      </c>
      <c r="BF261" s="124">
        <f t="shared" si="178"/>
        <v>0</v>
      </c>
      <c r="BH261" s="122">
        <f t="shared" si="179"/>
        <v>0</v>
      </c>
      <c r="BI261" s="122">
        <f t="shared" si="180"/>
        <v>0</v>
      </c>
      <c r="BJ261" s="122">
        <f t="shared" si="181"/>
        <v>0</v>
      </c>
    </row>
    <row r="262" spans="1:62" s="174" customFormat="1" ht="12.75">
      <c r="A262" s="121" t="s">
        <v>711</v>
      </c>
      <c r="B262" s="121" t="s">
        <v>60</v>
      </c>
      <c r="C262" s="121" t="s">
        <v>1065</v>
      </c>
      <c r="D262" s="129" t="s">
        <v>1376</v>
      </c>
      <c r="E262" s="121" t="s">
        <v>609</v>
      </c>
      <c r="F262" s="122">
        <f>'Stavební rozpočet'!F428</f>
        <v>33.6</v>
      </c>
      <c r="G262" s="172"/>
      <c r="H262" s="122">
        <f t="shared" si="156"/>
        <v>0</v>
      </c>
      <c r="I262" s="122">
        <f t="shared" si="157"/>
        <v>0</v>
      </c>
      <c r="J262" s="122">
        <f t="shared" si="158"/>
        <v>0</v>
      </c>
      <c r="K262" s="122">
        <f>'Stavební rozpočet'!K428</f>
        <v>0</v>
      </c>
      <c r="L262" s="122">
        <f t="shared" si="159"/>
        <v>0</v>
      </c>
      <c r="M262" s="123" t="s">
        <v>622</v>
      </c>
      <c r="Z262" s="124">
        <f t="shared" si="160"/>
        <v>0</v>
      </c>
      <c r="AB262" s="124">
        <f t="shared" si="161"/>
        <v>0</v>
      </c>
      <c r="AC262" s="124">
        <f t="shared" si="162"/>
        <v>0</v>
      </c>
      <c r="AD262" s="124">
        <f t="shared" si="163"/>
        <v>0</v>
      </c>
      <c r="AE262" s="124">
        <f t="shared" si="164"/>
        <v>0</v>
      </c>
      <c r="AF262" s="124">
        <f t="shared" si="165"/>
        <v>0</v>
      </c>
      <c r="AG262" s="124">
        <f t="shared" si="166"/>
        <v>0</v>
      </c>
      <c r="AH262" s="124">
        <f t="shared" si="167"/>
        <v>0</v>
      </c>
      <c r="AI262" s="113" t="s">
        <v>60</v>
      </c>
      <c r="AJ262" s="122">
        <f t="shared" si="168"/>
        <v>0</v>
      </c>
      <c r="AK262" s="122">
        <f t="shared" si="169"/>
        <v>0</v>
      </c>
      <c r="AL262" s="122">
        <f t="shared" si="170"/>
        <v>0</v>
      </c>
      <c r="AN262" s="124">
        <v>15</v>
      </c>
      <c r="AO262" s="124">
        <f t="shared" si="171"/>
        <v>0</v>
      </c>
      <c r="AP262" s="124">
        <f t="shared" si="172"/>
        <v>0</v>
      </c>
      <c r="AQ262" s="123" t="s">
        <v>85</v>
      </c>
      <c r="AV262" s="124">
        <f t="shared" si="173"/>
        <v>0</v>
      </c>
      <c r="AW262" s="124">
        <f t="shared" si="174"/>
        <v>0</v>
      </c>
      <c r="AX262" s="124">
        <f t="shared" si="175"/>
        <v>0</v>
      </c>
      <c r="AY262" s="125" t="s">
        <v>645</v>
      </c>
      <c r="AZ262" s="125" t="s">
        <v>1538</v>
      </c>
      <c r="BA262" s="113" t="s">
        <v>1542</v>
      </c>
      <c r="BC262" s="124">
        <f t="shared" si="176"/>
        <v>0</v>
      </c>
      <c r="BD262" s="124">
        <f t="shared" si="177"/>
        <v>0</v>
      </c>
      <c r="BE262" s="124">
        <v>0</v>
      </c>
      <c r="BF262" s="124">
        <f t="shared" si="178"/>
        <v>0</v>
      </c>
      <c r="BH262" s="122">
        <f t="shared" si="179"/>
        <v>0</v>
      </c>
      <c r="BI262" s="122">
        <f t="shared" si="180"/>
        <v>0</v>
      </c>
      <c r="BJ262" s="122">
        <f t="shared" si="181"/>
        <v>0</v>
      </c>
    </row>
    <row r="263" spans="1:62" s="174" customFormat="1" ht="12.75">
      <c r="A263" s="121" t="s">
        <v>712</v>
      </c>
      <c r="B263" s="121" t="s">
        <v>60</v>
      </c>
      <c r="C263" s="121" t="s">
        <v>1066</v>
      </c>
      <c r="D263" s="129" t="s">
        <v>1377</v>
      </c>
      <c r="E263" s="121" t="s">
        <v>609</v>
      </c>
      <c r="F263" s="122">
        <f>'Stavební rozpočet'!F429</f>
        <v>14.7</v>
      </c>
      <c r="G263" s="172"/>
      <c r="H263" s="122">
        <f t="shared" si="156"/>
        <v>0</v>
      </c>
      <c r="I263" s="122">
        <f t="shared" si="157"/>
        <v>0</v>
      </c>
      <c r="J263" s="122">
        <f t="shared" si="158"/>
        <v>0</v>
      </c>
      <c r="K263" s="122">
        <f>'Stavební rozpočet'!K429</f>
        <v>0</v>
      </c>
      <c r="L263" s="122">
        <f t="shared" si="159"/>
        <v>0</v>
      </c>
      <c r="M263" s="123" t="s">
        <v>622</v>
      </c>
      <c r="Z263" s="124">
        <f t="shared" si="160"/>
        <v>0</v>
      </c>
      <c r="AB263" s="124">
        <f t="shared" si="161"/>
        <v>0</v>
      </c>
      <c r="AC263" s="124">
        <f t="shared" si="162"/>
        <v>0</v>
      </c>
      <c r="AD263" s="124">
        <f t="shared" si="163"/>
        <v>0</v>
      </c>
      <c r="AE263" s="124">
        <f t="shared" si="164"/>
        <v>0</v>
      </c>
      <c r="AF263" s="124">
        <f t="shared" si="165"/>
        <v>0</v>
      </c>
      <c r="AG263" s="124">
        <f t="shared" si="166"/>
        <v>0</v>
      </c>
      <c r="AH263" s="124">
        <f t="shared" si="167"/>
        <v>0</v>
      </c>
      <c r="AI263" s="113" t="s">
        <v>60</v>
      </c>
      <c r="AJ263" s="122">
        <f t="shared" si="168"/>
        <v>0</v>
      </c>
      <c r="AK263" s="122">
        <f t="shared" si="169"/>
        <v>0</v>
      </c>
      <c r="AL263" s="122">
        <f t="shared" si="170"/>
        <v>0</v>
      </c>
      <c r="AN263" s="124">
        <v>15</v>
      </c>
      <c r="AO263" s="124">
        <f t="shared" si="171"/>
        <v>0</v>
      </c>
      <c r="AP263" s="124">
        <f t="shared" si="172"/>
        <v>0</v>
      </c>
      <c r="AQ263" s="123" t="s">
        <v>85</v>
      </c>
      <c r="AV263" s="124">
        <f t="shared" si="173"/>
        <v>0</v>
      </c>
      <c r="AW263" s="124">
        <f t="shared" si="174"/>
        <v>0</v>
      </c>
      <c r="AX263" s="124">
        <f t="shared" si="175"/>
        <v>0</v>
      </c>
      <c r="AY263" s="125" t="s">
        <v>645</v>
      </c>
      <c r="AZ263" s="125" t="s">
        <v>1538</v>
      </c>
      <c r="BA263" s="113" t="s">
        <v>1542</v>
      </c>
      <c r="BC263" s="124">
        <f t="shared" si="176"/>
        <v>0</v>
      </c>
      <c r="BD263" s="124">
        <f t="shared" si="177"/>
        <v>0</v>
      </c>
      <c r="BE263" s="124">
        <v>0</v>
      </c>
      <c r="BF263" s="124">
        <f t="shared" si="178"/>
        <v>0</v>
      </c>
      <c r="BH263" s="122">
        <f t="shared" si="179"/>
        <v>0</v>
      </c>
      <c r="BI263" s="122">
        <f t="shared" si="180"/>
        <v>0</v>
      </c>
      <c r="BJ263" s="122">
        <f t="shared" si="181"/>
        <v>0</v>
      </c>
    </row>
    <row r="264" spans="1:62" s="174" customFormat="1" ht="12.75">
      <c r="A264" s="121" t="s">
        <v>713</v>
      </c>
      <c r="B264" s="121" t="s">
        <v>60</v>
      </c>
      <c r="C264" s="121" t="s">
        <v>1067</v>
      </c>
      <c r="D264" s="129" t="s">
        <v>1378</v>
      </c>
      <c r="E264" s="121" t="s">
        <v>609</v>
      </c>
      <c r="F264" s="122">
        <f>'Stavební rozpočet'!F430</f>
        <v>24.1</v>
      </c>
      <c r="G264" s="172"/>
      <c r="H264" s="122">
        <f t="shared" si="156"/>
        <v>0</v>
      </c>
      <c r="I264" s="122">
        <f t="shared" si="157"/>
        <v>0</v>
      </c>
      <c r="J264" s="122">
        <f t="shared" si="158"/>
        <v>0</v>
      </c>
      <c r="K264" s="122">
        <f>'Stavební rozpočet'!K430</f>
        <v>0</v>
      </c>
      <c r="L264" s="122">
        <f t="shared" si="159"/>
        <v>0</v>
      </c>
      <c r="M264" s="123" t="s">
        <v>622</v>
      </c>
      <c r="Z264" s="124">
        <f t="shared" si="160"/>
        <v>0</v>
      </c>
      <c r="AB264" s="124">
        <f t="shared" si="161"/>
        <v>0</v>
      </c>
      <c r="AC264" s="124">
        <f t="shared" si="162"/>
        <v>0</v>
      </c>
      <c r="AD264" s="124">
        <f t="shared" si="163"/>
        <v>0</v>
      </c>
      <c r="AE264" s="124">
        <f t="shared" si="164"/>
        <v>0</v>
      </c>
      <c r="AF264" s="124">
        <f t="shared" si="165"/>
        <v>0</v>
      </c>
      <c r="AG264" s="124">
        <f t="shared" si="166"/>
        <v>0</v>
      </c>
      <c r="AH264" s="124">
        <f t="shared" si="167"/>
        <v>0</v>
      </c>
      <c r="AI264" s="113" t="s">
        <v>60</v>
      </c>
      <c r="AJ264" s="122">
        <f t="shared" si="168"/>
        <v>0</v>
      </c>
      <c r="AK264" s="122">
        <f t="shared" si="169"/>
        <v>0</v>
      </c>
      <c r="AL264" s="122">
        <f t="shared" si="170"/>
        <v>0</v>
      </c>
      <c r="AN264" s="124">
        <v>15</v>
      </c>
      <c r="AO264" s="124">
        <f t="shared" si="171"/>
        <v>0</v>
      </c>
      <c r="AP264" s="124">
        <f t="shared" si="172"/>
        <v>0</v>
      </c>
      <c r="AQ264" s="123" t="s">
        <v>85</v>
      </c>
      <c r="AV264" s="124">
        <f t="shared" si="173"/>
        <v>0</v>
      </c>
      <c r="AW264" s="124">
        <f t="shared" si="174"/>
        <v>0</v>
      </c>
      <c r="AX264" s="124">
        <f t="shared" si="175"/>
        <v>0</v>
      </c>
      <c r="AY264" s="125" t="s">
        <v>645</v>
      </c>
      <c r="AZ264" s="125" t="s">
        <v>1538</v>
      </c>
      <c r="BA264" s="113" t="s">
        <v>1542</v>
      </c>
      <c r="BC264" s="124">
        <f t="shared" si="176"/>
        <v>0</v>
      </c>
      <c r="BD264" s="124">
        <f t="shared" si="177"/>
        <v>0</v>
      </c>
      <c r="BE264" s="124">
        <v>0</v>
      </c>
      <c r="BF264" s="124">
        <f t="shared" si="178"/>
        <v>0</v>
      </c>
      <c r="BH264" s="122">
        <f t="shared" si="179"/>
        <v>0</v>
      </c>
      <c r="BI264" s="122">
        <f t="shared" si="180"/>
        <v>0</v>
      </c>
      <c r="BJ264" s="122">
        <f t="shared" si="181"/>
        <v>0</v>
      </c>
    </row>
    <row r="265" spans="1:62" s="174" customFormat="1" ht="12.75">
      <c r="A265" s="121" t="s">
        <v>714</v>
      </c>
      <c r="B265" s="121" t="s">
        <v>60</v>
      </c>
      <c r="C265" s="121" t="s">
        <v>324</v>
      </c>
      <c r="D265" s="129" t="s">
        <v>1379</v>
      </c>
      <c r="E265" s="121" t="s">
        <v>606</v>
      </c>
      <c r="F265" s="122">
        <f>'Stavební rozpočet'!F431</f>
        <v>2</v>
      </c>
      <c r="G265" s="172"/>
      <c r="H265" s="122">
        <f t="shared" si="156"/>
        <v>0</v>
      </c>
      <c r="I265" s="122">
        <f t="shared" si="157"/>
        <v>0</v>
      </c>
      <c r="J265" s="122">
        <f t="shared" si="158"/>
        <v>0</v>
      </c>
      <c r="K265" s="122">
        <f>'Stavební rozpočet'!K431</f>
        <v>0</v>
      </c>
      <c r="L265" s="122">
        <f t="shared" si="159"/>
        <v>0</v>
      </c>
      <c r="M265" s="123" t="s">
        <v>622</v>
      </c>
      <c r="Z265" s="124">
        <f t="shared" si="160"/>
        <v>0</v>
      </c>
      <c r="AB265" s="124">
        <f t="shared" si="161"/>
        <v>0</v>
      </c>
      <c r="AC265" s="124">
        <f t="shared" si="162"/>
        <v>0</v>
      </c>
      <c r="AD265" s="124">
        <f t="shared" si="163"/>
        <v>0</v>
      </c>
      <c r="AE265" s="124">
        <f t="shared" si="164"/>
        <v>0</v>
      </c>
      <c r="AF265" s="124">
        <f t="shared" si="165"/>
        <v>0</v>
      </c>
      <c r="AG265" s="124">
        <f t="shared" si="166"/>
        <v>0</v>
      </c>
      <c r="AH265" s="124">
        <f t="shared" si="167"/>
        <v>0</v>
      </c>
      <c r="AI265" s="113" t="s">
        <v>60</v>
      </c>
      <c r="AJ265" s="122">
        <f t="shared" si="168"/>
        <v>0</v>
      </c>
      <c r="AK265" s="122">
        <f t="shared" si="169"/>
        <v>0</v>
      </c>
      <c r="AL265" s="122">
        <f t="shared" si="170"/>
        <v>0</v>
      </c>
      <c r="AN265" s="124">
        <v>15</v>
      </c>
      <c r="AO265" s="124">
        <f t="shared" si="171"/>
        <v>0</v>
      </c>
      <c r="AP265" s="124">
        <f t="shared" si="172"/>
        <v>0</v>
      </c>
      <c r="AQ265" s="123" t="s">
        <v>85</v>
      </c>
      <c r="AV265" s="124">
        <f t="shared" si="173"/>
        <v>0</v>
      </c>
      <c r="AW265" s="124">
        <f t="shared" si="174"/>
        <v>0</v>
      </c>
      <c r="AX265" s="124">
        <f t="shared" si="175"/>
        <v>0</v>
      </c>
      <c r="AY265" s="125" t="s">
        <v>645</v>
      </c>
      <c r="AZ265" s="125" t="s">
        <v>1538</v>
      </c>
      <c r="BA265" s="113" t="s">
        <v>1542</v>
      </c>
      <c r="BC265" s="124">
        <f t="shared" si="176"/>
        <v>0</v>
      </c>
      <c r="BD265" s="124">
        <f t="shared" si="177"/>
        <v>0</v>
      </c>
      <c r="BE265" s="124">
        <v>0</v>
      </c>
      <c r="BF265" s="124">
        <f t="shared" si="178"/>
        <v>0</v>
      </c>
      <c r="BH265" s="122">
        <f t="shared" si="179"/>
        <v>0</v>
      </c>
      <c r="BI265" s="122">
        <f t="shared" si="180"/>
        <v>0</v>
      </c>
      <c r="BJ265" s="122">
        <f t="shared" si="181"/>
        <v>0</v>
      </c>
    </row>
    <row r="266" spans="1:62" s="174" customFormat="1" ht="12.75" hidden="1">
      <c r="A266" s="121" t="s">
        <v>715</v>
      </c>
      <c r="B266" s="121" t="s">
        <v>60</v>
      </c>
      <c r="C266" s="121" t="s">
        <v>325</v>
      </c>
      <c r="D266" s="129" t="s">
        <v>1380</v>
      </c>
      <c r="E266" s="121" t="s">
        <v>606</v>
      </c>
      <c r="F266" s="122">
        <f>'Stavební rozpočet'!F432</f>
        <v>0</v>
      </c>
      <c r="G266" s="172"/>
      <c r="H266" s="122">
        <f t="shared" si="156"/>
        <v>0</v>
      </c>
      <c r="I266" s="122">
        <f t="shared" si="157"/>
        <v>0</v>
      </c>
      <c r="J266" s="122">
        <f t="shared" si="158"/>
        <v>0</v>
      </c>
      <c r="K266" s="122">
        <f>'Stavební rozpočet'!K432</f>
        <v>0</v>
      </c>
      <c r="L266" s="122">
        <f t="shared" si="159"/>
        <v>0</v>
      </c>
      <c r="M266" s="123" t="s">
        <v>622</v>
      </c>
      <c r="Z266" s="124">
        <f t="shared" si="160"/>
        <v>0</v>
      </c>
      <c r="AB266" s="124">
        <f t="shared" si="161"/>
        <v>0</v>
      </c>
      <c r="AC266" s="124">
        <f t="shared" si="162"/>
        <v>0</v>
      </c>
      <c r="AD266" s="124">
        <f t="shared" si="163"/>
        <v>0</v>
      </c>
      <c r="AE266" s="124">
        <f t="shared" si="164"/>
        <v>0</v>
      </c>
      <c r="AF266" s="124">
        <f t="shared" si="165"/>
        <v>0</v>
      </c>
      <c r="AG266" s="124">
        <f t="shared" si="166"/>
        <v>0</v>
      </c>
      <c r="AH266" s="124">
        <f t="shared" si="167"/>
        <v>0</v>
      </c>
      <c r="AI266" s="113" t="s">
        <v>60</v>
      </c>
      <c r="AJ266" s="122">
        <f t="shared" si="168"/>
        <v>0</v>
      </c>
      <c r="AK266" s="122">
        <f t="shared" si="169"/>
        <v>0</v>
      </c>
      <c r="AL266" s="122">
        <f t="shared" si="170"/>
        <v>0</v>
      </c>
      <c r="AN266" s="124">
        <v>15</v>
      </c>
      <c r="AO266" s="124">
        <f t="shared" si="171"/>
        <v>0</v>
      </c>
      <c r="AP266" s="124">
        <f t="shared" si="172"/>
        <v>0</v>
      </c>
      <c r="AQ266" s="123" t="s">
        <v>85</v>
      </c>
      <c r="AV266" s="124">
        <f t="shared" si="173"/>
        <v>0</v>
      </c>
      <c r="AW266" s="124">
        <f t="shared" si="174"/>
        <v>0</v>
      </c>
      <c r="AX266" s="124">
        <f t="shared" si="175"/>
        <v>0</v>
      </c>
      <c r="AY266" s="125" t="s">
        <v>645</v>
      </c>
      <c r="AZ266" s="125" t="s">
        <v>1538</v>
      </c>
      <c r="BA266" s="113" t="s">
        <v>1542</v>
      </c>
      <c r="BC266" s="124">
        <f t="shared" si="176"/>
        <v>0</v>
      </c>
      <c r="BD266" s="124">
        <f t="shared" si="177"/>
        <v>0</v>
      </c>
      <c r="BE266" s="124">
        <v>0</v>
      </c>
      <c r="BF266" s="124">
        <f t="shared" si="178"/>
        <v>0</v>
      </c>
      <c r="BH266" s="122">
        <f t="shared" si="179"/>
        <v>0</v>
      </c>
      <c r="BI266" s="122">
        <f t="shared" si="180"/>
        <v>0</v>
      </c>
      <c r="BJ266" s="122">
        <f t="shared" si="181"/>
        <v>0</v>
      </c>
    </row>
    <row r="267" spans="1:62" s="174" customFormat="1" ht="12.75" hidden="1">
      <c r="A267" s="121" t="s">
        <v>716</v>
      </c>
      <c r="B267" s="121" t="s">
        <v>60</v>
      </c>
      <c r="C267" s="121" t="s">
        <v>326</v>
      </c>
      <c r="D267" s="129" t="s">
        <v>1381</v>
      </c>
      <c r="E267" s="121" t="s">
        <v>606</v>
      </c>
      <c r="F267" s="122">
        <f>'Stavební rozpočet'!F433</f>
        <v>0</v>
      </c>
      <c r="G267" s="172"/>
      <c r="H267" s="122">
        <f t="shared" si="156"/>
        <v>0</v>
      </c>
      <c r="I267" s="122">
        <f t="shared" si="157"/>
        <v>0</v>
      </c>
      <c r="J267" s="122">
        <f t="shared" si="158"/>
        <v>0</v>
      </c>
      <c r="K267" s="122">
        <f>'Stavební rozpočet'!K433</f>
        <v>0</v>
      </c>
      <c r="L267" s="122">
        <f t="shared" si="159"/>
        <v>0</v>
      </c>
      <c r="M267" s="123" t="s">
        <v>622</v>
      </c>
      <c r="Z267" s="124">
        <f t="shared" si="160"/>
        <v>0</v>
      </c>
      <c r="AB267" s="124">
        <f t="shared" si="161"/>
        <v>0</v>
      </c>
      <c r="AC267" s="124">
        <f t="shared" si="162"/>
        <v>0</v>
      </c>
      <c r="AD267" s="124">
        <f t="shared" si="163"/>
        <v>0</v>
      </c>
      <c r="AE267" s="124">
        <f t="shared" si="164"/>
        <v>0</v>
      </c>
      <c r="AF267" s="124">
        <f t="shared" si="165"/>
        <v>0</v>
      </c>
      <c r="AG267" s="124">
        <f t="shared" si="166"/>
        <v>0</v>
      </c>
      <c r="AH267" s="124">
        <f t="shared" si="167"/>
        <v>0</v>
      </c>
      <c r="AI267" s="113" t="s">
        <v>60</v>
      </c>
      <c r="AJ267" s="122">
        <f t="shared" si="168"/>
        <v>0</v>
      </c>
      <c r="AK267" s="122">
        <f t="shared" si="169"/>
        <v>0</v>
      </c>
      <c r="AL267" s="122">
        <f t="shared" si="170"/>
        <v>0</v>
      </c>
      <c r="AN267" s="124">
        <v>15</v>
      </c>
      <c r="AO267" s="124">
        <f t="shared" si="171"/>
        <v>0</v>
      </c>
      <c r="AP267" s="124">
        <f t="shared" si="172"/>
        <v>0</v>
      </c>
      <c r="AQ267" s="123" t="s">
        <v>85</v>
      </c>
      <c r="AV267" s="124">
        <f t="shared" si="173"/>
        <v>0</v>
      </c>
      <c r="AW267" s="124">
        <f t="shared" si="174"/>
        <v>0</v>
      </c>
      <c r="AX267" s="124">
        <f t="shared" si="175"/>
        <v>0</v>
      </c>
      <c r="AY267" s="125" t="s">
        <v>645</v>
      </c>
      <c r="AZ267" s="125" t="s">
        <v>1538</v>
      </c>
      <c r="BA267" s="113" t="s">
        <v>1542</v>
      </c>
      <c r="BC267" s="124">
        <f t="shared" si="176"/>
        <v>0</v>
      </c>
      <c r="BD267" s="124">
        <f t="shared" si="177"/>
        <v>0</v>
      </c>
      <c r="BE267" s="124">
        <v>0</v>
      </c>
      <c r="BF267" s="124">
        <f t="shared" si="178"/>
        <v>0</v>
      </c>
      <c r="BH267" s="122">
        <f t="shared" si="179"/>
        <v>0</v>
      </c>
      <c r="BI267" s="122">
        <f t="shared" si="180"/>
        <v>0</v>
      </c>
      <c r="BJ267" s="122">
        <f t="shared" si="181"/>
        <v>0</v>
      </c>
    </row>
    <row r="268" spans="1:62" s="174" customFormat="1" ht="12.75">
      <c r="A268" s="121" t="s">
        <v>717</v>
      </c>
      <c r="B268" s="121" t="s">
        <v>60</v>
      </c>
      <c r="C268" s="121" t="s">
        <v>327</v>
      </c>
      <c r="D268" s="129" t="s">
        <v>1382</v>
      </c>
      <c r="E268" s="121" t="s">
        <v>606</v>
      </c>
      <c r="F268" s="122">
        <f>'Stavební rozpočet'!F434</f>
        <v>1</v>
      </c>
      <c r="G268" s="172"/>
      <c r="H268" s="122">
        <f t="shared" si="156"/>
        <v>0</v>
      </c>
      <c r="I268" s="122">
        <f t="shared" si="157"/>
        <v>0</v>
      </c>
      <c r="J268" s="122">
        <f t="shared" si="158"/>
        <v>0</v>
      </c>
      <c r="K268" s="122">
        <f>'Stavební rozpočet'!K434</f>
        <v>0</v>
      </c>
      <c r="L268" s="122">
        <f t="shared" si="159"/>
        <v>0</v>
      </c>
      <c r="M268" s="123" t="s">
        <v>622</v>
      </c>
      <c r="Z268" s="124">
        <f t="shared" si="160"/>
        <v>0</v>
      </c>
      <c r="AB268" s="124">
        <f t="shared" si="161"/>
        <v>0</v>
      </c>
      <c r="AC268" s="124">
        <f t="shared" si="162"/>
        <v>0</v>
      </c>
      <c r="AD268" s="124">
        <f t="shared" si="163"/>
        <v>0</v>
      </c>
      <c r="AE268" s="124">
        <f t="shared" si="164"/>
        <v>0</v>
      </c>
      <c r="AF268" s="124">
        <f t="shared" si="165"/>
        <v>0</v>
      </c>
      <c r="AG268" s="124">
        <f t="shared" si="166"/>
        <v>0</v>
      </c>
      <c r="AH268" s="124">
        <f t="shared" si="167"/>
        <v>0</v>
      </c>
      <c r="AI268" s="113" t="s">
        <v>60</v>
      </c>
      <c r="AJ268" s="122">
        <f t="shared" si="168"/>
        <v>0</v>
      </c>
      <c r="AK268" s="122">
        <f t="shared" si="169"/>
        <v>0</v>
      </c>
      <c r="AL268" s="122">
        <f t="shared" si="170"/>
        <v>0</v>
      </c>
      <c r="AN268" s="124">
        <v>15</v>
      </c>
      <c r="AO268" s="124">
        <f t="shared" si="171"/>
        <v>0</v>
      </c>
      <c r="AP268" s="124">
        <f t="shared" si="172"/>
        <v>0</v>
      </c>
      <c r="AQ268" s="123" t="s">
        <v>85</v>
      </c>
      <c r="AV268" s="124">
        <f t="shared" si="173"/>
        <v>0</v>
      </c>
      <c r="AW268" s="124">
        <f t="shared" si="174"/>
        <v>0</v>
      </c>
      <c r="AX268" s="124">
        <f t="shared" si="175"/>
        <v>0</v>
      </c>
      <c r="AY268" s="125" t="s">
        <v>645</v>
      </c>
      <c r="AZ268" s="125" t="s">
        <v>1538</v>
      </c>
      <c r="BA268" s="113" t="s">
        <v>1542</v>
      </c>
      <c r="BC268" s="124">
        <f t="shared" si="176"/>
        <v>0</v>
      </c>
      <c r="BD268" s="124">
        <f t="shared" si="177"/>
        <v>0</v>
      </c>
      <c r="BE268" s="124">
        <v>0</v>
      </c>
      <c r="BF268" s="124">
        <f t="shared" si="178"/>
        <v>0</v>
      </c>
      <c r="BH268" s="122">
        <f t="shared" si="179"/>
        <v>0</v>
      </c>
      <c r="BI268" s="122">
        <f t="shared" si="180"/>
        <v>0</v>
      </c>
      <c r="BJ268" s="122">
        <f t="shared" si="181"/>
        <v>0</v>
      </c>
    </row>
    <row r="269" spans="1:62" s="174" customFormat="1" ht="12.75">
      <c r="A269" s="121" t="s">
        <v>718</v>
      </c>
      <c r="B269" s="121" t="s">
        <v>60</v>
      </c>
      <c r="C269" s="121" t="s">
        <v>1068</v>
      </c>
      <c r="D269" s="129" t="s">
        <v>1383</v>
      </c>
      <c r="E269" s="121" t="s">
        <v>606</v>
      </c>
      <c r="F269" s="122">
        <f>'Stavební rozpočet'!F435</f>
        <v>1</v>
      </c>
      <c r="G269" s="172"/>
      <c r="H269" s="122">
        <f t="shared" si="156"/>
        <v>0</v>
      </c>
      <c r="I269" s="122">
        <f t="shared" si="157"/>
        <v>0</v>
      </c>
      <c r="J269" s="122">
        <f t="shared" si="158"/>
        <v>0</v>
      </c>
      <c r="K269" s="122">
        <f>'Stavební rozpočet'!K435</f>
        <v>0</v>
      </c>
      <c r="L269" s="122">
        <f t="shared" si="159"/>
        <v>0</v>
      </c>
      <c r="M269" s="123" t="s">
        <v>622</v>
      </c>
      <c r="Z269" s="124">
        <f t="shared" si="160"/>
        <v>0</v>
      </c>
      <c r="AB269" s="124">
        <f t="shared" si="161"/>
        <v>0</v>
      </c>
      <c r="AC269" s="124">
        <f t="shared" si="162"/>
        <v>0</v>
      </c>
      <c r="AD269" s="124">
        <f t="shared" si="163"/>
        <v>0</v>
      </c>
      <c r="AE269" s="124">
        <f t="shared" si="164"/>
        <v>0</v>
      </c>
      <c r="AF269" s="124">
        <f t="shared" si="165"/>
        <v>0</v>
      </c>
      <c r="AG269" s="124">
        <f t="shared" si="166"/>
        <v>0</v>
      </c>
      <c r="AH269" s="124">
        <f t="shared" si="167"/>
        <v>0</v>
      </c>
      <c r="AI269" s="113" t="s">
        <v>60</v>
      </c>
      <c r="AJ269" s="122">
        <f t="shared" si="168"/>
        <v>0</v>
      </c>
      <c r="AK269" s="122">
        <f t="shared" si="169"/>
        <v>0</v>
      </c>
      <c r="AL269" s="122">
        <f t="shared" si="170"/>
        <v>0</v>
      </c>
      <c r="AN269" s="124">
        <v>15</v>
      </c>
      <c r="AO269" s="124">
        <f t="shared" si="171"/>
        <v>0</v>
      </c>
      <c r="AP269" s="124">
        <f t="shared" si="172"/>
        <v>0</v>
      </c>
      <c r="AQ269" s="123" t="s">
        <v>85</v>
      </c>
      <c r="AV269" s="124">
        <f t="shared" si="173"/>
        <v>0</v>
      </c>
      <c r="AW269" s="124">
        <f t="shared" si="174"/>
        <v>0</v>
      </c>
      <c r="AX269" s="124">
        <f t="shared" si="175"/>
        <v>0</v>
      </c>
      <c r="AY269" s="125" t="s">
        <v>645</v>
      </c>
      <c r="AZ269" s="125" t="s">
        <v>1538</v>
      </c>
      <c r="BA269" s="113" t="s">
        <v>1542</v>
      </c>
      <c r="BC269" s="124">
        <f t="shared" si="176"/>
        <v>0</v>
      </c>
      <c r="BD269" s="124">
        <f t="shared" si="177"/>
        <v>0</v>
      </c>
      <c r="BE269" s="124">
        <v>0</v>
      </c>
      <c r="BF269" s="124">
        <f t="shared" si="178"/>
        <v>0</v>
      </c>
      <c r="BH269" s="122">
        <f t="shared" si="179"/>
        <v>0</v>
      </c>
      <c r="BI269" s="122">
        <f t="shared" si="180"/>
        <v>0</v>
      </c>
      <c r="BJ269" s="122">
        <f t="shared" si="181"/>
        <v>0</v>
      </c>
    </row>
    <row r="270" spans="1:62" s="174" customFormat="1" ht="12.75" hidden="1">
      <c r="A270" s="121" t="s">
        <v>719</v>
      </c>
      <c r="B270" s="121" t="s">
        <v>60</v>
      </c>
      <c r="C270" s="121" t="s">
        <v>1069</v>
      </c>
      <c r="D270" s="129" t="s">
        <v>1384</v>
      </c>
      <c r="E270" s="121" t="s">
        <v>606</v>
      </c>
      <c r="F270" s="122">
        <f>'Stavební rozpočet'!F436</f>
        <v>0</v>
      </c>
      <c r="G270" s="172"/>
      <c r="H270" s="122">
        <f t="shared" si="156"/>
        <v>0</v>
      </c>
      <c r="I270" s="122">
        <f t="shared" si="157"/>
        <v>0</v>
      </c>
      <c r="J270" s="122">
        <f t="shared" si="158"/>
        <v>0</v>
      </c>
      <c r="K270" s="122">
        <f>'Stavební rozpočet'!K436</f>
        <v>0</v>
      </c>
      <c r="L270" s="122">
        <f t="shared" si="159"/>
        <v>0</v>
      </c>
      <c r="M270" s="123" t="s">
        <v>622</v>
      </c>
      <c r="Z270" s="124">
        <f t="shared" si="160"/>
        <v>0</v>
      </c>
      <c r="AB270" s="124">
        <f t="shared" si="161"/>
        <v>0</v>
      </c>
      <c r="AC270" s="124">
        <f t="shared" si="162"/>
        <v>0</v>
      </c>
      <c r="AD270" s="124">
        <f t="shared" si="163"/>
        <v>0</v>
      </c>
      <c r="AE270" s="124">
        <f t="shared" si="164"/>
        <v>0</v>
      </c>
      <c r="AF270" s="124">
        <f t="shared" si="165"/>
        <v>0</v>
      </c>
      <c r="AG270" s="124">
        <f t="shared" si="166"/>
        <v>0</v>
      </c>
      <c r="AH270" s="124">
        <f t="shared" si="167"/>
        <v>0</v>
      </c>
      <c r="AI270" s="113" t="s">
        <v>60</v>
      </c>
      <c r="AJ270" s="122">
        <f t="shared" si="168"/>
        <v>0</v>
      </c>
      <c r="AK270" s="122">
        <f t="shared" si="169"/>
        <v>0</v>
      </c>
      <c r="AL270" s="122">
        <f t="shared" si="170"/>
        <v>0</v>
      </c>
      <c r="AN270" s="124">
        <v>15</v>
      </c>
      <c r="AO270" s="124">
        <f t="shared" si="171"/>
        <v>0</v>
      </c>
      <c r="AP270" s="124">
        <f t="shared" si="172"/>
        <v>0</v>
      </c>
      <c r="AQ270" s="123" t="s">
        <v>85</v>
      </c>
      <c r="AV270" s="124">
        <f t="shared" si="173"/>
        <v>0</v>
      </c>
      <c r="AW270" s="124">
        <f t="shared" si="174"/>
        <v>0</v>
      </c>
      <c r="AX270" s="124">
        <f t="shared" si="175"/>
        <v>0</v>
      </c>
      <c r="AY270" s="125" t="s">
        <v>645</v>
      </c>
      <c r="AZ270" s="125" t="s">
        <v>1538</v>
      </c>
      <c r="BA270" s="113" t="s">
        <v>1542</v>
      </c>
      <c r="BC270" s="124">
        <f t="shared" si="176"/>
        <v>0</v>
      </c>
      <c r="BD270" s="124">
        <f t="shared" si="177"/>
        <v>0</v>
      </c>
      <c r="BE270" s="124">
        <v>0</v>
      </c>
      <c r="BF270" s="124">
        <f t="shared" si="178"/>
        <v>0</v>
      </c>
      <c r="BH270" s="122">
        <f t="shared" si="179"/>
        <v>0</v>
      </c>
      <c r="BI270" s="122">
        <f t="shared" si="180"/>
        <v>0</v>
      </c>
      <c r="BJ270" s="122">
        <f t="shared" si="181"/>
        <v>0</v>
      </c>
    </row>
    <row r="271" spans="1:62" s="174" customFormat="1" ht="12.75" hidden="1">
      <c r="A271" s="121" t="s">
        <v>720</v>
      </c>
      <c r="B271" s="121" t="s">
        <v>60</v>
      </c>
      <c r="C271" s="121" t="s">
        <v>1070</v>
      </c>
      <c r="D271" s="129" t="s">
        <v>1385</v>
      </c>
      <c r="E271" s="121" t="s">
        <v>606</v>
      </c>
      <c r="F271" s="122">
        <f>'Stavební rozpočet'!F437</f>
        <v>0</v>
      </c>
      <c r="G271" s="172"/>
      <c r="H271" s="122">
        <f t="shared" si="156"/>
        <v>0</v>
      </c>
      <c r="I271" s="122">
        <f t="shared" si="157"/>
        <v>0</v>
      </c>
      <c r="J271" s="122">
        <f t="shared" si="158"/>
        <v>0</v>
      </c>
      <c r="K271" s="122">
        <f>'Stavební rozpočet'!K437</f>
        <v>0</v>
      </c>
      <c r="L271" s="122">
        <f t="shared" si="159"/>
        <v>0</v>
      </c>
      <c r="M271" s="123" t="s">
        <v>622</v>
      </c>
      <c r="Z271" s="124">
        <f t="shared" si="160"/>
        <v>0</v>
      </c>
      <c r="AB271" s="124">
        <f t="shared" si="161"/>
        <v>0</v>
      </c>
      <c r="AC271" s="124">
        <f t="shared" si="162"/>
        <v>0</v>
      </c>
      <c r="AD271" s="124">
        <f t="shared" si="163"/>
        <v>0</v>
      </c>
      <c r="AE271" s="124">
        <f t="shared" si="164"/>
        <v>0</v>
      </c>
      <c r="AF271" s="124">
        <f t="shared" si="165"/>
        <v>0</v>
      </c>
      <c r="AG271" s="124">
        <f t="shared" si="166"/>
        <v>0</v>
      </c>
      <c r="AH271" s="124">
        <f t="shared" si="167"/>
        <v>0</v>
      </c>
      <c r="AI271" s="113" t="s">
        <v>60</v>
      </c>
      <c r="AJ271" s="122">
        <f t="shared" si="168"/>
        <v>0</v>
      </c>
      <c r="AK271" s="122">
        <f t="shared" si="169"/>
        <v>0</v>
      </c>
      <c r="AL271" s="122">
        <f t="shared" si="170"/>
        <v>0</v>
      </c>
      <c r="AN271" s="124">
        <v>15</v>
      </c>
      <c r="AO271" s="124">
        <f t="shared" si="171"/>
        <v>0</v>
      </c>
      <c r="AP271" s="124">
        <f t="shared" si="172"/>
        <v>0</v>
      </c>
      <c r="AQ271" s="123" t="s">
        <v>85</v>
      </c>
      <c r="AV271" s="124">
        <f t="shared" si="173"/>
        <v>0</v>
      </c>
      <c r="AW271" s="124">
        <f t="shared" si="174"/>
        <v>0</v>
      </c>
      <c r="AX271" s="124">
        <f t="shared" si="175"/>
        <v>0</v>
      </c>
      <c r="AY271" s="125" t="s">
        <v>645</v>
      </c>
      <c r="AZ271" s="125" t="s">
        <v>1538</v>
      </c>
      <c r="BA271" s="113" t="s">
        <v>1542</v>
      </c>
      <c r="BC271" s="124">
        <f t="shared" si="176"/>
        <v>0</v>
      </c>
      <c r="BD271" s="124">
        <f t="shared" si="177"/>
        <v>0</v>
      </c>
      <c r="BE271" s="124">
        <v>0</v>
      </c>
      <c r="BF271" s="124">
        <f t="shared" si="178"/>
        <v>0</v>
      </c>
      <c r="BH271" s="122">
        <f t="shared" si="179"/>
        <v>0</v>
      </c>
      <c r="BI271" s="122">
        <f t="shared" si="180"/>
        <v>0</v>
      </c>
      <c r="BJ271" s="122">
        <f t="shared" si="181"/>
        <v>0</v>
      </c>
    </row>
    <row r="272" spans="1:62" s="174" customFormat="1" ht="12.75">
      <c r="A272" s="121" t="s">
        <v>721</v>
      </c>
      <c r="B272" s="121" t="s">
        <v>60</v>
      </c>
      <c r="C272" s="121" t="s">
        <v>1071</v>
      </c>
      <c r="D272" s="129" t="s">
        <v>1386</v>
      </c>
      <c r="E272" s="121" t="s">
        <v>606</v>
      </c>
      <c r="F272" s="122">
        <f>'Stavební rozpočet'!F438</f>
        <v>2</v>
      </c>
      <c r="G272" s="172"/>
      <c r="H272" s="122">
        <f t="shared" si="156"/>
        <v>0</v>
      </c>
      <c r="I272" s="122">
        <f t="shared" si="157"/>
        <v>0</v>
      </c>
      <c r="J272" s="122">
        <f t="shared" si="158"/>
        <v>0</v>
      </c>
      <c r="K272" s="122">
        <f>'Stavební rozpočet'!K438</f>
        <v>0</v>
      </c>
      <c r="L272" s="122">
        <f t="shared" si="159"/>
        <v>0</v>
      </c>
      <c r="M272" s="123" t="s">
        <v>622</v>
      </c>
      <c r="Z272" s="124">
        <f t="shared" si="160"/>
        <v>0</v>
      </c>
      <c r="AB272" s="124">
        <f t="shared" si="161"/>
        <v>0</v>
      </c>
      <c r="AC272" s="124">
        <f t="shared" si="162"/>
        <v>0</v>
      </c>
      <c r="AD272" s="124">
        <f t="shared" si="163"/>
        <v>0</v>
      </c>
      <c r="AE272" s="124">
        <f t="shared" si="164"/>
        <v>0</v>
      </c>
      <c r="AF272" s="124">
        <f t="shared" si="165"/>
        <v>0</v>
      </c>
      <c r="AG272" s="124">
        <f t="shared" si="166"/>
        <v>0</v>
      </c>
      <c r="AH272" s="124">
        <f t="shared" si="167"/>
        <v>0</v>
      </c>
      <c r="AI272" s="113" t="s">
        <v>60</v>
      </c>
      <c r="AJ272" s="122">
        <f t="shared" si="168"/>
        <v>0</v>
      </c>
      <c r="AK272" s="122">
        <f t="shared" si="169"/>
        <v>0</v>
      </c>
      <c r="AL272" s="122">
        <f t="shared" si="170"/>
        <v>0</v>
      </c>
      <c r="AN272" s="124">
        <v>15</v>
      </c>
      <c r="AO272" s="124">
        <f t="shared" si="171"/>
        <v>0</v>
      </c>
      <c r="AP272" s="124">
        <f t="shared" si="172"/>
        <v>0</v>
      </c>
      <c r="AQ272" s="123" t="s">
        <v>85</v>
      </c>
      <c r="AV272" s="124">
        <f t="shared" si="173"/>
        <v>0</v>
      </c>
      <c r="AW272" s="124">
        <f t="shared" si="174"/>
        <v>0</v>
      </c>
      <c r="AX272" s="124">
        <f t="shared" si="175"/>
        <v>0</v>
      </c>
      <c r="AY272" s="125" t="s">
        <v>645</v>
      </c>
      <c r="AZ272" s="125" t="s">
        <v>1538</v>
      </c>
      <c r="BA272" s="113" t="s">
        <v>1542</v>
      </c>
      <c r="BC272" s="124">
        <f t="shared" si="176"/>
        <v>0</v>
      </c>
      <c r="BD272" s="124">
        <f t="shared" si="177"/>
        <v>0</v>
      </c>
      <c r="BE272" s="124">
        <v>0</v>
      </c>
      <c r="BF272" s="124">
        <f t="shared" si="178"/>
        <v>0</v>
      </c>
      <c r="BH272" s="122">
        <f t="shared" si="179"/>
        <v>0</v>
      </c>
      <c r="BI272" s="122">
        <f t="shared" si="180"/>
        <v>0</v>
      </c>
      <c r="BJ272" s="122">
        <f t="shared" si="181"/>
        <v>0</v>
      </c>
    </row>
    <row r="273" spans="1:62" s="174" customFormat="1" ht="12.75" hidden="1">
      <c r="A273" s="121" t="s">
        <v>722</v>
      </c>
      <c r="B273" s="121" t="s">
        <v>60</v>
      </c>
      <c r="C273" s="121" t="s">
        <v>1072</v>
      </c>
      <c r="D273" s="129" t="s">
        <v>1387</v>
      </c>
      <c r="E273" s="121" t="s">
        <v>606</v>
      </c>
      <c r="F273" s="122">
        <f>'Stavební rozpočet'!F439</f>
        <v>0</v>
      </c>
      <c r="G273" s="172"/>
      <c r="H273" s="122">
        <f t="shared" si="156"/>
        <v>0</v>
      </c>
      <c r="I273" s="122">
        <f t="shared" si="157"/>
        <v>0</v>
      </c>
      <c r="J273" s="122">
        <f t="shared" si="158"/>
        <v>0</v>
      </c>
      <c r="K273" s="122">
        <f>'Stavební rozpočet'!K439</f>
        <v>0</v>
      </c>
      <c r="L273" s="122">
        <f t="shared" si="159"/>
        <v>0</v>
      </c>
      <c r="M273" s="123" t="s">
        <v>622</v>
      </c>
      <c r="Z273" s="124">
        <f t="shared" si="160"/>
        <v>0</v>
      </c>
      <c r="AB273" s="124">
        <f t="shared" si="161"/>
        <v>0</v>
      </c>
      <c r="AC273" s="124">
        <f t="shared" si="162"/>
        <v>0</v>
      </c>
      <c r="AD273" s="124">
        <f t="shared" si="163"/>
        <v>0</v>
      </c>
      <c r="AE273" s="124">
        <f t="shared" si="164"/>
        <v>0</v>
      </c>
      <c r="AF273" s="124">
        <f t="shared" si="165"/>
        <v>0</v>
      </c>
      <c r="AG273" s="124">
        <f t="shared" si="166"/>
        <v>0</v>
      </c>
      <c r="AH273" s="124">
        <f t="shared" si="167"/>
        <v>0</v>
      </c>
      <c r="AI273" s="113" t="s">
        <v>60</v>
      </c>
      <c r="AJ273" s="122">
        <f t="shared" si="168"/>
        <v>0</v>
      </c>
      <c r="AK273" s="122">
        <f t="shared" si="169"/>
        <v>0</v>
      </c>
      <c r="AL273" s="122">
        <f t="shared" si="170"/>
        <v>0</v>
      </c>
      <c r="AN273" s="124">
        <v>15</v>
      </c>
      <c r="AO273" s="124">
        <f t="shared" si="171"/>
        <v>0</v>
      </c>
      <c r="AP273" s="124">
        <f t="shared" si="172"/>
        <v>0</v>
      </c>
      <c r="AQ273" s="123" t="s">
        <v>85</v>
      </c>
      <c r="AV273" s="124">
        <f t="shared" si="173"/>
        <v>0</v>
      </c>
      <c r="AW273" s="124">
        <f t="shared" si="174"/>
        <v>0</v>
      </c>
      <c r="AX273" s="124">
        <f t="shared" si="175"/>
        <v>0</v>
      </c>
      <c r="AY273" s="125" t="s">
        <v>645</v>
      </c>
      <c r="AZ273" s="125" t="s">
        <v>1538</v>
      </c>
      <c r="BA273" s="113" t="s">
        <v>1542</v>
      </c>
      <c r="BC273" s="124">
        <f t="shared" si="176"/>
        <v>0</v>
      </c>
      <c r="BD273" s="124">
        <f t="shared" si="177"/>
        <v>0</v>
      </c>
      <c r="BE273" s="124">
        <v>0</v>
      </c>
      <c r="BF273" s="124">
        <f t="shared" si="178"/>
        <v>0</v>
      </c>
      <c r="BH273" s="122">
        <f t="shared" si="179"/>
        <v>0</v>
      </c>
      <c r="BI273" s="122">
        <f t="shared" si="180"/>
        <v>0</v>
      </c>
      <c r="BJ273" s="122">
        <f t="shared" si="181"/>
        <v>0</v>
      </c>
    </row>
    <row r="274" spans="1:62" s="174" customFormat="1" ht="12.75" hidden="1">
      <c r="A274" s="121" t="s">
        <v>723</v>
      </c>
      <c r="B274" s="121" t="s">
        <v>60</v>
      </c>
      <c r="C274" s="121" t="s">
        <v>1073</v>
      </c>
      <c r="D274" s="129" t="s">
        <v>1388</v>
      </c>
      <c r="E274" s="121" t="s">
        <v>606</v>
      </c>
      <c r="F274" s="122">
        <f>'Stavební rozpočet'!F440</f>
        <v>0</v>
      </c>
      <c r="G274" s="172"/>
      <c r="H274" s="122">
        <f t="shared" si="156"/>
        <v>0</v>
      </c>
      <c r="I274" s="122">
        <f t="shared" si="157"/>
        <v>0</v>
      </c>
      <c r="J274" s="122">
        <f t="shared" si="158"/>
        <v>0</v>
      </c>
      <c r="K274" s="122">
        <f>'Stavební rozpočet'!K440</f>
        <v>0</v>
      </c>
      <c r="L274" s="122">
        <f t="shared" si="159"/>
        <v>0</v>
      </c>
      <c r="M274" s="123" t="s">
        <v>622</v>
      </c>
      <c r="Z274" s="124">
        <f t="shared" si="160"/>
        <v>0</v>
      </c>
      <c r="AB274" s="124">
        <f t="shared" si="161"/>
        <v>0</v>
      </c>
      <c r="AC274" s="124">
        <f t="shared" si="162"/>
        <v>0</v>
      </c>
      <c r="AD274" s="124">
        <f t="shared" si="163"/>
        <v>0</v>
      </c>
      <c r="AE274" s="124">
        <f t="shared" si="164"/>
        <v>0</v>
      </c>
      <c r="AF274" s="124">
        <f t="shared" si="165"/>
        <v>0</v>
      </c>
      <c r="AG274" s="124">
        <f t="shared" si="166"/>
        <v>0</v>
      </c>
      <c r="AH274" s="124">
        <f t="shared" si="167"/>
        <v>0</v>
      </c>
      <c r="AI274" s="113" t="s">
        <v>60</v>
      </c>
      <c r="AJ274" s="122">
        <f t="shared" si="168"/>
        <v>0</v>
      </c>
      <c r="AK274" s="122">
        <f t="shared" si="169"/>
        <v>0</v>
      </c>
      <c r="AL274" s="122">
        <f t="shared" si="170"/>
        <v>0</v>
      </c>
      <c r="AN274" s="124">
        <v>15</v>
      </c>
      <c r="AO274" s="124">
        <f t="shared" si="171"/>
        <v>0</v>
      </c>
      <c r="AP274" s="124">
        <f t="shared" si="172"/>
        <v>0</v>
      </c>
      <c r="AQ274" s="123" t="s">
        <v>85</v>
      </c>
      <c r="AV274" s="124">
        <f t="shared" si="173"/>
        <v>0</v>
      </c>
      <c r="AW274" s="124">
        <f t="shared" si="174"/>
        <v>0</v>
      </c>
      <c r="AX274" s="124">
        <f t="shared" si="175"/>
        <v>0</v>
      </c>
      <c r="AY274" s="125" t="s">
        <v>645</v>
      </c>
      <c r="AZ274" s="125" t="s">
        <v>1538</v>
      </c>
      <c r="BA274" s="113" t="s">
        <v>1542</v>
      </c>
      <c r="BC274" s="124">
        <f t="shared" si="176"/>
        <v>0</v>
      </c>
      <c r="BD274" s="124">
        <f t="shared" si="177"/>
        <v>0</v>
      </c>
      <c r="BE274" s="124">
        <v>0</v>
      </c>
      <c r="BF274" s="124">
        <f t="shared" si="178"/>
        <v>0</v>
      </c>
      <c r="BH274" s="122">
        <f t="shared" si="179"/>
        <v>0</v>
      </c>
      <c r="BI274" s="122">
        <f t="shared" si="180"/>
        <v>0</v>
      </c>
      <c r="BJ274" s="122">
        <f t="shared" si="181"/>
        <v>0</v>
      </c>
    </row>
    <row r="275" spans="1:62" s="174" customFormat="1" ht="12.75" hidden="1">
      <c r="A275" s="121" t="s">
        <v>724</v>
      </c>
      <c r="B275" s="121" t="s">
        <v>60</v>
      </c>
      <c r="C275" s="121" t="s">
        <v>1074</v>
      </c>
      <c r="D275" s="129" t="s">
        <v>1389</v>
      </c>
      <c r="E275" s="121" t="s">
        <v>606</v>
      </c>
      <c r="F275" s="122">
        <f>'Stavební rozpočet'!F441</f>
        <v>0</v>
      </c>
      <c r="G275" s="172"/>
      <c r="H275" s="122">
        <f t="shared" si="156"/>
        <v>0</v>
      </c>
      <c r="I275" s="122">
        <f t="shared" si="157"/>
        <v>0</v>
      </c>
      <c r="J275" s="122">
        <f t="shared" si="158"/>
        <v>0</v>
      </c>
      <c r="K275" s="122">
        <f>'Stavební rozpočet'!K441</f>
        <v>0</v>
      </c>
      <c r="L275" s="122">
        <f t="shared" si="159"/>
        <v>0</v>
      </c>
      <c r="M275" s="123" t="s">
        <v>622</v>
      </c>
      <c r="Z275" s="124">
        <f t="shared" si="160"/>
        <v>0</v>
      </c>
      <c r="AB275" s="124">
        <f t="shared" si="161"/>
        <v>0</v>
      </c>
      <c r="AC275" s="124">
        <f t="shared" si="162"/>
        <v>0</v>
      </c>
      <c r="AD275" s="124">
        <f t="shared" si="163"/>
        <v>0</v>
      </c>
      <c r="AE275" s="124">
        <f t="shared" si="164"/>
        <v>0</v>
      </c>
      <c r="AF275" s="124">
        <f t="shared" si="165"/>
        <v>0</v>
      </c>
      <c r="AG275" s="124">
        <f t="shared" si="166"/>
        <v>0</v>
      </c>
      <c r="AH275" s="124">
        <f t="shared" si="167"/>
        <v>0</v>
      </c>
      <c r="AI275" s="113" t="s">
        <v>60</v>
      </c>
      <c r="AJ275" s="122">
        <f t="shared" si="168"/>
        <v>0</v>
      </c>
      <c r="AK275" s="122">
        <f t="shared" si="169"/>
        <v>0</v>
      </c>
      <c r="AL275" s="122">
        <f t="shared" si="170"/>
        <v>0</v>
      </c>
      <c r="AN275" s="124">
        <v>15</v>
      </c>
      <c r="AO275" s="124">
        <f t="shared" si="171"/>
        <v>0</v>
      </c>
      <c r="AP275" s="124">
        <f t="shared" si="172"/>
        <v>0</v>
      </c>
      <c r="AQ275" s="123" t="s">
        <v>85</v>
      </c>
      <c r="AV275" s="124">
        <f t="shared" si="173"/>
        <v>0</v>
      </c>
      <c r="AW275" s="124">
        <f t="shared" si="174"/>
        <v>0</v>
      </c>
      <c r="AX275" s="124">
        <f t="shared" si="175"/>
        <v>0</v>
      </c>
      <c r="AY275" s="125" t="s">
        <v>645</v>
      </c>
      <c r="AZ275" s="125" t="s">
        <v>1538</v>
      </c>
      <c r="BA275" s="113" t="s">
        <v>1542</v>
      </c>
      <c r="BC275" s="124">
        <f t="shared" si="176"/>
        <v>0</v>
      </c>
      <c r="BD275" s="124">
        <f t="shared" si="177"/>
        <v>0</v>
      </c>
      <c r="BE275" s="124">
        <v>0</v>
      </c>
      <c r="BF275" s="124">
        <f t="shared" si="178"/>
        <v>0</v>
      </c>
      <c r="BH275" s="122">
        <f t="shared" si="179"/>
        <v>0</v>
      </c>
      <c r="BI275" s="122">
        <f t="shared" si="180"/>
        <v>0</v>
      </c>
      <c r="BJ275" s="122">
        <f t="shared" si="181"/>
        <v>0</v>
      </c>
    </row>
    <row r="276" spans="1:62" s="174" customFormat="1" ht="12.75" hidden="1">
      <c r="A276" s="121" t="s">
        <v>725</v>
      </c>
      <c r="B276" s="121" t="s">
        <v>60</v>
      </c>
      <c r="C276" s="121" t="s">
        <v>1075</v>
      </c>
      <c r="D276" s="129" t="s">
        <v>1390</v>
      </c>
      <c r="E276" s="121" t="s">
        <v>606</v>
      </c>
      <c r="F276" s="122">
        <f>'Stavební rozpočet'!F442</f>
        <v>0</v>
      </c>
      <c r="G276" s="172"/>
      <c r="H276" s="122">
        <f t="shared" si="156"/>
        <v>0</v>
      </c>
      <c r="I276" s="122">
        <f t="shared" si="157"/>
        <v>0</v>
      </c>
      <c r="J276" s="122">
        <f t="shared" si="158"/>
        <v>0</v>
      </c>
      <c r="K276" s="122">
        <f>'Stavební rozpočet'!K442</f>
        <v>0</v>
      </c>
      <c r="L276" s="122">
        <f t="shared" si="159"/>
        <v>0</v>
      </c>
      <c r="M276" s="123" t="s">
        <v>622</v>
      </c>
      <c r="Z276" s="124">
        <f t="shared" si="160"/>
        <v>0</v>
      </c>
      <c r="AB276" s="124">
        <f t="shared" si="161"/>
        <v>0</v>
      </c>
      <c r="AC276" s="124">
        <f t="shared" si="162"/>
        <v>0</v>
      </c>
      <c r="AD276" s="124">
        <f t="shared" si="163"/>
        <v>0</v>
      </c>
      <c r="AE276" s="124">
        <f t="shared" si="164"/>
        <v>0</v>
      </c>
      <c r="AF276" s="124">
        <f t="shared" si="165"/>
        <v>0</v>
      </c>
      <c r="AG276" s="124">
        <f t="shared" si="166"/>
        <v>0</v>
      </c>
      <c r="AH276" s="124">
        <f t="shared" si="167"/>
        <v>0</v>
      </c>
      <c r="AI276" s="113" t="s">
        <v>60</v>
      </c>
      <c r="AJ276" s="122">
        <f t="shared" si="168"/>
        <v>0</v>
      </c>
      <c r="AK276" s="122">
        <f t="shared" si="169"/>
        <v>0</v>
      </c>
      <c r="AL276" s="122">
        <f t="shared" si="170"/>
        <v>0</v>
      </c>
      <c r="AN276" s="124">
        <v>15</v>
      </c>
      <c r="AO276" s="124">
        <f t="shared" si="171"/>
        <v>0</v>
      </c>
      <c r="AP276" s="124">
        <f t="shared" si="172"/>
        <v>0</v>
      </c>
      <c r="AQ276" s="123" t="s">
        <v>85</v>
      </c>
      <c r="AV276" s="124">
        <f t="shared" si="173"/>
        <v>0</v>
      </c>
      <c r="AW276" s="124">
        <f t="shared" si="174"/>
        <v>0</v>
      </c>
      <c r="AX276" s="124">
        <f t="shared" si="175"/>
        <v>0</v>
      </c>
      <c r="AY276" s="125" t="s">
        <v>645</v>
      </c>
      <c r="AZ276" s="125" t="s">
        <v>1538</v>
      </c>
      <c r="BA276" s="113" t="s">
        <v>1542</v>
      </c>
      <c r="BC276" s="124">
        <f t="shared" si="176"/>
        <v>0</v>
      </c>
      <c r="BD276" s="124">
        <f t="shared" si="177"/>
        <v>0</v>
      </c>
      <c r="BE276" s="124">
        <v>0</v>
      </c>
      <c r="BF276" s="124">
        <f t="shared" si="178"/>
        <v>0</v>
      </c>
      <c r="BH276" s="122">
        <f t="shared" si="179"/>
        <v>0</v>
      </c>
      <c r="BI276" s="122">
        <f t="shared" si="180"/>
        <v>0</v>
      </c>
      <c r="BJ276" s="122">
        <f t="shared" si="181"/>
        <v>0</v>
      </c>
    </row>
    <row r="277" spans="1:62" s="174" customFormat="1" ht="12.75">
      <c r="A277" s="121" t="s">
        <v>726</v>
      </c>
      <c r="B277" s="121" t="s">
        <v>60</v>
      </c>
      <c r="C277" s="121" t="s">
        <v>1076</v>
      </c>
      <c r="D277" s="129" t="s">
        <v>1391</v>
      </c>
      <c r="E277" s="121" t="s">
        <v>606</v>
      </c>
      <c r="F277" s="122">
        <f>'Stavební rozpočet'!F443</f>
        <v>1</v>
      </c>
      <c r="G277" s="172"/>
      <c r="H277" s="122">
        <f t="shared" si="156"/>
        <v>0</v>
      </c>
      <c r="I277" s="122">
        <f t="shared" si="157"/>
        <v>0</v>
      </c>
      <c r="J277" s="122">
        <f t="shared" si="158"/>
        <v>0</v>
      </c>
      <c r="K277" s="122">
        <f>'Stavební rozpočet'!K443</f>
        <v>0</v>
      </c>
      <c r="L277" s="122">
        <f t="shared" si="159"/>
        <v>0</v>
      </c>
      <c r="M277" s="123" t="s">
        <v>622</v>
      </c>
      <c r="Z277" s="124">
        <f t="shared" si="160"/>
        <v>0</v>
      </c>
      <c r="AB277" s="124">
        <f t="shared" si="161"/>
        <v>0</v>
      </c>
      <c r="AC277" s="124">
        <f t="shared" si="162"/>
        <v>0</v>
      </c>
      <c r="AD277" s="124">
        <f t="shared" si="163"/>
        <v>0</v>
      </c>
      <c r="AE277" s="124">
        <f t="shared" si="164"/>
        <v>0</v>
      </c>
      <c r="AF277" s="124">
        <f t="shared" si="165"/>
        <v>0</v>
      </c>
      <c r="AG277" s="124">
        <f t="shared" si="166"/>
        <v>0</v>
      </c>
      <c r="AH277" s="124">
        <f t="shared" si="167"/>
        <v>0</v>
      </c>
      <c r="AI277" s="113" t="s">
        <v>60</v>
      </c>
      <c r="AJ277" s="122">
        <f t="shared" si="168"/>
        <v>0</v>
      </c>
      <c r="AK277" s="122">
        <f t="shared" si="169"/>
        <v>0</v>
      </c>
      <c r="AL277" s="122">
        <f t="shared" si="170"/>
        <v>0</v>
      </c>
      <c r="AN277" s="124">
        <v>15</v>
      </c>
      <c r="AO277" s="124">
        <f t="shared" si="171"/>
        <v>0</v>
      </c>
      <c r="AP277" s="124">
        <f t="shared" si="172"/>
        <v>0</v>
      </c>
      <c r="AQ277" s="123" t="s">
        <v>85</v>
      </c>
      <c r="AV277" s="124">
        <f t="shared" si="173"/>
        <v>0</v>
      </c>
      <c r="AW277" s="124">
        <f t="shared" si="174"/>
        <v>0</v>
      </c>
      <c r="AX277" s="124">
        <f t="shared" si="175"/>
        <v>0</v>
      </c>
      <c r="AY277" s="125" t="s">
        <v>645</v>
      </c>
      <c r="AZ277" s="125" t="s">
        <v>1538</v>
      </c>
      <c r="BA277" s="113" t="s">
        <v>1542</v>
      </c>
      <c r="BC277" s="124">
        <f t="shared" si="176"/>
        <v>0</v>
      </c>
      <c r="BD277" s="124">
        <f t="shared" si="177"/>
        <v>0</v>
      </c>
      <c r="BE277" s="124">
        <v>0</v>
      </c>
      <c r="BF277" s="124">
        <f t="shared" si="178"/>
        <v>0</v>
      </c>
      <c r="BH277" s="122">
        <f t="shared" si="179"/>
        <v>0</v>
      </c>
      <c r="BI277" s="122">
        <f t="shared" si="180"/>
        <v>0</v>
      </c>
      <c r="BJ277" s="122">
        <f t="shared" si="181"/>
        <v>0</v>
      </c>
    </row>
    <row r="278" spans="1:62" s="174" customFormat="1" ht="12.75">
      <c r="A278" s="121" t="s">
        <v>727</v>
      </c>
      <c r="B278" s="121" t="s">
        <v>60</v>
      </c>
      <c r="C278" s="121" t="s">
        <v>1077</v>
      </c>
      <c r="D278" s="129" t="s">
        <v>517</v>
      </c>
      <c r="E278" s="121" t="s">
        <v>606</v>
      </c>
      <c r="F278" s="122">
        <f>'Stavební rozpočet'!F444</f>
        <v>2</v>
      </c>
      <c r="G278" s="172"/>
      <c r="H278" s="122">
        <f t="shared" si="156"/>
        <v>0</v>
      </c>
      <c r="I278" s="122">
        <f t="shared" si="157"/>
        <v>0</v>
      </c>
      <c r="J278" s="122">
        <f t="shared" si="158"/>
        <v>0</v>
      </c>
      <c r="K278" s="122">
        <f>'Stavební rozpočet'!K444</f>
        <v>0</v>
      </c>
      <c r="L278" s="122">
        <f t="shared" si="159"/>
        <v>0</v>
      </c>
      <c r="M278" s="123" t="s">
        <v>622</v>
      </c>
      <c r="Z278" s="124">
        <f t="shared" si="160"/>
        <v>0</v>
      </c>
      <c r="AB278" s="124">
        <f t="shared" si="161"/>
        <v>0</v>
      </c>
      <c r="AC278" s="124">
        <f t="shared" si="162"/>
        <v>0</v>
      </c>
      <c r="AD278" s="124">
        <f t="shared" si="163"/>
        <v>0</v>
      </c>
      <c r="AE278" s="124">
        <f t="shared" si="164"/>
        <v>0</v>
      </c>
      <c r="AF278" s="124">
        <f t="shared" si="165"/>
        <v>0</v>
      </c>
      <c r="AG278" s="124">
        <f t="shared" si="166"/>
        <v>0</v>
      </c>
      <c r="AH278" s="124">
        <f t="shared" si="167"/>
        <v>0</v>
      </c>
      <c r="AI278" s="113" t="s">
        <v>60</v>
      </c>
      <c r="AJ278" s="122">
        <f t="shared" si="168"/>
        <v>0</v>
      </c>
      <c r="AK278" s="122">
        <f t="shared" si="169"/>
        <v>0</v>
      </c>
      <c r="AL278" s="122">
        <f t="shared" si="170"/>
        <v>0</v>
      </c>
      <c r="AN278" s="124">
        <v>15</v>
      </c>
      <c r="AO278" s="124">
        <f t="shared" si="171"/>
        <v>0</v>
      </c>
      <c r="AP278" s="124">
        <f t="shared" si="172"/>
        <v>0</v>
      </c>
      <c r="AQ278" s="123" t="s">
        <v>85</v>
      </c>
      <c r="AV278" s="124">
        <f t="shared" si="173"/>
        <v>0</v>
      </c>
      <c r="AW278" s="124">
        <f t="shared" si="174"/>
        <v>0</v>
      </c>
      <c r="AX278" s="124">
        <f t="shared" si="175"/>
        <v>0</v>
      </c>
      <c r="AY278" s="125" t="s">
        <v>645</v>
      </c>
      <c r="AZ278" s="125" t="s">
        <v>1538</v>
      </c>
      <c r="BA278" s="113" t="s">
        <v>1542</v>
      </c>
      <c r="BC278" s="124">
        <f t="shared" si="176"/>
        <v>0</v>
      </c>
      <c r="BD278" s="124">
        <f t="shared" si="177"/>
        <v>0</v>
      </c>
      <c r="BE278" s="124">
        <v>0</v>
      </c>
      <c r="BF278" s="124">
        <f t="shared" si="178"/>
        <v>0</v>
      </c>
      <c r="BH278" s="122">
        <f t="shared" si="179"/>
        <v>0</v>
      </c>
      <c r="BI278" s="122">
        <f t="shared" si="180"/>
        <v>0</v>
      </c>
      <c r="BJ278" s="122">
        <f t="shared" si="181"/>
        <v>0</v>
      </c>
    </row>
    <row r="279" spans="1:62" s="174" customFormat="1" ht="12.75">
      <c r="A279" s="121" t="s">
        <v>728</v>
      </c>
      <c r="B279" s="121" t="s">
        <v>60</v>
      </c>
      <c r="C279" s="121" t="s">
        <v>1078</v>
      </c>
      <c r="D279" s="129" t="s">
        <v>1392</v>
      </c>
      <c r="E279" s="121" t="s">
        <v>606</v>
      </c>
      <c r="F279" s="122">
        <f>'Stavební rozpočet'!F445</f>
        <v>2</v>
      </c>
      <c r="G279" s="172"/>
      <c r="H279" s="122">
        <f t="shared" si="156"/>
        <v>0</v>
      </c>
      <c r="I279" s="122">
        <f t="shared" si="157"/>
        <v>0</v>
      </c>
      <c r="J279" s="122">
        <f t="shared" si="158"/>
        <v>0</v>
      </c>
      <c r="K279" s="122">
        <f>'Stavební rozpočet'!K445</f>
        <v>0</v>
      </c>
      <c r="L279" s="122">
        <f t="shared" si="159"/>
        <v>0</v>
      </c>
      <c r="M279" s="123" t="s">
        <v>622</v>
      </c>
      <c r="Z279" s="124">
        <f t="shared" si="160"/>
        <v>0</v>
      </c>
      <c r="AB279" s="124">
        <f t="shared" si="161"/>
        <v>0</v>
      </c>
      <c r="AC279" s="124">
        <f t="shared" si="162"/>
        <v>0</v>
      </c>
      <c r="AD279" s="124">
        <f t="shared" si="163"/>
        <v>0</v>
      </c>
      <c r="AE279" s="124">
        <f t="shared" si="164"/>
        <v>0</v>
      </c>
      <c r="AF279" s="124">
        <f t="shared" si="165"/>
        <v>0</v>
      </c>
      <c r="AG279" s="124">
        <f t="shared" si="166"/>
        <v>0</v>
      </c>
      <c r="AH279" s="124">
        <f t="shared" si="167"/>
        <v>0</v>
      </c>
      <c r="AI279" s="113" t="s">
        <v>60</v>
      </c>
      <c r="AJ279" s="122">
        <f t="shared" si="168"/>
        <v>0</v>
      </c>
      <c r="AK279" s="122">
        <f t="shared" si="169"/>
        <v>0</v>
      </c>
      <c r="AL279" s="122">
        <f t="shared" si="170"/>
        <v>0</v>
      </c>
      <c r="AN279" s="124">
        <v>15</v>
      </c>
      <c r="AO279" s="124">
        <f t="shared" si="171"/>
        <v>0</v>
      </c>
      <c r="AP279" s="124">
        <f t="shared" si="172"/>
        <v>0</v>
      </c>
      <c r="AQ279" s="123" t="s">
        <v>85</v>
      </c>
      <c r="AV279" s="124">
        <f t="shared" si="173"/>
        <v>0</v>
      </c>
      <c r="AW279" s="124">
        <f t="shared" si="174"/>
        <v>0</v>
      </c>
      <c r="AX279" s="124">
        <f t="shared" si="175"/>
        <v>0</v>
      </c>
      <c r="AY279" s="125" t="s">
        <v>645</v>
      </c>
      <c r="AZ279" s="125" t="s">
        <v>1538</v>
      </c>
      <c r="BA279" s="113" t="s">
        <v>1542</v>
      </c>
      <c r="BC279" s="124">
        <f t="shared" si="176"/>
        <v>0</v>
      </c>
      <c r="BD279" s="124">
        <f t="shared" si="177"/>
        <v>0</v>
      </c>
      <c r="BE279" s="124">
        <v>0</v>
      </c>
      <c r="BF279" s="124">
        <f t="shared" si="178"/>
        <v>0</v>
      </c>
      <c r="BH279" s="122">
        <f t="shared" si="179"/>
        <v>0</v>
      </c>
      <c r="BI279" s="122">
        <f t="shared" si="180"/>
        <v>0</v>
      </c>
      <c r="BJ279" s="122">
        <f t="shared" si="181"/>
        <v>0</v>
      </c>
    </row>
    <row r="280" spans="1:62" s="174" customFormat="1" ht="12.75" hidden="1">
      <c r="A280" s="121" t="s">
        <v>729</v>
      </c>
      <c r="B280" s="121" t="s">
        <v>60</v>
      </c>
      <c r="C280" s="121" t="s">
        <v>1079</v>
      </c>
      <c r="D280" s="129" t="s">
        <v>1393</v>
      </c>
      <c r="E280" s="121" t="s">
        <v>606</v>
      </c>
      <c r="F280" s="122">
        <f>'Stavební rozpočet'!F446</f>
        <v>0</v>
      </c>
      <c r="G280" s="172"/>
      <c r="H280" s="122">
        <f t="shared" si="156"/>
        <v>0</v>
      </c>
      <c r="I280" s="122">
        <f t="shared" si="157"/>
        <v>0</v>
      </c>
      <c r="J280" s="122">
        <f t="shared" si="158"/>
        <v>0</v>
      </c>
      <c r="K280" s="122">
        <f>'Stavební rozpočet'!K446</f>
        <v>0</v>
      </c>
      <c r="L280" s="122">
        <f t="shared" si="159"/>
        <v>0</v>
      </c>
      <c r="M280" s="123" t="s">
        <v>622</v>
      </c>
      <c r="Z280" s="124">
        <f t="shared" si="160"/>
        <v>0</v>
      </c>
      <c r="AB280" s="124">
        <f t="shared" si="161"/>
        <v>0</v>
      </c>
      <c r="AC280" s="124">
        <f t="shared" si="162"/>
        <v>0</v>
      </c>
      <c r="AD280" s="124">
        <f t="shared" si="163"/>
        <v>0</v>
      </c>
      <c r="AE280" s="124">
        <f t="shared" si="164"/>
        <v>0</v>
      </c>
      <c r="AF280" s="124">
        <f t="shared" si="165"/>
        <v>0</v>
      </c>
      <c r="AG280" s="124">
        <f t="shared" si="166"/>
        <v>0</v>
      </c>
      <c r="AH280" s="124">
        <f t="shared" si="167"/>
        <v>0</v>
      </c>
      <c r="AI280" s="113" t="s">
        <v>60</v>
      </c>
      <c r="AJ280" s="122">
        <f t="shared" si="168"/>
        <v>0</v>
      </c>
      <c r="AK280" s="122">
        <f t="shared" si="169"/>
        <v>0</v>
      </c>
      <c r="AL280" s="122">
        <f t="shared" si="170"/>
        <v>0</v>
      </c>
      <c r="AN280" s="124">
        <v>15</v>
      </c>
      <c r="AO280" s="124">
        <f t="shared" si="171"/>
        <v>0</v>
      </c>
      <c r="AP280" s="124">
        <f t="shared" si="172"/>
        <v>0</v>
      </c>
      <c r="AQ280" s="123" t="s">
        <v>85</v>
      </c>
      <c r="AV280" s="124">
        <f t="shared" si="173"/>
        <v>0</v>
      </c>
      <c r="AW280" s="124">
        <f t="shared" si="174"/>
        <v>0</v>
      </c>
      <c r="AX280" s="124">
        <f t="shared" si="175"/>
        <v>0</v>
      </c>
      <c r="AY280" s="125" t="s">
        <v>645</v>
      </c>
      <c r="AZ280" s="125" t="s">
        <v>1538</v>
      </c>
      <c r="BA280" s="113" t="s">
        <v>1542</v>
      </c>
      <c r="BC280" s="124">
        <f t="shared" si="176"/>
        <v>0</v>
      </c>
      <c r="BD280" s="124">
        <f t="shared" si="177"/>
        <v>0</v>
      </c>
      <c r="BE280" s="124">
        <v>0</v>
      </c>
      <c r="BF280" s="124">
        <f t="shared" si="178"/>
        <v>0</v>
      </c>
      <c r="BH280" s="122">
        <f t="shared" si="179"/>
        <v>0</v>
      </c>
      <c r="BI280" s="122">
        <f t="shared" si="180"/>
        <v>0</v>
      </c>
      <c r="BJ280" s="122">
        <f t="shared" si="181"/>
        <v>0</v>
      </c>
    </row>
    <row r="281" spans="1:62" s="174" customFormat="1" ht="12.75" hidden="1">
      <c r="A281" s="121" t="s">
        <v>730</v>
      </c>
      <c r="B281" s="121" t="s">
        <v>60</v>
      </c>
      <c r="C281" s="121" t="s">
        <v>1080</v>
      </c>
      <c r="D281" s="129" t="s">
        <v>1394</v>
      </c>
      <c r="E281" s="121" t="s">
        <v>606</v>
      </c>
      <c r="F281" s="122">
        <f>'Stavební rozpočet'!F447</f>
        <v>0</v>
      </c>
      <c r="G281" s="172"/>
      <c r="H281" s="122">
        <f t="shared" si="156"/>
        <v>0</v>
      </c>
      <c r="I281" s="122">
        <f t="shared" si="157"/>
        <v>0</v>
      </c>
      <c r="J281" s="122">
        <f t="shared" si="158"/>
        <v>0</v>
      </c>
      <c r="K281" s="122">
        <f>'Stavební rozpočet'!K447</f>
        <v>0</v>
      </c>
      <c r="L281" s="122">
        <f t="shared" si="159"/>
        <v>0</v>
      </c>
      <c r="M281" s="123" t="s">
        <v>622</v>
      </c>
      <c r="Z281" s="124">
        <f t="shared" si="160"/>
        <v>0</v>
      </c>
      <c r="AB281" s="124">
        <f t="shared" si="161"/>
        <v>0</v>
      </c>
      <c r="AC281" s="124">
        <f t="shared" si="162"/>
        <v>0</v>
      </c>
      <c r="AD281" s="124">
        <f t="shared" si="163"/>
        <v>0</v>
      </c>
      <c r="AE281" s="124">
        <f t="shared" si="164"/>
        <v>0</v>
      </c>
      <c r="AF281" s="124">
        <f t="shared" si="165"/>
        <v>0</v>
      </c>
      <c r="AG281" s="124">
        <f t="shared" si="166"/>
        <v>0</v>
      </c>
      <c r="AH281" s="124">
        <f t="shared" si="167"/>
        <v>0</v>
      </c>
      <c r="AI281" s="113" t="s">
        <v>60</v>
      </c>
      <c r="AJ281" s="122">
        <f t="shared" si="168"/>
        <v>0</v>
      </c>
      <c r="AK281" s="122">
        <f t="shared" si="169"/>
        <v>0</v>
      </c>
      <c r="AL281" s="122">
        <f t="shared" si="170"/>
        <v>0</v>
      </c>
      <c r="AN281" s="124">
        <v>15</v>
      </c>
      <c r="AO281" s="124">
        <f t="shared" si="171"/>
        <v>0</v>
      </c>
      <c r="AP281" s="124">
        <f t="shared" si="172"/>
        <v>0</v>
      </c>
      <c r="AQ281" s="123" t="s">
        <v>85</v>
      </c>
      <c r="AV281" s="124">
        <f t="shared" si="173"/>
        <v>0</v>
      </c>
      <c r="AW281" s="124">
        <f t="shared" si="174"/>
        <v>0</v>
      </c>
      <c r="AX281" s="124">
        <f t="shared" si="175"/>
        <v>0</v>
      </c>
      <c r="AY281" s="125" t="s">
        <v>645</v>
      </c>
      <c r="AZ281" s="125" t="s">
        <v>1538</v>
      </c>
      <c r="BA281" s="113" t="s">
        <v>1542</v>
      </c>
      <c r="BC281" s="124">
        <f t="shared" si="176"/>
        <v>0</v>
      </c>
      <c r="BD281" s="124">
        <f t="shared" si="177"/>
        <v>0</v>
      </c>
      <c r="BE281" s="124">
        <v>0</v>
      </c>
      <c r="BF281" s="124">
        <f t="shared" si="178"/>
        <v>0</v>
      </c>
      <c r="BH281" s="122">
        <f t="shared" si="179"/>
        <v>0</v>
      </c>
      <c r="BI281" s="122">
        <f t="shared" si="180"/>
        <v>0</v>
      </c>
      <c r="BJ281" s="122">
        <f t="shared" si="181"/>
        <v>0</v>
      </c>
    </row>
    <row r="282" spans="1:62" s="174" customFormat="1" ht="12.75">
      <c r="A282" s="121" t="s">
        <v>731</v>
      </c>
      <c r="B282" s="121" t="s">
        <v>60</v>
      </c>
      <c r="C282" s="121" t="s">
        <v>1081</v>
      </c>
      <c r="D282" s="129" t="s">
        <v>518</v>
      </c>
      <c r="E282" s="121" t="s">
        <v>606</v>
      </c>
      <c r="F282" s="122">
        <f>'Stavební rozpočet'!F448</f>
        <v>11</v>
      </c>
      <c r="G282" s="172"/>
      <c r="H282" s="122">
        <f t="shared" si="156"/>
        <v>0</v>
      </c>
      <c r="I282" s="122">
        <f t="shared" si="157"/>
        <v>0</v>
      </c>
      <c r="J282" s="122">
        <f t="shared" si="158"/>
        <v>0</v>
      </c>
      <c r="K282" s="122">
        <f>'Stavební rozpočet'!K448</f>
        <v>0</v>
      </c>
      <c r="L282" s="122">
        <f t="shared" si="159"/>
        <v>0</v>
      </c>
      <c r="M282" s="123" t="s">
        <v>622</v>
      </c>
      <c r="Z282" s="124">
        <f t="shared" si="160"/>
        <v>0</v>
      </c>
      <c r="AB282" s="124">
        <f t="shared" si="161"/>
        <v>0</v>
      </c>
      <c r="AC282" s="124">
        <f t="shared" si="162"/>
        <v>0</v>
      </c>
      <c r="AD282" s="124">
        <f t="shared" si="163"/>
        <v>0</v>
      </c>
      <c r="AE282" s="124">
        <f t="shared" si="164"/>
        <v>0</v>
      </c>
      <c r="AF282" s="124">
        <f t="shared" si="165"/>
        <v>0</v>
      </c>
      <c r="AG282" s="124">
        <f t="shared" si="166"/>
        <v>0</v>
      </c>
      <c r="AH282" s="124">
        <f t="shared" si="167"/>
        <v>0</v>
      </c>
      <c r="AI282" s="113" t="s">
        <v>60</v>
      </c>
      <c r="AJ282" s="122">
        <f t="shared" si="168"/>
        <v>0</v>
      </c>
      <c r="AK282" s="122">
        <f t="shared" si="169"/>
        <v>0</v>
      </c>
      <c r="AL282" s="122">
        <f t="shared" si="170"/>
        <v>0</v>
      </c>
      <c r="AN282" s="124">
        <v>15</v>
      </c>
      <c r="AO282" s="124">
        <f t="shared" si="171"/>
        <v>0</v>
      </c>
      <c r="AP282" s="124">
        <f t="shared" si="172"/>
        <v>0</v>
      </c>
      <c r="AQ282" s="123" t="s">
        <v>85</v>
      </c>
      <c r="AV282" s="124">
        <f t="shared" si="173"/>
        <v>0</v>
      </c>
      <c r="AW282" s="124">
        <f t="shared" si="174"/>
        <v>0</v>
      </c>
      <c r="AX282" s="124">
        <f t="shared" si="175"/>
        <v>0</v>
      </c>
      <c r="AY282" s="125" t="s">
        <v>645</v>
      </c>
      <c r="AZ282" s="125" t="s">
        <v>1538</v>
      </c>
      <c r="BA282" s="113" t="s">
        <v>1542</v>
      </c>
      <c r="BC282" s="124">
        <f t="shared" si="176"/>
        <v>0</v>
      </c>
      <c r="BD282" s="124">
        <f t="shared" si="177"/>
        <v>0</v>
      </c>
      <c r="BE282" s="124">
        <v>0</v>
      </c>
      <c r="BF282" s="124">
        <f t="shared" si="178"/>
        <v>0</v>
      </c>
      <c r="BH282" s="122">
        <f t="shared" si="179"/>
        <v>0</v>
      </c>
      <c r="BI282" s="122">
        <f t="shared" si="180"/>
        <v>0</v>
      </c>
      <c r="BJ282" s="122">
        <f t="shared" si="181"/>
        <v>0</v>
      </c>
    </row>
    <row r="283" spans="1:62" s="174" customFormat="1" ht="12.75">
      <c r="A283" s="121" t="s">
        <v>732</v>
      </c>
      <c r="B283" s="121" t="s">
        <v>60</v>
      </c>
      <c r="C283" s="121" t="s">
        <v>1082</v>
      </c>
      <c r="D283" s="129" t="s">
        <v>1395</v>
      </c>
      <c r="E283" s="121" t="s">
        <v>606</v>
      </c>
      <c r="F283" s="122">
        <f>'Stavební rozpočet'!F449</f>
        <v>11</v>
      </c>
      <c r="G283" s="172"/>
      <c r="H283" s="122">
        <f t="shared" si="156"/>
        <v>0</v>
      </c>
      <c r="I283" s="122">
        <f t="shared" si="157"/>
        <v>0</v>
      </c>
      <c r="J283" s="122">
        <f t="shared" si="158"/>
        <v>0</v>
      </c>
      <c r="K283" s="122">
        <f>'Stavební rozpočet'!K449</f>
        <v>0</v>
      </c>
      <c r="L283" s="122">
        <f t="shared" si="159"/>
        <v>0</v>
      </c>
      <c r="M283" s="123" t="s">
        <v>622</v>
      </c>
      <c r="Z283" s="124">
        <f t="shared" si="160"/>
        <v>0</v>
      </c>
      <c r="AB283" s="124">
        <f t="shared" si="161"/>
        <v>0</v>
      </c>
      <c r="AC283" s="124">
        <f t="shared" si="162"/>
        <v>0</v>
      </c>
      <c r="AD283" s="124">
        <f t="shared" si="163"/>
        <v>0</v>
      </c>
      <c r="AE283" s="124">
        <f t="shared" si="164"/>
        <v>0</v>
      </c>
      <c r="AF283" s="124">
        <f t="shared" si="165"/>
        <v>0</v>
      </c>
      <c r="AG283" s="124">
        <f t="shared" si="166"/>
        <v>0</v>
      </c>
      <c r="AH283" s="124">
        <f t="shared" si="167"/>
        <v>0</v>
      </c>
      <c r="AI283" s="113" t="s">
        <v>60</v>
      </c>
      <c r="AJ283" s="122">
        <f t="shared" si="168"/>
        <v>0</v>
      </c>
      <c r="AK283" s="122">
        <f t="shared" si="169"/>
        <v>0</v>
      </c>
      <c r="AL283" s="122">
        <f t="shared" si="170"/>
        <v>0</v>
      </c>
      <c r="AN283" s="124">
        <v>15</v>
      </c>
      <c r="AO283" s="124">
        <f t="shared" si="171"/>
        <v>0</v>
      </c>
      <c r="AP283" s="124">
        <f t="shared" si="172"/>
        <v>0</v>
      </c>
      <c r="AQ283" s="123" t="s">
        <v>85</v>
      </c>
      <c r="AV283" s="124">
        <f t="shared" si="173"/>
        <v>0</v>
      </c>
      <c r="AW283" s="124">
        <f t="shared" si="174"/>
        <v>0</v>
      </c>
      <c r="AX283" s="124">
        <f t="shared" si="175"/>
        <v>0</v>
      </c>
      <c r="AY283" s="125" t="s">
        <v>645</v>
      </c>
      <c r="AZ283" s="125" t="s">
        <v>1538</v>
      </c>
      <c r="BA283" s="113" t="s">
        <v>1542</v>
      </c>
      <c r="BC283" s="124">
        <f t="shared" si="176"/>
        <v>0</v>
      </c>
      <c r="BD283" s="124">
        <f t="shared" si="177"/>
        <v>0</v>
      </c>
      <c r="BE283" s="124">
        <v>0</v>
      </c>
      <c r="BF283" s="124">
        <f t="shared" si="178"/>
        <v>0</v>
      </c>
      <c r="BH283" s="122">
        <f t="shared" si="179"/>
        <v>0</v>
      </c>
      <c r="BI283" s="122">
        <f t="shared" si="180"/>
        <v>0</v>
      </c>
      <c r="BJ283" s="122">
        <f t="shared" si="181"/>
        <v>0</v>
      </c>
    </row>
    <row r="284" spans="1:62" s="174" customFormat="1" ht="12.75" hidden="1">
      <c r="A284" s="121" t="s">
        <v>733</v>
      </c>
      <c r="B284" s="121" t="s">
        <v>60</v>
      </c>
      <c r="C284" s="121" t="s">
        <v>1083</v>
      </c>
      <c r="D284" s="129" t="s">
        <v>1396</v>
      </c>
      <c r="E284" s="121" t="s">
        <v>606</v>
      </c>
      <c r="F284" s="122">
        <f>'Stavební rozpočet'!F450</f>
        <v>0</v>
      </c>
      <c r="G284" s="172"/>
      <c r="H284" s="122">
        <f aca="true" t="shared" si="182" ref="H284:H315">F284*AO284</f>
        <v>0</v>
      </c>
      <c r="I284" s="122">
        <f aca="true" t="shared" si="183" ref="I284:I315">F284*AP284</f>
        <v>0</v>
      </c>
      <c r="J284" s="122">
        <f aca="true" t="shared" si="184" ref="J284:J315">F284*G284</f>
        <v>0</v>
      </c>
      <c r="K284" s="122">
        <f>'Stavební rozpočet'!K450</f>
        <v>0</v>
      </c>
      <c r="L284" s="122">
        <f aca="true" t="shared" si="185" ref="L284:L315">F284*K284</f>
        <v>0</v>
      </c>
      <c r="M284" s="123" t="s">
        <v>622</v>
      </c>
      <c r="Z284" s="124">
        <f aca="true" t="shared" si="186" ref="Z284:Z315">IF(AQ284="5",BJ284,0)</f>
        <v>0</v>
      </c>
      <c r="AB284" s="124">
        <f aca="true" t="shared" si="187" ref="AB284:AB315">IF(AQ284="1",BH284,0)</f>
        <v>0</v>
      </c>
      <c r="AC284" s="124">
        <f aca="true" t="shared" si="188" ref="AC284:AC315">IF(AQ284="1",BI284,0)</f>
        <v>0</v>
      </c>
      <c r="AD284" s="124">
        <f aca="true" t="shared" si="189" ref="AD284:AD315">IF(AQ284="7",BH284,0)</f>
        <v>0</v>
      </c>
      <c r="AE284" s="124">
        <f aca="true" t="shared" si="190" ref="AE284:AE315">IF(AQ284="7",BI284,0)</f>
        <v>0</v>
      </c>
      <c r="AF284" s="124">
        <f aca="true" t="shared" si="191" ref="AF284:AF315">IF(AQ284="2",BH284,0)</f>
        <v>0</v>
      </c>
      <c r="AG284" s="124">
        <f aca="true" t="shared" si="192" ref="AG284:AG315">IF(AQ284="2",BI284,0)</f>
        <v>0</v>
      </c>
      <c r="AH284" s="124">
        <f aca="true" t="shared" si="193" ref="AH284:AH315">IF(AQ284="0",BJ284,0)</f>
        <v>0</v>
      </c>
      <c r="AI284" s="113" t="s">
        <v>60</v>
      </c>
      <c r="AJ284" s="122">
        <f aca="true" t="shared" si="194" ref="AJ284:AJ315">IF(AN284=0,J284,0)</f>
        <v>0</v>
      </c>
      <c r="AK284" s="122">
        <f aca="true" t="shared" si="195" ref="AK284:AK315">IF(AN284=15,J284,0)</f>
        <v>0</v>
      </c>
      <c r="AL284" s="122">
        <f aca="true" t="shared" si="196" ref="AL284:AL315">IF(AN284=21,J284,0)</f>
        <v>0</v>
      </c>
      <c r="AN284" s="124">
        <v>15</v>
      </c>
      <c r="AO284" s="124">
        <f aca="true" t="shared" si="197" ref="AO284:AO315">G284*0</f>
        <v>0</v>
      </c>
      <c r="AP284" s="124">
        <f aca="true" t="shared" si="198" ref="AP284:AP315">G284*(1-0)</f>
        <v>0</v>
      </c>
      <c r="AQ284" s="123" t="s">
        <v>85</v>
      </c>
      <c r="AV284" s="124">
        <f aca="true" t="shared" si="199" ref="AV284:AV315">AW284+AX284</f>
        <v>0</v>
      </c>
      <c r="AW284" s="124">
        <f aca="true" t="shared" si="200" ref="AW284:AW315">F284*AO284</f>
        <v>0</v>
      </c>
      <c r="AX284" s="124">
        <f aca="true" t="shared" si="201" ref="AX284:AX315">F284*AP284</f>
        <v>0</v>
      </c>
      <c r="AY284" s="125" t="s">
        <v>645</v>
      </c>
      <c r="AZ284" s="125" t="s">
        <v>1538</v>
      </c>
      <c r="BA284" s="113" t="s">
        <v>1542</v>
      </c>
      <c r="BC284" s="124">
        <f aca="true" t="shared" si="202" ref="BC284:BC315">AW284+AX284</f>
        <v>0</v>
      </c>
      <c r="BD284" s="124">
        <f aca="true" t="shared" si="203" ref="BD284:BD315">G284/(100-BE284)*100</f>
        <v>0</v>
      </c>
      <c r="BE284" s="124">
        <v>0</v>
      </c>
      <c r="BF284" s="124">
        <f aca="true" t="shared" si="204" ref="BF284:BF315">L284</f>
        <v>0</v>
      </c>
      <c r="BH284" s="122">
        <f aca="true" t="shared" si="205" ref="BH284:BH315">F284*AO284</f>
        <v>0</v>
      </c>
      <c r="BI284" s="122">
        <f aca="true" t="shared" si="206" ref="BI284:BI315">F284*AP284</f>
        <v>0</v>
      </c>
      <c r="BJ284" s="122">
        <f aca="true" t="shared" si="207" ref="BJ284:BJ315">F284*G284</f>
        <v>0</v>
      </c>
    </row>
    <row r="285" spans="1:62" s="174" customFormat="1" ht="12.75" hidden="1">
      <c r="A285" s="121" t="s">
        <v>734</v>
      </c>
      <c r="B285" s="121" t="s">
        <v>60</v>
      </c>
      <c r="C285" s="121" t="s">
        <v>1084</v>
      </c>
      <c r="D285" s="129" t="s">
        <v>1397</v>
      </c>
      <c r="E285" s="121" t="s">
        <v>606</v>
      </c>
      <c r="F285" s="122">
        <f>'Stavební rozpočet'!F451</f>
        <v>0</v>
      </c>
      <c r="G285" s="172"/>
      <c r="H285" s="122">
        <f t="shared" si="182"/>
        <v>0</v>
      </c>
      <c r="I285" s="122">
        <f t="shared" si="183"/>
        <v>0</v>
      </c>
      <c r="J285" s="122">
        <f t="shared" si="184"/>
        <v>0</v>
      </c>
      <c r="K285" s="122">
        <f>'Stavební rozpočet'!K451</f>
        <v>0</v>
      </c>
      <c r="L285" s="122">
        <f t="shared" si="185"/>
        <v>0</v>
      </c>
      <c r="M285" s="123" t="s">
        <v>622</v>
      </c>
      <c r="Z285" s="124">
        <f t="shared" si="186"/>
        <v>0</v>
      </c>
      <c r="AB285" s="124">
        <f t="shared" si="187"/>
        <v>0</v>
      </c>
      <c r="AC285" s="124">
        <f t="shared" si="188"/>
        <v>0</v>
      </c>
      <c r="AD285" s="124">
        <f t="shared" si="189"/>
        <v>0</v>
      </c>
      <c r="AE285" s="124">
        <f t="shared" si="190"/>
        <v>0</v>
      </c>
      <c r="AF285" s="124">
        <f t="shared" si="191"/>
        <v>0</v>
      </c>
      <c r="AG285" s="124">
        <f t="shared" si="192"/>
        <v>0</v>
      </c>
      <c r="AH285" s="124">
        <f t="shared" si="193"/>
        <v>0</v>
      </c>
      <c r="AI285" s="113" t="s">
        <v>60</v>
      </c>
      <c r="AJ285" s="122">
        <f t="shared" si="194"/>
        <v>0</v>
      </c>
      <c r="AK285" s="122">
        <f t="shared" si="195"/>
        <v>0</v>
      </c>
      <c r="AL285" s="122">
        <f t="shared" si="196"/>
        <v>0</v>
      </c>
      <c r="AN285" s="124">
        <v>15</v>
      </c>
      <c r="AO285" s="124">
        <f t="shared" si="197"/>
        <v>0</v>
      </c>
      <c r="AP285" s="124">
        <f t="shared" si="198"/>
        <v>0</v>
      </c>
      <c r="AQ285" s="123" t="s">
        <v>85</v>
      </c>
      <c r="AV285" s="124">
        <f t="shared" si="199"/>
        <v>0</v>
      </c>
      <c r="AW285" s="124">
        <f t="shared" si="200"/>
        <v>0</v>
      </c>
      <c r="AX285" s="124">
        <f t="shared" si="201"/>
        <v>0</v>
      </c>
      <c r="AY285" s="125" t="s">
        <v>645</v>
      </c>
      <c r="AZ285" s="125" t="s">
        <v>1538</v>
      </c>
      <c r="BA285" s="113" t="s">
        <v>1542</v>
      </c>
      <c r="BC285" s="124">
        <f t="shared" si="202"/>
        <v>0</v>
      </c>
      <c r="BD285" s="124">
        <f t="shared" si="203"/>
        <v>0</v>
      </c>
      <c r="BE285" s="124">
        <v>0</v>
      </c>
      <c r="BF285" s="124">
        <f t="shared" si="204"/>
        <v>0</v>
      </c>
      <c r="BH285" s="122">
        <f t="shared" si="205"/>
        <v>0</v>
      </c>
      <c r="BI285" s="122">
        <f t="shared" si="206"/>
        <v>0</v>
      </c>
      <c r="BJ285" s="122">
        <f t="shared" si="207"/>
        <v>0</v>
      </c>
    </row>
    <row r="286" spans="1:62" s="174" customFormat="1" ht="12.75">
      <c r="A286" s="121" t="s">
        <v>735</v>
      </c>
      <c r="B286" s="121" t="s">
        <v>60</v>
      </c>
      <c r="C286" s="121" t="s">
        <v>1085</v>
      </c>
      <c r="D286" s="129" t="s">
        <v>520</v>
      </c>
      <c r="E286" s="121" t="s">
        <v>606</v>
      </c>
      <c r="F286" s="122">
        <f>'Stavební rozpočet'!F452</f>
        <v>11</v>
      </c>
      <c r="G286" s="172"/>
      <c r="H286" s="122">
        <f t="shared" si="182"/>
        <v>0</v>
      </c>
      <c r="I286" s="122">
        <f t="shared" si="183"/>
        <v>0</v>
      </c>
      <c r="J286" s="122">
        <f t="shared" si="184"/>
        <v>0</v>
      </c>
      <c r="K286" s="122">
        <f>'Stavební rozpočet'!K452</f>
        <v>0</v>
      </c>
      <c r="L286" s="122">
        <f t="shared" si="185"/>
        <v>0</v>
      </c>
      <c r="M286" s="123" t="s">
        <v>622</v>
      </c>
      <c r="Z286" s="124">
        <f t="shared" si="186"/>
        <v>0</v>
      </c>
      <c r="AB286" s="124">
        <f t="shared" si="187"/>
        <v>0</v>
      </c>
      <c r="AC286" s="124">
        <f t="shared" si="188"/>
        <v>0</v>
      </c>
      <c r="AD286" s="124">
        <f t="shared" si="189"/>
        <v>0</v>
      </c>
      <c r="AE286" s="124">
        <f t="shared" si="190"/>
        <v>0</v>
      </c>
      <c r="AF286" s="124">
        <f t="shared" si="191"/>
        <v>0</v>
      </c>
      <c r="AG286" s="124">
        <f t="shared" si="192"/>
        <v>0</v>
      </c>
      <c r="AH286" s="124">
        <f t="shared" si="193"/>
        <v>0</v>
      </c>
      <c r="AI286" s="113" t="s">
        <v>60</v>
      </c>
      <c r="AJ286" s="122">
        <f t="shared" si="194"/>
        <v>0</v>
      </c>
      <c r="AK286" s="122">
        <f t="shared" si="195"/>
        <v>0</v>
      </c>
      <c r="AL286" s="122">
        <f t="shared" si="196"/>
        <v>0</v>
      </c>
      <c r="AN286" s="124">
        <v>15</v>
      </c>
      <c r="AO286" s="124">
        <f t="shared" si="197"/>
        <v>0</v>
      </c>
      <c r="AP286" s="124">
        <f t="shared" si="198"/>
        <v>0</v>
      </c>
      <c r="AQ286" s="123" t="s">
        <v>85</v>
      </c>
      <c r="AV286" s="124">
        <f t="shared" si="199"/>
        <v>0</v>
      </c>
      <c r="AW286" s="124">
        <f t="shared" si="200"/>
        <v>0</v>
      </c>
      <c r="AX286" s="124">
        <f t="shared" si="201"/>
        <v>0</v>
      </c>
      <c r="AY286" s="125" t="s">
        <v>645</v>
      </c>
      <c r="AZ286" s="125" t="s">
        <v>1538</v>
      </c>
      <c r="BA286" s="113" t="s">
        <v>1542</v>
      </c>
      <c r="BC286" s="124">
        <f t="shared" si="202"/>
        <v>0</v>
      </c>
      <c r="BD286" s="124">
        <f t="shared" si="203"/>
        <v>0</v>
      </c>
      <c r="BE286" s="124">
        <v>0</v>
      </c>
      <c r="BF286" s="124">
        <f t="shared" si="204"/>
        <v>0</v>
      </c>
      <c r="BH286" s="122">
        <f t="shared" si="205"/>
        <v>0</v>
      </c>
      <c r="BI286" s="122">
        <f t="shared" si="206"/>
        <v>0</v>
      </c>
      <c r="BJ286" s="122">
        <f t="shared" si="207"/>
        <v>0</v>
      </c>
    </row>
    <row r="287" spans="1:62" s="174" customFormat="1" ht="12.75">
      <c r="A287" s="121" t="s">
        <v>736</v>
      </c>
      <c r="B287" s="121" t="s">
        <v>60</v>
      </c>
      <c r="C287" s="121" t="s">
        <v>1086</v>
      </c>
      <c r="D287" s="129" t="s">
        <v>1398</v>
      </c>
      <c r="E287" s="121" t="s">
        <v>606</v>
      </c>
      <c r="F287" s="122">
        <f>'Stavební rozpočet'!F453</f>
        <v>11</v>
      </c>
      <c r="G287" s="172"/>
      <c r="H287" s="122">
        <f t="shared" si="182"/>
        <v>0</v>
      </c>
      <c r="I287" s="122">
        <f t="shared" si="183"/>
        <v>0</v>
      </c>
      <c r="J287" s="122">
        <f t="shared" si="184"/>
        <v>0</v>
      </c>
      <c r="K287" s="122">
        <f>'Stavební rozpočet'!K453</f>
        <v>0</v>
      </c>
      <c r="L287" s="122">
        <f t="shared" si="185"/>
        <v>0</v>
      </c>
      <c r="M287" s="123" t="s">
        <v>622</v>
      </c>
      <c r="Z287" s="124">
        <f t="shared" si="186"/>
        <v>0</v>
      </c>
      <c r="AB287" s="124">
        <f t="shared" si="187"/>
        <v>0</v>
      </c>
      <c r="AC287" s="124">
        <f t="shared" si="188"/>
        <v>0</v>
      </c>
      <c r="AD287" s="124">
        <f t="shared" si="189"/>
        <v>0</v>
      </c>
      <c r="AE287" s="124">
        <f t="shared" si="190"/>
        <v>0</v>
      </c>
      <c r="AF287" s="124">
        <f t="shared" si="191"/>
        <v>0</v>
      </c>
      <c r="AG287" s="124">
        <f t="shared" si="192"/>
        <v>0</v>
      </c>
      <c r="AH287" s="124">
        <f t="shared" si="193"/>
        <v>0</v>
      </c>
      <c r="AI287" s="113" t="s">
        <v>60</v>
      </c>
      <c r="AJ287" s="122">
        <f t="shared" si="194"/>
        <v>0</v>
      </c>
      <c r="AK287" s="122">
        <f t="shared" si="195"/>
        <v>0</v>
      </c>
      <c r="AL287" s="122">
        <f t="shared" si="196"/>
        <v>0</v>
      </c>
      <c r="AN287" s="124">
        <v>15</v>
      </c>
      <c r="AO287" s="124">
        <f t="shared" si="197"/>
        <v>0</v>
      </c>
      <c r="AP287" s="124">
        <f t="shared" si="198"/>
        <v>0</v>
      </c>
      <c r="AQ287" s="123" t="s">
        <v>85</v>
      </c>
      <c r="AV287" s="124">
        <f t="shared" si="199"/>
        <v>0</v>
      </c>
      <c r="AW287" s="124">
        <f t="shared" si="200"/>
        <v>0</v>
      </c>
      <c r="AX287" s="124">
        <f t="shared" si="201"/>
        <v>0</v>
      </c>
      <c r="AY287" s="125" t="s">
        <v>645</v>
      </c>
      <c r="AZ287" s="125" t="s">
        <v>1538</v>
      </c>
      <c r="BA287" s="113" t="s">
        <v>1542</v>
      </c>
      <c r="BC287" s="124">
        <f t="shared" si="202"/>
        <v>0</v>
      </c>
      <c r="BD287" s="124">
        <f t="shared" si="203"/>
        <v>0</v>
      </c>
      <c r="BE287" s="124">
        <v>0</v>
      </c>
      <c r="BF287" s="124">
        <f t="shared" si="204"/>
        <v>0</v>
      </c>
      <c r="BH287" s="122">
        <f t="shared" si="205"/>
        <v>0</v>
      </c>
      <c r="BI287" s="122">
        <f t="shared" si="206"/>
        <v>0</v>
      </c>
      <c r="BJ287" s="122">
        <f t="shared" si="207"/>
        <v>0</v>
      </c>
    </row>
    <row r="288" spans="1:62" s="174" customFormat="1" ht="12.75">
      <c r="A288" s="121" t="s">
        <v>737</v>
      </c>
      <c r="B288" s="121" t="s">
        <v>60</v>
      </c>
      <c r="C288" s="121" t="s">
        <v>1087</v>
      </c>
      <c r="D288" s="129" t="s">
        <v>522</v>
      </c>
      <c r="E288" s="121" t="s">
        <v>606</v>
      </c>
      <c r="F288" s="122">
        <f>'Stavební rozpočet'!F454</f>
        <v>11</v>
      </c>
      <c r="G288" s="172"/>
      <c r="H288" s="122">
        <f t="shared" si="182"/>
        <v>0</v>
      </c>
      <c r="I288" s="122">
        <f t="shared" si="183"/>
        <v>0</v>
      </c>
      <c r="J288" s="122">
        <f t="shared" si="184"/>
        <v>0</v>
      </c>
      <c r="K288" s="122">
        <f>'Stavební rozpočet'!K454</f>
        <v>0</v>
      </c>
      <c r="L288" s="122">
        <f t="shared" si="185"/>
        <v>0</v>
      </c>
      <c r="M288" s="123" t="s">
        <v>622</v>
      </c>
      <c r="Z288" s="124">
        <f t="shared" si="186"/>
        <v>0</v>
      </c>
      <c r="AB288" s="124">
        <f t="shared" si="187"/>
        <v>0</v>
      </c>
      <c r="AC288" s="124">
        <f t="shared" si="188"/>
        <v>0</v>
      </c>
      <c r="AD288" s="124">
        <f t="shared" si="189"/>
        <v>0</v>
      </c>
      <c r="AE288" s="124">
        <f t="shared" si="190"/>
        <v>0</v>
      </c>
      <c r="AF288" s="124">
        <f t="shared" si="191"/>
        <v>0</v>
      </c>
      <c r="AG288" s="124">
        <f t="shared" si="192"/>
        <v>0</v>
      </c>
      <c r="AH288" s="124">
        <f t="shared" si="193"/>
        <v>0</v>
      </c>
      <c r="AI288" s="113" t="s">
        <v>60</v>
      </c>
      <c r="AJ288" s="122">
        <f t="shared" si="194"/>
        <v>0</v>
      </c>
      <c r="AK288" s="122">
        <f t="shared" si="195"/>
        <v>0</v>
      </c>
      <c r="AL288" s="122">
        <f t="shared" si="196"/>
        <v>0</v>
      </c>
      <c r="AN288" s="124">
        <v>15</v>
      </c>
      <c r="AO288" s="124">
        <f t="shared" si="197"/>
        <v>0</v>
      </c>
      <c r="AP288" s="124">
        <f t="shared" si="198"/>
        <v>0</v>
      </c>
      <c r="AQ288" s="123" t="s">
        <v>85</v>
      </c>
      <c r="AV288" s="124">
        <f t="shared" si="199"/>
        <v>0</v>
      </c>
      <c r="AW288" s="124">
        <f t="shared" si="200"/>
        <v>0</v>
      </c>
      <c r="AX288" s="124">
        <f t="shared" si="201"/>
        <v>0</v>
      </c>
      <c r="AY288" s="125" t="s">
        <v>645</v>
      </c>
      <c r="AZ288" s="125" t="s">
        <v>1538</v>
      </c>
      <c r="BA288" s="113" t="s">
        <v>1542</v>
      </c>
      <c r="BC288" s="124">
        <f t="shared" si="202"/>
        <v>0</v>
      </c>
      <c r="BD288" s="124">
        <f t="shared" si="203"/>
        <v>0</v>
      </c>
      <c r="BE288" s="124">
        <v>0</v>
      </c>
      <c r="BF288" s="124">
        <f t="shared" si="204"/>
        <v>0</v>
      </c>
      <c r="BH288" s="122">
        <f t="shared" si="205"/>
        <v>0</v>
      </c>
      <c r="BI288" s="122">
        <f t="shared" si="206"/>
        <v>0</v>
      </c>
      <c r="BJ288" s="122">
        <f t="shared" si="207"/>
        <v>0</v>
      </c>
    </row>
    <row r="289" spans="1:62" s="174" customFormat="1" ht="12.75">
      <c r="A289" s="121" t="s">
        <v>738</v>
      </c>
      <c r="B289" s="121" t="s">
        <v>60</v>
      </c>
      <c r="C289" s="121" t="s">
        <v>1088</v>
      </c>
      <c r="D289" s="129" t="s">
        <v>523</v>
      </c>
      <c r="E289" s="121" t="s">
        <v>606</v>
      </c>
      <c r="F289" s="122">
        <f>'Stavební rozpočet'!F455</f>
        <v>11</v>
      </c>
      <c r="G289" s="172"/>
      <c r="H289" s="122">
        <f t="shared" si="182"/>
        <v>0</v>
      </c>
      <c r="I289" s="122">
        <f t="shared" si="183"/>
        <v>0</v>
      </c>
      <c r="J289" s="122">
        <f t="shared" si="184"/>
        <v>0</v>
      </c>
      <c r="K289" s="122">
        <f>'Stavební rozpočet'!K455</f>
        <v>0</v>
      </c>
      <c r="L289" s="122">
        <f t="shared" si="185"/>
        <v>0</v>
      </c>
      <c r="M289" s="123" t="s">
        <v>622</v>
      </c>
      <c r="Z289" s="124">
        <f t="shared" si="186"/>
        <v>0</v>
      </c>
      <c r="AB289" s="124">
        <f t="shared" si="187"/>
        <v>0</v>
      </c>
      <c r="AC289" s="124">
        <f t="shared" si="188"/>
        <v>0</v>
      </c>
      <c r="AD289" s="124">
        <f t="shared" si="189"/>
        <v>0</v>
      </c>
      <c r="AE289" s="124">
        <f t="shared" si="190"/>
        <v>0</v>
      </c>
      <c r="AF289" s="124">
        <f t="shared" si="191"/>
        <v>0</v>
      </c>
      <c r="AG289" s="124">
        <f t="shared" si="192"/>
        <v>0</v>
      </c>
      <c r="AH289" s="124">
        <f t="shared" si="193"/>
        <v>0</v>
      </c>
      <c r="AI289" s="113" t="s">
        <v>60</v>
      </c>
      <c r="AJ289" s="122">
        <f t="shared" si="194"/>
        <v>0</v>
      </c>
      <c r="AK289" s="122">
        <f t="shared" si="195"/>
        <v>0</v>
      </c>
      <c r="AL289" s="122">
        <f t="shared" si="196"/>
        <v>0</v>
      </c>
      <c r="AN289" s="124">
        <v>15</v>
      </c>
      <c r="AO289" s="124">
        <f t="shared" si="197"/>
        <v>0</v>
      </c>
      <c r="AP289" s="124">
        <f t="shared" si="198"/>
        <v>0</v>
      </c>
      <c r="AQ289" s="123" t="s">
        <v>85</v>
      </c>
      <c r="AV289" s="124">
        <f t="shared" si="199"/>
        <v>0</v>
      </c>
      <c r="AW289" s="124">
        <f t="shared" si="200"/>
        <v>0</v>
      </c>
      <c r="AX289" s="124">
        <f t="shared" si="201"/>
        <v>0</v>
      </c>
      <c r="AY289" s="125" t="s">
        <v>645</v>
      </c>
      <c r="AZ289" s="125" t="s">
        <v>1538</v>
      </c>
      <c r="BA289" s="113" t="s">
        <v>1542</v>
      </c>
      <c r="BC289" s="124">
        <f t="shared" si="202"/>
        <v>0</v>
      </c>
      <c r="BD289" s="124">
        <f t="shared" si="203"/>
        <v>0</v>
      </c>
      <c r="BE289" s="124">
        <v>0</v>
      </c>
      <c r="BF289" s="124">
        <f t="shared" si="204"/>
        <v>0</v>
      </c>
      <c r="BH289" s="122">
        <f t="shared" si="205"/>
        <v>0</v>
      </c>
      <c r="BI289" s="122">
        <f t="shared" si="206"/>
        <v>0</v>
      </c>
      <c r="BJ289" s="122">
        <f t="shared" si="207"/>
        <v>0</v>
      </c>
    </row>
    <row r="290" spans="1:62" s="174" customFormat="1" ht="12.75">
      <c r="A290" s="121" t="s">
        <v>739</v>
      </c>
      <c r="B290" s="121" t="s">
        <v>60</v>
      </c>
      <c r="C290" s="121" t="s">
        <v>328</v>
      </c>
      <c r="D290" s="129" t="s">
        <v>524</v>
      </c>
      <c r="E290" s="121" t="s">
        <v>606</v>
      </c>
      <c r="F290" s="122">
        <f>'Stavební rozpočet'!F456</f>
        <v>4</v>
      </c>
      <c r="G290" s="172"/>
      <c r="H290" s="122">
        <f t="shared" si="182"/>
        <v>0</v>
      </c>
      <c r="I290" s="122">
        <f t="shared" si="183"/>
        <v>0</v>
      </c>
      <c r="J290" s="122">
        <f t="shared" si="184"/>
        <v>0</v>
      </c>
      <c r="K290" s="122">
        <f>'Stavební rozpočet'!K456</f>
        <v>0</v>
      </c>
      <c r="L290" s="122">
        <f t="shared" si="185"/>
        <v>0</v>
      </c>
      <c r="M290" s="123" t="s">
        <v>622</v>
      </c>
      <c r="Z290" s="124">
        <f t="shared" si="186"/>
        <v>0</v>
      </c>
      <c r="AB290" s="124">
        <f t="shared" si="187"/>
        <v>0</v>
      </c>
      <c r="AC290" s="124">
        <f t="shared" si="188"/>
        <v>0</v>
      </c>
      <c r="AD290" s="124">
        <f t="shared" si="189"/>
        <v>0</v>
      </c>
      <c r="AE290" s="124">
        <f t="shared" si="190"/>
        <v>0</v>
      </c>
      <c r="AF290" s="124">
        <f t="shared" si="191"/>
        <v>0</v>
      </c>
      <c r="AG290" s="124">
        <f t="shared" si="192"/>
        <v>0</v>
      </c>
      <c r="AH290" s="124">
        <f t="shared" si="193"/>
        <v>0</v>
      </c>
      <c r="AI290" s="113" t="s">
        <v>60</v>
      </c>
      <c r="AJ290" s="122">
        <f t="shared" si="194"/>
        <v>0</v>
      </c>
      <c r="AK290" s="122">
        <f t="shared" si="195"/>
        <v>0</v>
      </c>
      <c r="AL290" s="122">
        <f t="shared" si="196"/>
        <v>0</v>
      </c>
      <c r="AN290" s="124">
        <v>15</v>
      </c>
      <c r="AO290" s="124">
        <f t="shared" si="197"/>
        <v>0</v>
      </c>
      <c r="AP290" s="124">
        <f t="shared" si="198"/>
        <v>0</v>
      </c>
      <c r="AQ290" s="123" t="s">
        <v>85</v>
      </c>
      <c r="AV290" s="124">
        <f t="shared" si="199"/>
        <v>0</v>
      </c>
      <c r="AW290" s="124">
        <f t="shared" si="200"/>
        <v>0</v>
      </c>
      <c r="AX290" s="124">
        <f t="shared" si="201"/>
        <v>0</v>
      </c>
      <c r="AY290" s="125" t="s">
        <v>645</v>
      </c>
      <c r="AZ290" s="125" t="s">
        <v>1538</v>
      </c>
      <c r="BA290" s="113" t="s">
        <v>1542</v>
      </c>
      <c r="BC290" s="124">
        <f t="shared" si="202"/>
        <v>0</v>
      </c>
      <c r="BD290" s="124">
        <f t="shared" si="203"/>
        <v>0</v>
      </c>
      <c r="BE290" s="124">
        <v>0</v>
      </c>
      <c r="BF290" s="124">
        <f t="shared" si="204"/>
        <v>0</v>
      </c>
      <c r="BH290" s="122">
        <f t="shared" si="205"/>
        <v>0</v>
      </c>
      <c r="BI290" s="122">
        <f t="shared" si="206"/>
        <v>0</v>
      </c>
      <c r="BJ290" s="122">
        <f t="shared" si="207"/>
        <v>0</v>
      </c>
    </row>
    <row r="291" spans="1:62" s="174" customFormat="1" ht="12.75">
      <c r="A291" s="121" t="s">
        <v>740</v>
      </c>
      <c r="B291" s="121" t="s">
        <v>60</v>
      </c>
      <c r="C291" s="121" t="s">
        <v>329</v>
      </c>
      <c r="D291" s="129" t="s">
        <v>525</v>
      </c>
      <c r="E291" s="121" t="s">
        <v>606</v>
      </c>
      <c r="F291" s="122">
        <f>'Stavební rozpočet'!F457</f>
        <v>4</v>
      </c>
      <c r="G291" s="172"/>
      <c r="H291" s="122">
        <f t="shared" si="182"/>
        <v>0</v>
      </c>
      <c r="I291" s="122">
        <f t="shared" si="183"/>
        <v>0</v>
      </c>
      <c r="J291" s="122">
        <f t="shared" si="184"/>
        <v>0</v>
      </c>
      <c r="K291" s="122">
        <f>'Stavební rozpočet'!K457</f>
        <v>0</v>
      </c>
      <c r="L291" s="122">
        <f t="shared" si="185"/>
        <v>0</v>
      </c>
      <c r="M291" s="123" t="s">
        <v>622</v>
      </c>
      <c r="Z291" s="124">
        <f t="shared" si="186"/>
        <v>0</v>
      </c>
      <c r="AB291" s="124">
        <f t="shared" si="187"/>
        <v>0</v>
      </c>
      <c r="AC291" s="124">
        <f t="shared" si="188"/>
        <v>0</v>
      </c>
      <c r="AD291" s="124">
        <f t="shared" si="189"/>
        <v>0</v>
      </c>
      <c r="AE291" s="124">
        <f t="shared" si="190"/>
        <v>0</v>
      </c>
      <c r="AF291" s="124">
        <f t="shared" si="191"/>
        <v>0</v>
      </c>
      <c r="AG291" s="124">
        <f t="shared" si="192"/>
        <v>0</v>
      </c>
      <c r="AH291" s="124">
        <f t="shared" si="193"/>
        <v>0</v>
      </c>
      <c r="AI291" s="113" t="s">
        <v>60</v>
      </c>
      <c r="AJ291" s="122">
        <f t="shared" si="194"/>
        <v>0</v>
      </c>
      <c r="AK291" s="122">
        <f t="shared" si="195"/>
        <v>0</v>
      </c>
      <c r="AL291" s="122">
        <f t="shared" si="196"/>
        <v>0</v>
      </c>
      <c r="AN291" s="124">
        <v>15</v>
      </c>
      <c r="AO291" s="124">
        <f t="shared" si="197"/>
        <v>0</v>
      </c>
      <c r="AP291" s="124">
        <f t="shared" si="198"/>
        <v>0</v>
      </c>
      <c r="AQ291" s="123" t="s">
        <v>85</v>
      </c>
      <c r="AV291" s="124">
        <f t="shared" si="199"/>
        <v>0</v>
      </c>
      <c r="AW291" s="124">
        <f t="shared" si="200"/>
        <v>0</v>
      </c>
      <c r="AX291" s="124">
        <f t="shared" si="201"/>
        <v>0</v>
      </c>
      <c r="AY291" s="125" t="s">
        <v>645</v>
      </c>
      <c r="AZ291" s="125" t="s">
        <v>1538</v>
      </c>
      <c r="BA291" s="113" t="s">
        <v>1542</v>
      </c>
      <c r="BC291" s="124">
        <f t="shared" si="202"/>
        <v>0</v>
      </c>
      <c r="BD291" s="124">
        <f t="shared" si="203"/>
        <v>0</v>
      </c>
      <c r="BE291" s="124">
        <v>0</v>
      </c>
      <c r="BF291" s="124">
        <f t="shared" si="204"/>
        <v>0</v>
      </c>
      <c r="BH291" s="122">
        <f t="shared" si="205"/>
        <v>0</v>
      </c>
      <c r="BI291" s="122">
        <f t="shared" si="206"/>
        <v>0</v>
      </c>
      <c r="BJ291" s="122">
        <f t="shared" si="207"/>
        <v>0</v>
      </c>
    </row>
    <row r="292" spans="1:62" s="174" customFormat="1" ht="12.75">
      <c r="A292" s="121" t="s">
        <v>741</v>
      </c>
      <c r="B292" s="121" t="s">
        <v>60</v>
      </c>
      <c r="C292" s="121" t="s">
        <v>330</v>
      </c>
      <c r="D292" s="129" t="s">
        <v>526</v>
      </c>
      <c r="E292" s="121" t="s">
        <v>606</v>
      </c>
      <c r="F292" s="122">
        <f>'Stavební rozpočet'!F458</f>
        <v>4</v>
      </c>
      <c r="G292" s="172"/>
      <c r="H292" s="122">
        <f t="shared" si="182"/>
        <v>0</v>
      </c>
      <c r="I292" s="122">
        <f t="shared" si="183"/>
        <v>0</v>
      </c>
      <c r="J292" s="122">
        <f t="shared" si="184"/>
        <v>0</v>
      </c>
      <c r="K292" s="122">
        <f>'Stavební rozpočet'!K458</f>
        <v>0</v>
      </c>
      <c r="L292" s="122">
        <f t="shared" si="185"/>
        <v>0</v>
      </c>
      <c r="M292" s="123" t="s">
        <v>622</v>
      </c>
      <c r="Z292" s="124">
        <f t="shared" si="186"/>
        <v>0</v>
      </c>
      <c r="AB292" s="124">
        <f t="shared" si="187"/>
        <v>0</v>
      </c>
      <c r="AC292" s="124">
        <f t="shared" si="188"/>
        <v>0</v>
      </c>
      <c r="AD292" s="124">
        <f t="shared" si="189"/>
        <v>0</v>
      </c>
      <c r="AE292" s="124">
        <f t="shared" si="190"/>
        <v>0</v>
      </c>
      <c r="AF292" s="124">
        <f t="shared" si="191"/>
        <v>0</v>
      </c>
      <c r="AG292" s="124">
        <f t="shared" si="192"/>
        <v>0</v>
      </c>
      <c r="AH292" s="124">
        <f t="shared" si="193"/>
        <v>0</v>
      </c>
      <c r="AI292" s="113" t="s">
        <v>60</v>
      </c>
      <c r="AJ292" s="122">
        <f t="shared" si="194"/>
        <v>0</v>
      </c>
      <c r="AK292" s="122">
        <f t="shared" si="195"/>
        <v>0</v>
      </c>
      <c r="AL292" s="122">
        <f t="shared" si="196"/>
        <v>0</v>
      </c>
      <c r="AN292" s="124">
        <v>15</v>
      </c>
      <c r="AO292" s="124">
        <f t="shared" si="197"/>
        <v>0</v>
      </c>
      <c r="AP292" s="124">
        <f t="shared" si="198"/>
        <v>0</v>
      </c>
      <c r="AQ292" s="123" t="s">
        <v>85</v>
      </c>
      <c r="AV292" s="124">
        <f t="shared" si="199"/>
        <v>0</v>
      </c>
      <c r="AW292" s="124">
        <f t="shared" si="200"/>
        <v>0</v>
      </c>
      <c r="AX292" s="124">
        <f t="shared" si="201"/>
        <v>0</v>
      </c>
      <c r="AY292" s="125" t="s">
        <v>645</v>
      </c>
      <c r="AZ292" s="125" t="s">
        <v>1538</v>
      </c>
      <c r="BA292" s="113" t="s">
        <v>1542</v>
      </c>
      <c r="BC292" s="124">
        <f t="shared" si="202"/>
        <v>0</v>
      </c>
      <c r="BD292" s="124">
        <f t="shared" si="203"/>
        <v>0</v>
      </c>
      <c r="BE292" s="124">
        <v>0</v>
      </c>
      <c r="BF292" s="124">
        <f t="shared" si="204"/>
        <v>0</v>
      </c>
      <c r="BH292" s="122">
        <f t="shared" si="205"/>
        <v>0</v>
      </c>
      <c r="BI292" s="122">
        <f t="shared" si="206"/>
        <v>0</v>
      </c>
      <c r="BJ292" s="122">
        <f t="shared" si="207"/>
        <v>0</v>
      </c>
    </row>
    <row r="293" spans="1:62" s="174" customFormat="1" ht="12.75">
      <c r="A293" s="121" t="s">
        <v>742</v>
      </c>
      <c r="B293" s="121" t="s">
        <v>60</v>
      </c>
      <c r="C293" s="121" t="s">
        <v>331</v>
      </c>
      <c r="D293" s="129" t="s">
        <v>527</v>
      </c>
      <c r="E293" s="121" t="s">
        <v>606</v>
      </c>
      <c r="F293" s="122">
        <f>'Stavební rozpočet'!F459</f>
        <v>4</v>
      </c>
      <c r="G293" s="172"/>
      <c r="H293" s="122">
        <f t="shared" si="182"/>
        <v>0</v>
      </c>
      <c r="I293" s="122">
        <f t="shared" si="183"/>
        <v>0</v>
      </c>
      <c r="J293" s="122">
        <f t="shared" si="184"/>
        <v>0</v>
      </c>
      <c r="K293" s="122">
        <f>'Stavební rozpočet'!K459</f>
        <v>0</v>
      </c>
      <c r="L293" s="122">
        <f t="shared" si="185"/>
        <v>0</v>
      </c>
      <c r="M293" s="123" t="s">
        <v>622</v>
      </c>
      <c r="Z293" s="124">
        <f t="shared" si="186"/>
        <v>0</v>
      </c>
      <c r="AB293" s="124">
        <f t="shared" si="187"/>
        <v>0</v>
      </c>
      <c r="AC293" s="124">
        <f t="shared" si="188"/>
        <v>0</v>
      </c>
      <c r="AD293" s="124">
        <f t="shared" si="189"/>
        <v>0</v>
      </c>
      <c r="AE293" s="124">
        <f t="shared" si="190"/>
        <v>0</v>
      </c>
      <c r="AF293" s="124">
        <f t="shared" si="191"/>
        <v>0</v>
      </c>
      <c r="AG293" s="124">
        <f t="shared" si="192"/>
        <v>0</v>
      </c>
      <c r="AH293" s="124">
        <f t="shared" si="193"/>
        <v>0</v>
      </c>
      <c r="AI293" s="113" t="s">
        <v>60</v>
      </c>
      <c r="AJ293" s="122">
        <f t="shared" si="194"/>
        <v>0</v>
      </c>
      <c r="AK293" s="122">
        <f t="shared" si="195"/>
        <v>0</v>
      </c>
      <c r="AL293" s="122">
        <f t="shared" si="196"/>
        <v>0</v>
      </c>
      <c r="AN293" s="124">
        <v>15</v>
      </c>
      <c r="AO293" s="124">
        <f t="shared" si="197"/>
        <v>0</v>
      </c>
      <c r="AP293" s="124">
        <f t="shared" si="198"/>
        <v>0</v>
      </c>
      <c r="AQ293" s="123" t="s">
        <v>85</v>
      </c>
      <c r="AV293" s="124">
        <f t="shared" si="199"/>
        <v>0</v>
      </c>
      <c r="AW293" s="124">
        <f t="shared" si="200"/>
        <v>0</v>
      </c>
      <c r="AX293" s="124">
        <f t="shared" si="201"/>
        <v>0</v>
      </c>
      <c r="AY293" s="125" t="s">
        <v>645</v>
      </c>
      <c r="AZ293" s="125" t="s">
        <v>1538</v>
      </c>
      <c r="BA293" s="113" t="s">
        <v>1542</v>
      </c>
      <c r="BC293" s="124">
        <f t="shared" si="202"/>
        <v>0</v>
      </c>
      <c r="BD293" s="124">
        <f t="shared" si="203"/>
        <v>0</v>
      </c>
      <c r="BE293" s="124">
        <v>0</v>
      </c>
      <c r="BF293" s="124">
        <f t="shared" si="204"/>
        <v>0</v>
      </c>
      <c r="BH293" s="122">
        <f t="shared" si="205"/>
        <v>0</v>
      </c>
      <c r="BI293" s="122">
        <f t="shared" si="206"/>
        <v>0</v>
      </c>
      <c r="BJ293" s="122">
        <f t="shared" si="207"/>
        <v>0</v>
      </c>
    </row>
    <row r="294" spans="1:62" s="174" customFormat="1" ht="12.75">
      <c r="A294" s="121" t="s">
        <v>743</v>
      </c>
      <c r="B294" s="121" t="s">
        <v>60</v>
      </c>
      <c r="C294" s="121" t="s">
        <v>332</v>
      </c>
      <c r="D294" s="129" t="s">
        <v>528</v>
      </c>
      <c r="E294" s="121" t="s">
        <v>606</v>
      </c>
      <c r="F294" s="122">
        <f>'Stavební rozpočet'!F460</f>
        <v>2</v>
      </c>
      <c r="G294" s="172"/>
      <c r="H294" s="122">
        <f t="shared" si="182"/>
        <v>0</v>
      </c>
      <c r="I294" s="122">
        <f t="shared" si="183"/>
        <v>0</v>
      </c>
      <c r="J294" s="122">
        <f t="shared" si="184"/>
        <v>0</v>
      </c>
      <c r="K294" s="122">
        <f>'Stavební rozpočet'!K460</f>
        <v>0</v>
      </c>
      <c r="L294" s="122">
        <f t="shared" si="185"/>
        <v>0</v>
      </c>
      <c r="M294" s="123" t="s">
        <v>622</v>
      </c>
      <c r="Z294" s="124">
        <f t="shared" si="186"/>
        <v>0</v>
      </c>
      <c r="AB294" s="124">
        <f t="shared" si="187"/>
        <v>0</v>
      </c>
      <c r="AC294" s="124">
        <f t="shared" si="188"/>
        <v>0</v>
      </c>
      <c r="AD294" s="124">
        <f t="shared" si="189"/>
        <v>0</v>
      </c>
      <c r="AE294" s="124">
        <f t="shared" si="190"/>
        <v>0</v>
      </c>
      <c r="AF294" s="124">
        <f t="shared" si="191"/>
        <v>0</v>
      </c>
      <c r="AG294" s="124">
        <f t="shared" si="192"/>
        <v>0</v>
      </c>
      <c r="AH294" s="124">
        <f t="shared" si="193"/>
        <v>0</v>
      </c>
      <c r="AI294" s="113" t="s">
        <v>60</v>
      </c>
      <c r="AJ294" s="122">
        <f t="shared" si="194"/>
        <v>0</v>
      </c>
      <c r="AK294" s="122">
        <f t="shared" si="195"/>
        <v>0</v>
      </c>
      <c r="AL294" s="122">
        <f t="shared" si="196"/>
        <v>0</v>
      </c>
      <c r="AN294" s="124">
        <v>15</v>
      </c>
      <c r="AO294" s="124">
        <f t="shared" si="197"/>
        <v>0</v>
      </c>
      <c r="AP294" s="124">
        <f t="shared" si="198"/>
        <v>0</v>
      </c>
      <c r="AQ294" s="123" t="s">
        <v>85</v>
      </c>
      <c r="AV294" s="124">
        <f t="shared" si="199"/>
        <v>0</v>
      </c>
      <c r="AW294" s="124">
        <f t="shared" si="200"/>
        <v>0</v>
      </c>
      <c r="AX294" s="124">
        <f t="shared" si="201"/>
        <v>0</v>
      </c>
      <c r="AY294" s="125" t="s">
        <v>645</v>
      </c>
      <c r="AZ294" s="125" t="s">
        <v>1538</v>
      </c>
      <c r="BA294" s="113" t="s">
        <v>1542</v>
      </c>
      <c r="BC294" s="124">
        <f t="shared" si="202"/>
        <v>0</v>
      </c>
      <c r="BD294" s="124">
        <f t="shared" si="203"/>
        <v>0</v>
      </c>
      <c r="BE294" s="124">
        <v>0</v>
      </c>
      <c r="BF294" s="124">
        <f t="shared" si="204"/>
        <v>0</v>
      </c>
      <c r="BH294" s="122">
        <f t="shared" si="205"/>
        <v>0</v>
      </c>
      <c r="BI294" s="122">
        <f t="shared" si="206"/>
        <v>0</v>
      </c>
      <c r="BJ294" s="122">
        <f t="shared" si="207"/>
        <v>0</v>
      </c>
    </row>
    <row r="295" spans="1:62" s="174" customFormat="1" ht="12.75">
      <c r="A295" s="121" t="s">
        <v>744</v>
      </c>
      <c r="B295" s="121" t="s">
        <v>60</v>
      </c>
      <c r="C295" s="121" t="s">
        <v>335</v>
      </c>
      <c r="D295" s="129" t="s">
        <v>530</v>
      </c>
      <c r="E295" s="121" t="s">
        <v>611</v>
      </c>
      <c r="F295" s="122">
        <f>'Stavební rozpočet'!F461</f>
        <v>10</v>
      </c>
      <c r="G295" s="172"/>
      <c r="H295" s="122">
        <f t="shared" si="182"/>
        <v>0</v>
      </c>
      <c r="I295" s="122">
        <f t="shared" si="183"/>
        <v>0</v>
      </c>
      <c r="J295" s="122">
        <f t="shared" si="184"/>
        <v>0</v>
      </c>
      <c r="K295" s="122">
        <f>'Stavební rozpočet'!K461</f>
        <v>0</v>
      </c>
      <c r="L295" s="122">
        <f t="shared" si="185"/>
        <v>0</v>
      </c>
      <c r="M295" s="123" t="s">
        <v>622</v>
      </c>
      <c r="Z295" s="124">
        <f t="shared" si="186"/>
        <v>0</v>
      </c>
      <c r="AB295" s="124">
        <f t="shared" si="187"/>
        <v>0</v>
      </c>
      <c r="AC295" s="124">
        <f t="shared" si="188"/>
        <v>0</v>
      </c>
      <c r="AD295" s="124">
        <f t="shared" si="189"/>
        <v>0</v>
      </c>
      <c r="AE295" s="124">
        <f t="shared" si="190"/>
        <v>0</v>
      </c>
      <c r="AF295" s="124">
        <f t="shared" si="191"/>
        <v>0</v>
      </c>
      <c r="AG295" s="124">
        <f t="shared" si="192"/>
        <v>0</v>
      </c>
      <c r="AH295" s="124">
        <f t="shared" si="193"/>
        <v>0</v>
      </c>
      <c r="AI295" s="113" t="s">
        <v>60</v>
      </c>
      <c r="AJ295" s="122">
        <f t="shared" si="194"/>
        <v>0</v>
      </c>
      <c r="AK295" s="122">
        <f t="shared" si="195"/>
        <v>0</v>
      </c>
      <c r="AL295" s="122">
        <f t="shared" si="196"/>
        <v>0</v>
      </c>
      <c r="AN295" s="124">
        <v>15</v>
      </c>
      <c r="AO295" s="124">
        <f t="shared" si="197"/>
        <v>0</v>
      </c>
      <c r="AP295" s="124">
        <f t="shared" si="198"/>
        <v>0</v>
      </c>
      <c r="AQ295" s="123" t="s">
        <v>85</v>
      </c>
      <c r="AV295" s="124">
        <f t="shared" si="199"/>
        <v>0</v>
      </c>
      <c r="AW295" s="124">
        <f t="shared" si="200"/>
        <v>0</v>
      </c>
      <c r="AX295" s="124">
        <f t="shared" si="201"/>
        <v>0</v>
      </c>
      <c r="AY295" s="125" t="s">
        <v>645</v>
      </c>
      <c r="AZ295" s="125" t="s">
        <v>1538</v>
      </c>
      <c r="BA295" s="113" t="s">
        <v>1542</v>
      </c>
      <c r="BC295" s="124">
        <f t="shared" si="202"/>
        <v>0</v>
      </c>
      <c r="BD295" s="124">
        <f t="shared" si="203"/>
        <v>0</v>
      </c>
      <c r="BE295" s="124">
        <v>0</v>
      </c>
      <c r="BF295" s="124">
        <f t="shared" si="204"/>
        <v>0</v>
      </c>
      <c r="BH295" s="122">
        <f t="shared" si="205"/>
        <v>0</v>
      </c>
      <c r="BI295" s="122">
        <f t="shared" si="206"/>
        <v>0</v>
      </c>
      <c r="BJ295" s="122">
        <f t="shared" si="207"/>
        <v>0</v>
      </c>
    </row>
    <row r="296" spans="1:62" s="174" customFormat="1" ht="12.75">
      <c r="A296" s="121" t="s">
        <v>745</v>
      </c>
      <c r="B296" s="121" t="s">
        <v>60</v>
      </c>
      <c r="C296" s="121" t="s">
        <v>336</v>
      </c>
      <c r="D296" s="129" t="s">
        <v>531</v>
      </c>
      <c r="E296" s="121" t="s">
        <v>611</v>
      </c>
      <c r="F296" s="122">
        <f>'Stavební rozpočet'!F462</f>
        <v>15</v>
      </c>
      <c r="G296" s="172"/>
      <c r="H296" s="122">
        <f t="shared" si="182"/>
        <v>0</v>
      </c>
      <c r="I296" s="122">
        <f t="shared" si="183"/>
        <v>0</v>
      </c>
      <c r="J296" s="122">
        <f t="shared" si="184"/>
        <v>0</v>
      </c>
      <c r="K296" s="122">
        <f>'Stavební rozpočet'!K462</f>
        <v>0</v>
      </c>
      <c r="L296" s="122">
        <f t="shared" si="185"/>
        <v>0</v>
      </c>
      <c r="M296" s="123" t="s">
        <v>622</v>
      </c>
      <c r="Z296" s="124">
        <f t="shared" si="186"/>
        <v>0</v>
      </c>
      <c r="AB296" s="124">
        <f t="shared" si="187"/>
        <v>0</v>
      </c>
      <c r="AC296" s="124">
        <f t="shared" si="188"/>
        <v>0</v>
      </c>
      <c r="AD296" s="124">
        <f t="shared" si="189"/>
        <v>0</v>
      </c>
      <c r="AE296" s="124">
        <f t="shared" si="190"/>
        <v>0</v>
      </c>
      <c r="AF296" s="124">
        <f t="shared" si="191"/>
        <v>0</v>
      </c>
      <c r="AG296" s="124">
        <f t="shared" si="192"/>
        <v>0</v>
      </c>
      <c r="AH296" s="124">
        <f t="shared" si="193"/>
        <v>0</v>
      </c>
      <c r="AI296" s="113" t="s">
        <v>60</v>
      </c>
      <c r="AJ296" s="122">
        <f t="shared" si="194"/>
        <v>0</v>
      </c>
      <c r="AK296" s="122">
        <f t="shared" si="195"/>
        <v>0</v>
      </c>
      <c r="AL296" s="122">
        <f t="shared" si="196"/>
        <v>0</v>
      </c>
      <c r="AN296" s="124">
        <v>15</v>
      </c>
      <c r="AO296" s="124">
        <f t="shared" si="197"/>
        <v>0</v>
      </c>
      <c r="AP296" s="124">
        <f t="shared" si="198"/>
        <v>0</v>
      </c>
      <c r="AQ296" s="123" t="s">
        <v>85</v>
      </c>
      <c r="AV296" s="124">
        <f t="shared" si="199"/>
        <v>0</v>
      </c>
      <c r="AW296" s="124">
        <f t="shared" si="200"/>
        <v>0</v>
      </c>
      <c r="AX296" s="124">
        <f t="shared" si="201"/>
        <v>0</v>
      </c>
      <c r="AY296" s="125" t="s">
        <v>645</v>
      </c>
      <c r="AZ296" s="125" t="s">
        <v>1538</v>
      </c>
      <c r="BA296" s="113" t="s">
        <v>1542</v>
      </c>
      <c r="BC296" s="124">
        <f t="shared" si="202"/>
        <v>0</v>
      </c>
      <c r="BD296" s="124">
        <f t="shared" si="203"/>
        <v>0</v>
      </c>
      <c r="BE296" s="124">
        <v>0</v>
      </c>
      <c r="BF296" s="124">
        <f t="shared" si="204"/>
        <v>0</v>
      </c>
      <c r="BH296" s="122">
        <f t="shared" si="205"/>
        <v>0</v>
      </c>
      <c r="BI296" s="122">
        <f t="shared" si="206"/>
        <v>0</v>
      </c>
      <c r="BJ296" s="122">
        <f t="shared" si="207"/>
        <v>0</v>
      </c>
    </row>
    <row r="297" spans="1:62" s="174" customFormat="1" ht="12.75">
      <c r="A297" s="121" t="s">
        <v>746</v>
      </c>
      <c r="B297" s="121" t="s">
        <v>60</v>
      </c>
      <c r="C297" s="121" t="s">
        <v>337</v>
      </c>
      <c r="D297" s="129" t="s">
        <v>532</v>
      </c>
      <c r="E297" s="121" t="s">
        <v>606</v>
      </c>
      <c r="F297" s="122">
        <f>'Stavební rozpočet'!F463</f>
        <v>1</v>
      </c>
      <c r="G297" s="172"/>
      <c r="H297" s="122">
        <f t="shared" si="182"/>
        <v>0</v>
      </c>
      <c r="I297" s="122">
        <f t="shared" si="183"/>
        <v>0</v>
      </c>
      <c r="J297" s="122">
        <f t="shared" si="184"/>
        <v>0</v>
      </c>
      <c r="K297" s="122">
        <f>'Stavební rozpočet'!K463</f>
        <v>0</v>
      </c>
      <c r="L297" s="122">
        <f t="shared" si="185"/>
        <v>0</v>
      </c>
      <c r="M297" s="123" t="s">
        <v>622</v>
      </c>
      <c r="Z297" s="124">
        <f t="shared" si="186"/>
        <v>0</v>
      </c>
      <c r="AB297" s="124">
        <f t="shared" si="187"/>
        <v>0</v>
      </c>
      <c r="AC297" s="124">
        <f t="shared" si="188"/>
        <v>0</v>
      </c>
      <c r="AD297" s="124">
        <f t="shared" si="189"/>
        <v>0</v>
      </c>
      <c r="AE297" s="124">
        <f t="shared" si="190"/>
        <v>0</v>
      </c>
      <c r="AF297" s="124">
        <f t="shared" si="191"/>
        <v>0</v>
      </c>
      <c r="AG297" s="124">
        <f t="shared" si="192"/>
        <v>0</v>
      </c>
      <c r="AH297" s="124">
        <f t="shared" si="193"/>
        <v>0</v>
      </c>
      <c r="AI297" s="113" t="s">
        <v>60</v>
      </c>
      <c r="AJ297" s="122">
        <f t="shared" si="194"/>
        <v>0</v>
      </c>
      <c r="AK297" s="122">
        <f t="shared" si="195"/>
        <v>0</v>
      </c>
      <c r="AL297" s="122">
        <f t="shared" si="196"/>
        <v>0</v>
      </c>
      <c r="AN297" s="124">
        <v>15</v>
      </c>
      <c r="AO297" s="124">
        <f t="shared" si="197"/>
        <v>0</v>
      </c>
      <c r="AP297" s="124">
        <f t="shared" si="198"/>
        <v>0</v>
      </c>
      <c r="AQ297" s="123" t="s">
        <v>85</v>
      </c>
      <c r="AV297" s="124">
        <f t="shared" si="199"/>
        <v>0</v>
      </c>
      <c r="AW297" s="124">
        <f t="shared" si="200"/>
        <v>0</v>
      </c>
      <c r="AX297" s="124">
        <f t="shared" si="201"/>
        <v>0</v>
      </c>
      <c r="AY297" s="125" t="s">
        <v>645</v>
      </c>
      <c r="AZ297" s="125" t="s">
        <v>1538</v>
      </c>
      <c r="BA297" s="113" t="s">
        <v>1542</v>
      </c>
      <c r="BC297" s="124">
        <f t="shared" si="202"/>
        <v>0</v>
      </c>
      <c r="BD297" s="124">
        <f t="shared" si="203"/>
        <v>0</v>
      </c>
      <c r="BE297" s="124">
        <v>0</v>
      </c>
      <c r="BF297" s="124">
        <f t="shared" si="204"/>
        <v>0</v>
      </c>
      <c r="BH297" s="122">
        <f t="shared" si="205"/>
        <v>0</v>
      </c>
      <c r="BI297" s="122">
        <f t="shared" si="206"/>
        <v>0</v>
      </c>
      <c r="BJ297" s="122">
        <f t="shared" si="207"/>
        <v>0</v>
      </c>
    </row>
    <row r="298" spans="1:62" s="174" customFormat="1" ht="12.75">
      <c r="A298" s="121" t="s">
        <v>747</v>
      </c>
      <c r="B298" s="121" t="s">
        <v>60</v>
      </c>
      <c r="C298" s="121" t="s">
        <v>340</v>
      </c>
      <c r="D298" s="129" t="s">
        <v>529</v>
      </c>
      <c r="E298" s="121" t="s">
        <v>609</v>
      </c>
      <c r="F298" s="122">
        <f>'Stavební rozpočet'!F464</f>
        <v>2.3</v>
      </c>
      <c r="G298" s="172"/>
      <c r="H298" s="122">
        <f t="shared" si="182"/>
        <v>0</v>
      </c>
      <c r="I298" s="122">
        <f t="shared" si="183"/>
        <v>0</v>
      </c>
      <c r="J298" s="122">
        <f t="shared" si="184"/>
        <v>0</v>
      </c>
      <c r="K298" s="122">
        <f>'Stavební rozpočet'!K464</f>
        <v>0</v>
      </c>
      <c r="L298" s="122">
        <f t="shared" si="185"/>
        <v>0</v>
      </c>
      <c r="M298" s="123" t="s">
        <v>622</v>
      </c>
      <c r="Z298" s="124">
        <f t="shared" si="186"/>
        <v>0</v>
      </c>
      <c r="AB298" s="124">
        <f t="shared" si="187"/>
        <v>0</v>
      </c>
      <c r="AC298" s="124">
        <f t="shared" si="188"/>
        <v>0</v>
      </c>
      <c r="AD298" s="124">
        <f t="shared" si="189"/>
        <v>0</v>
      </c>
      <c r="AE298" s="124">
        <f t="shared" si="190"/>
        <v>0</v>
      </c>
      <c r="AF298" s="124">
        <f t="shared" si="191"/>
        <v>0</v>
      </c>
      <c r="AG298" s="124">
        <f t="shared" si="192"/>
        <v>0</v>
      </c>
      <c r="AH298" s="124">
        <f t="shared" si="193"/>
        <v>0</v>
      </c>
      <c r="AI298" s="113" t="s">
        <v>60</v>
      </c>
      <c r="AJ298" s="122">
        <f t="shared" si="194"/>
        <v>0</v>
      </c>
      <c r="AK298" s="122">
        <f t="shared" si="195"/>
        <v>0</v>
      </c>
      <c r="AL298" s="122">
        <f t="shared" si="196"/>
        <v>0</v>
      </c>
      <c r="AN298" s="124">
        <v>15</v>
      </c>
      <c r="AO298" s="124">
        <f t="shared" si="197"/>
        <v>0</v>
      </c>
      <c r="AP298" s="124">
        <f t="shared" si="198"/>
        <v>0</v>
      </c>
      <c r="AQ298" s="123" t="s">
        <v>85</v>
      </c>
      <c r="AV298" s="124">
        <f t="shared" si="199"/>
        <v>0</v>
      </c>
      <c r="AW298" s="124">
        <f t="shared" si="200"/>
        <v>0</v>
      </c>
      <c r="AX298" s="124">
        <f t="shared" si="201"/>
        <v>0</v>
      </c>
      <c r="AY298" s="125" t="s">
        <v>645</v>
      </c>
      <c r="AZ298" s="125" t="s">
        <v>1538</v>
      </c>
      <c r="BA298" s="113" t="s">
        <v>1542</v>
      </c>
      <c r="BC298" s="124">
        <f t="shared" si="202"/>
        <v>0</v>
      </c>
      <c r="BD298" s="124">
        <f t="shared" si="203"/>
        <v>0</v>
      </c>
      <c r="BE298" s="124">
        <v>0</v>
      </c>
      <c r="BF298" s="124">
        <f t="shared" si="204"/>
        <v>0</v>
      </c>
      <c r="BH298" s="122">
        <f t="shared" si="205"/>
        <v>0</v>
      </c>
      <c r="BI298" s="122">
        <f t="shared" si="206"/>
        <v>0</v>
      </c>
      <c r="BJ298" s="122">
        <f t="shared" si="207"/>
        <v>0</v>
      </c>
    </row>
    <row r="299" spans="1:62" s="174" customFormat="1" ht="25.5">
      <c r="A299" s="121" t="s">
        <v>748</v>
      </c>
      <c r="B299" s="121" t="s">
        <v>60</v>
      </c>
      <c r="C299" s="121" t="s">
        <v>341</v>
      </c>
      <c r="D299" s="129" t="s">
        <v>533</v>
      </c>
      <c r="E299" s="121" t="s">
        <v>606</v>
      </c>
      <c r="F299" s="122">
        <f>'Stavební rozpočet'!F465</f>
        <v>1</v>
      </c>
      <c r="G299" s="172"/>
      <c r="H299" s="122">
        <f t="shared" si="182"/>
        <v>0</v>
      </c>
      <c r="I299" s="122">
        <f t="shared" si="183"/>
        <v>0</v>
      </c>
      <c r="J299" s="122">
        <f t="shared" si="184"/>
        <v>0</v>
      </c>
      <c r="K299" s="122">
        <f>'Stavební rozpočet'!K465</f>
        <v>0</v>
      </c>
      <c r="L299" s="122">
        <f t="shared" si="185"/>
        <v>0</v>
      </c>
      <c r="M299" s="123" t="s">
        <v>622</v>
      </c>
      <c r="Z299" s="124">
        <f t="shared" si="186"/>
        <v>0</v>
      </c>
      <c r="AB299" s="124">
        <f t="shared" si="187"/>
        <v>0</v>
      </c>
      <c r="AC299" s="124">
        <f t="shared" si="188"/>
        <v>0</v>
      </c>
      <c r="AD299" s="124">
        <f t="shared" si="189"/>
        <v>0</v>
      </c>
      <c r="AE299" s="124">
        <f t="shared" si="190"/>
        <v>0</v>
      </c>
      <c r="AF299" s="124">
        <f t="shared" si="191"/>
        <v>0</v>
      </c>
      <c r="AG299" s="124">
        <f t="shared" si="192"/>
        <v>0</v>
      </c>
      <c r="AH299" s="124">
        <f t="shared" si="193"/>
        <v>0</v>
      </c>
      <c r="AI299" s="113" t="s">
        <v>60</v>
      </c>
      <c r="AJ299" s="122">
        <f t="shared" si="194"/>
        <v>0</v>
      </c>
      <c r="AK299" s="122">
        <f t="shared" si="195"/>
        <v>0</v>
      </c>
      <c r="AL299" s="122">
        <f t="shared" si="196"/>
        <v>0</v>
      </c>
      <c r="AN299" s="124">
        <v>15</v>
      </c>
      <c r="AO299" s="124">
        <f t="shared" si="197"/>
        <v>0</v>
      </c>
      <c r="AP299" s="124">
        <f t="shared" si="198"/>
        <v>0</v>
      </c>
      <c r="AQ299" s="123" t="s">
        <v>85</v>
      </c>
      <c r="AV299" s="124">
        <f t="shared" si="199"/>
        <v>0</v>
      </c>
      <c r="AW299" s="124">
        <f t="shared" si="200"/>
        <v>0</v>
      </c>
      <c r="AX299" s="124">
        <f t="shared" si="201"/>
        <v>0</v>
      </c>
      <c r="AY299" s="125" t="s">
        <v>645</v>
      </c>
      <c r="AZ299" s="125" t="s">
        <v>1538</v>
      </c>
      <c r="BA299" s="113" t="s">
        <v>1542</v>
      </c>
      <c r="BC299" s="124">
        <f t="shared" si="202"/>
        <v>0</v>
      </c>
      <c r="BD299" s="124">
        <f t="shared" si="203"/>
        <v>0</v>
      </c>
      <c r="BE299" s="124">
        <v>0</v>
      </c>
      <c r="BF299" s="124">
        <f t="shared" si="204"/>
        <v>0</v>
      </c>
      <c r="BH299" s="122">
        <f t="shared" si="205"/>
        <v>0</v>
      </c>
      <c r="BI299" s="122">
        <f t="shared" si="206"/>
        <v>0</v>
      </c>
      <c r="BJ299" s="122">
        <f t="shared" si="207"/>
        <v>0</v>
      </c>
    </row>
    <row r="300" spans="1:62" s="174" customFormat="1" ht="25.5">
      <c r="A300" s="121" t="s">
        <v>749</v>
      </c>
      <c r="B300" s="121" t="s">
        <v>60</v>
      </c>
      <c r="C300" s="121" t="s">
        <v>342</v>
      </c>
      <c r="D300" s="129" t="s">
        <v>534</v>
      </c>
      <c r="E300" s="121" t="s">
        <v>606</v>
      </c>
      <c r="F300" s="122">
        <f>'Stavební rozpočet'!F466</f>
        <v>4</v>
      </c>
      <c r="G300" s="172"/>
      <c r="H300" s="122">
        <f t="shared" si="182"/>
        <v>0</v>
      </c>
      <c r="I300" s="122">
        <f t="shared" si="183"/>
        <v>0</v>
      </c>
      <c r="J300" s="122">
        <f t="shared" si="184"/>
        <v>0</v>
      </c>
      <c r="K300" s="122">
        <f>'Stavební rozpočet'!K466</f>
        <v>0</v>
      </c>
      <c r="L300" s="122">
        <f t="shared" si="185"/>
        <v>0</v>
      </c>
      <c r="M300" s="123" t="s">
        <v>622</v>
      </c>
      <c r="Z300" s="124">
        <f t="shared" si="186"/>
        <v>0</v>
      </c>
      <c r="AB300" s="124">
        <f t="shared" si="187"/>
        <v>0</v>
      </c>
      <c r="AC300" s="124">
        <f t="shared" si="188"/>
        <v>0</v>
      </c>
      <c r="AD300" s="124">
        <f t="shared" si="189"/>
        <v>0</v>
      </c>
      <c r="AE300" s="124">
        <f t="shared" si="190"/>
        <v>0</v>
      </c>
      <c r="AF300" s="124">
        <f t="shared" si="191"/>
        <v>0</v>
      </c>
      <c r="AG300" s="124">
        <f t="shared" si="192"/>
        <v>0</v>
      </c>
      <c r="AH300" s="124">
        <f t="shared" si="193"/>
        <v>0</v>
      </c>
      <c r="AI300" s="113" t="s">
        <v>60</v>
      </c>
      <c r="AJ300" s="122">
        <f t="shared" si="194"/>
        <v>0</v>
      </c>
      <c r="AK300" s="122">
        <f t="shared" si="195"/>
        <v>0</v>
      </c>
      <c r="AL300" s="122">
        <f t="shared" si="196"/>
        <v>0</v>
      </c>
      <c r="AN300" s="124">
        <v>15</v>
      </c>
      <c r="AO300" s="124">
        <f t="shared" si="197"/>
        <v>0</v>
      </c>
      <c r="AP300" s="124">
        <f t="shared" si="198"/>
        <v>0</v>
      </c>
      <c r="AQ300" s="123" t="s">
        <v>85</v>
      </c>
      <c r="AV300" s="124">
        <f t="shared" si="199"/>
        <v>0</v>
      </c>
      <c r="AW300" s="124">
        <f t="shared" si="200"/>
        <v>0</v>
      </c>
      <c r="AX300" s="124">
        <f t="shared" si="201"/>
        <v>0</v>
      </c>
      <c r="AY300" s="125" t="s">
        <v>645</v>
      </c>
      <c r="AZ300" s="125" t="s">
        <v>1538</v>
      </c>
      <c r="BA300" s="113" t="s">
        <v>1542</v>
      </c>
      <c r="BC300" s="124">
        <f t="shared" si="202"/>
        <v>0</v>
      </c>
      <c r="BD300" s="124">
        <f t="shared" si="203"/>
        <v>0</v>
      </c>
      <c r="BE300" s="124">
        <v>0</v>
      </c>
      <c r="BF300" s="124">
        <f t="shared" si="204"/>
        <v>0</v>
      </c>
      <c r="BH300" s="122">
        <f t="shared" si="205"/>
        <v>0</v>
      </c>
      <c r="BI300" s="122">
        <f t="shared" si="206"/>
        <v>0</v>
      </c>
      <c r="BJ300" s="122">
        <f t="shared" si="207"/>
        <v>0</v>
      </c>
    </row>
    <row r="301" spans="1:62" s="174" customFormat="1" ht="12.75">
      <c r="A301" s="121" t="s">
        <v>750</v>
      </c>
      <c r="B301" s="121" t="s">
        <v>60</v>
      </c>
      <c r="C301" s="121" t="s">
        <v>343</v>
      </c>
      <c r="D301" s="129" t="s">
        <v>535</v>
      </c>
      <c r="E301" s="121" t="s">
        <v>606</v>
      </c>
      <c r="F301" s="122">
        <f>'Stavební rozpočet'!F467</f>
        <v>1</v>
      </c>
      <c r="G301" s="172"/>
      <c r="H301" s="122">
        <f t="shared" si="182"/>
        <v>0</v>
      </c>
      <c r="I301" s="122">
        <f t="shared" si="183"/>
        <v>0</v>
      </c>
      <c r="J301" s="122">
        <f t="shared" si="184"/>
        <v>0</v>
      </c>
      <c r="K301" s="122">
        <f>'Stavební rozpočet'!K467</f>
        <v>0</v>
      </c>
      <c r="L301" s="122">
        <f t="shared" si="185"/>
        <v>0</v>
      </c>
      <c r="M301" s="123" t="s">
        <v>622</v>
      </c>
      <c r="Z301" s="124">
        <f t="shared" si="186"/>
        <v>0</v>
      </c>
      <c r="AB301" s="124">
        <f t="shared" si="187"/>
        <v>0</v>
      </c>
      <c r="AC301" s="124">
        <f t="shared" si="188"/>
        <v>0</v>
      </c>
      <c r="AD301" s="124">
        <f t="shared" si="189"/>
        <v>0</v>
      </c>
      <c r="AE301" s="124">
        <f t="shared" si="190"/>
        <v>0</v>
      </c>
      <c r="AF301" s="124">
        <f t="shared" si="191"/>
        <v>0</v>
      </c>
      <c r="AG301" s="124">
        <f t="shared" si="192"/>
        <v>0</v>
      </c>
      <c r="AH301" s="124">
        <f t="shared" si="193"/>
        <v>0</v>
      </c>
      <c r="AI301" s="113" t="s">
        <v>60</v>
      </c>
      <c r="AJ301" s="122">
        <f t="shared" si="194"/>
        <v>0</v>
      </c>
      <c r="AK301" s="122">
        <f t="shared" si="195"/>
        <v>0</v>
      </c>
      <c r="AL301" s="122">
        <f t="shared" si="196"/>
        <v>0</v>
      </c>
      <c r="AN301" s="124">
        <v>15</v>
      </c>
      <c r="AO301" s="124">
        <f t="shared" si="197"/>
        <v>0</v>
      </c>
      <c r="AP301" s="124">
        <f t="shared" si="198"/>
        <v>0</v>
      </c>
      <c r="AQ301" s="123" t="s">
        <v>85</v>
      </c>
      <c r="AV301" s="124">
        <f t="shared" si="199"/>
        <v>0</v>
      </c>
      <c r="AW301" s="124">
        <f t="shared" si="200"/>
        <v>0</v>
      </c>
      <c r="AX301" s="124">
        <f t="shared" si="201"/>
        <v>0</v>
      </c>
      <c r="AY301" s="125" t="s">
        <v>645</v>
      </c>
      <c r="AZ301" s="125" t="s">
        <v>1538</v>
      </c>
      <c r="BA301" s="113" t="s">
        <v>1542</v>
      </c>
      <c r="BC301" s="124">
        <f t="shared" si="202"/>
        <v>0</v>
      </c>
      <c r="BD301" s="124">
        <f t="shared" si="203"/>
        <v>0</v>
      </c>
      <c r="BE301" s="124">
        <v>0</v>
      </c>
      <c r="BF301" s="124">
        <f t="shared" si="204"/>
        <v>0</v>
      </c>
      <c r="BH301" s="122">
        <f t="shared" si="205"/>
        <v>0</v>
      </c>
      <c r="BI301" s="122">
        <f t="shared" si="206"/>
        <v>0</v>
      </c>
      <c r="BJ301" s="122">
        <f t="shared" si="207"/>
        <v>0</v>
      </c>
    </row>
    <row r="302" spans="1:62" s="174" customFormat="1" ht="12.75">
      <c r="A302" s="121" t="s">
        <v>751</v>
      </c>
      <c r="B302" s="121" t="s">
        <v>60</v>
      </c>
      <c r="C302" s="121" t="s">
        <v>344</v>
      </c>
      <c r="D302" s="129" t="s">
        <v>536</v>
      </c>
      <c r="E302" s="121" t="s">
        <v>606</v>
      </c>
      <c r="F302" s="122">
        <f>'Stavební rozpočet'!F468</f>
        <v>1</v>
      </c>
      <c r="G302" s="172"/>
      <c r="H302" s="122">
        <f t="shared" si="182"/>
        <v>0</v>
      </c>
      <c r="I302" s="122">
        <f t="shared" si="183"/>
        <v>0</v>
      </c>
      <c r="J302" s="122">
        <f t="shared" si="184"/>
        <v>0</v>
      </c>
      <c r="K302" s="122">
        <f>'Stavební rozpočet'!K468</f>
        <v>0</v>
      </c>
      <c r="L302" s="122">
        <f t="shared" si="185"/>
        <v>0</v>
      </c>
      <c r="M302" s="123" t="s">
        <v>622</v>
      </c>
      <c r="Z302" s="124">
        <f t="shared" si="186"/>
        <v>0</v>
      </c>
      <c r="AB302" s="124">
        <f t="shared" si="187"/>
        <v>0</v>
      </c>
      <c r="AC302" s="124">
        <f t="shared" si="188"/>
        <v>0</v>
      </c>
      <c r="AD302" s="124">
        <f t="shared" si="189"/>
        <v>0</v>
      </c>
      <c r="AE302" s="124">
        <f t="shared" si="190"/>
        <v>0</v>
      </c>
      <c r="AF302" s="124">
        <f t="shared" si="191"/>
        <v>0</v>
      </c>
      <c r="AG302" s="124">
        <f t="shared" si="192"/>
        <v>0</v>
      </c>
      <c r="AH302" s="124">
        <f t="shared" si="193"/>
        <v>0</v>
      </c>
      <c r="AI302" s="113" t="s">
        <v>60</v>
      </c>
      <c r="AJ302" s="122">
        <f t="shared" si="194"/>
        <v>0</v>
      </c>
      <c r="AK302" s="122">
        <f t="shared" si="195"/>
        <v>0</v>
      </c>
      <c r="AL302" s="122">
        <f t="shared" si="196"/>
        <v>0</v>
      </c>
      <c r="AN302" s="124">
        <v>15</v>
      </c>
      <c r="AO302" s="124">
        <f t="shared" si="197"/>
        <v>0</v>
      </c>
      <c r="AP302" s="124">
        <f t="shared" si="198"/>
        <v>0</v>
      </c>
      <c r="AQ302" s="123" t="s">
        <v>85</v>
      </c>
      <c r="AV302" s="124">
        <f t="shared" si="199"/>
        <v>0</v>
      </c>
      <c r="AW302" s="124">
        <f t="shared" si="200"/>
        <v>0</v>
      </c>
      <c r="AX302" s="124">
        <f t="shared" si="201"/>
        <v>0</v>
      </c>
      <c r="AY302" s="125" t="s">
        <v>645</v>
      </c>
      <c r="AZ302" s="125" t="s">
        <v>1538</v>
      </c>
      <c r="BA302" s="113" t="s">
        <v>1542</v>
      </c>
      <c r="BC302" s="124">
        <f t="shared" si="202"/>
        <v>0</v>
      </c>
      <c r="BD302" s="124">
        <f t="shared" si="203"/>
        <v>0</v>
      </c>
      <c r="BE302" s="124">
        <v>0</v>
      </c>
      <c r="BF302" s="124">
        <f t="shared" si="204"/>
        <v>0</v>
      </c>
      <c r="BH302" s="122">
        <f t="shared" si="205"/>
        <v>0</v>
      </c>
      <c r="BI302" s="122">
        <f t="shared" si="206"/>
        <v>0</v>
      </c>
      <c r="BJ302" s="122">
        <f t="shared" si="207"/>
        <v>0</v>
      </c>
    </row>
    <row r="303" spans="1:62" s="174" customFormat="1" ht="12.75">
      <c r="A303" s="121" t="s">
        <v>752</v>
      </c>
      <c r="B303" s="121" t="s">
        <v>60</v>
      </c>
      <c r="C303" s="121" t="s">
        <v>345</v>
      </c>
      <c r="D303" s="129" t="s">
        <v>537</v>
      </c>
      <c r="E303" s="121" t="s">
        <v>606</v>
      </c>
      <c r="F303" s="122">
        <f>'Stavební rozpočet'!F469</f>
        <v>1</v>
      </c>
      <c r="G303" s="172"/>
      <c r="H303" s="122">
        <f t="shared" si="182"/>
        <v>0</v>
      </c>
      <c r="I303" s="122">
        <f t="shared" si="183"/>
        <v>0</v>
      </c>
      <c r="J303" s="122">
        <f t="shared" si="184"/>
        <v>0</v>
      </c>
      <c r="K303" s="122">
        <f>'Stavební rozpočet'!K469</f>
        <v>0</v>
      </c>
      <c r="L303" s="122">
        <f t="shared" si="185"/>
        <v>0</v>
      </c>
      <c r="M303" s="123" t="s">
        <v>622</v>
      </c>
      <c r="Z303" s="124">
        <f t="shared" si="186"/>
        <v>0</v>
      </c>
      <c r="AB303" s="124">
        <f t="shared" si="187"/>
        <v>0</v>
      </c>
      <c r="AC303" s="124">
        <f t="shared" si="188"/>
        <v>0</v>
      </c>
      <c r="AD303" s="124">
        <f t="shared" si="189"/>
        <v>0</v>
      </c>
      <c r="AE303" s="124">
        <f t="shared" si="190"/>
        <v>0</v>
      </c>
      <c r="AF303" s="124">
        <f t="shared" si="191"/>
        <v>0</v>
      </c>
      <c r="AG303" s="124">
        <f t="shared" si="192"/>
        <v>0</v>
      </c>
      <c r="AH303" s="124">
        <f t="shared" si="193"/>
        <v>0</v>
      </c>
      <c r="AI303" s="113" t="s">
        <v>60</v>
      </c>
      <c r="AJ303" s="122">
        <f t="shared" si="194"/>
        <v>0</v>
      </c>
      <c r="AK303" s="122">
        <f t="shared" si="195"/>
        <v>0</v>
      </c>
      <c r="AL303" s="122">
        <f t="shared" si="196"/>
        <v>0</v>
      </c>
      <c r="AN303" s="124">
        <v>15</v>
      </c>
      <c r="AO303" s="124">
        <f t="shared" si="197"/>
        <v>0</v>
      </c>
      <c r="AP303" s="124">
        <f t="shared" si="198"/>
        <v>0</v>
      </c>
      <c r="AQ303" s="123" t="s">
        <v>85</v>
      </c>
      <c r="AV303" s="124">
        <f t="shared" si="199"/>
        <v>0</v>
      </c>
      <c r="AW303" s="124">
        <f t="shared" si="200"/>
        <v>0</v>
      </c>
      <c r="AX303" s="124">
        <f t="shared" si="201"/>
        <v>0</v>
      </c>
      <c r="AY303" s="125" t="s">
        <v>645</v>
      </c>
      <c r="AZ303" s="125" t="s">
        <v>1538</v>
      </c>
      <c r="BA303" s="113" t="s">
        <v>1542</v>
      </c>
      <c r="BC303" s="124">
        <f t="shared" si="202"/>
        <v>0</v>
      </c>
      <c r="BD303" s="124">
        <f t="shared" si="203"/>
        <v>0</v>
      </c>
      <c r="BE303" s="124">
        <v>0</v>
      </c>
      <c r="BF303" s="124">
        <f t="shared" si="204"/>
        <v>0</v>
      </c>
      <c r="BH303" s="122">
        <f t="shared" si="205"/>
        <v>0</v>
      </c>
      <c r="BI303" s="122">
        <f t="shared" si="206"/>
        <v>0</v>
      </c>
      <c r="BJ303" s="122">
        <f t="shared" si="207"/>
        <v>0</v>
      </c>
    </row>
    <row r="304" spans="1:62" s="174" customFormat="1" ht="12.75">
      <c r="A304" s="121" t="s">
        <v>753</v>
      </c>
      <c r="B304" s="121" t="s">
        <v>60</v>
      </c>
      <c r="C304" s="121" t="s">
        <v>346</v>
      </c>
      <c r="D304" s="129" t="s">
        <v>538</v>
      </c>
      <c r="E304" s="121" t="s">
        <v>606</v>
      </c>
      <c r="F304" s="122">
        <f>'Stavební rozpočet'!F470</f>
        <v>2</v>
      </c>
      <c r="G304" s="172"/>
      <c r="H304" s="122">
        <f t="shared" si="182"/>
        <v>0</v>
      </c>
      <c r="I304" s="122">
        <f t="shared" si="183"/>
        <v>0</v>
      </c>
      <c r="J304" s="122">
        <f t="shared" si="184"/>
        <v>0</v>
      </c>
      <c r="K304" s="122">
        <f>'Stavební rozpočet'!K470</f>
        <v>0</v>
      </c>
      <c r="L304" s="122">
        <f t="shared" si="185"/>
        <v>0</v>
      </c>
      <c r="M304" s="123" t="s">
        <v>622</v>
      </c>
      <c r="Z304" s="124">
        <f t="shared" si="186"/>
        <v>0</v>
      </c>
      <c r="AB304" s="124">
        <f t="shared" si="187"/>
        <v>0</v>
      </c>
      <c r="AC304" s="124">
        <f t="shared" si="188"/>
        <v>0</v>
      </c>
      <c r="AD304" s="124">
        <f t="shared" si="189"/>
        <v>0</v>
      </c>
      <c r="AE304" s="124">
        <f t="shared" si="190"/>
        <v>0</v>
      </c>
      <c r="AF304" s="124">
        <f t="shared" si="191"/>
        <v>0</v>
      </c>
      <c r="AG304" s="124">
        <f t="shared" si="192"/>
        <v>0</v>
      </c>
      <c r="AH304" s="124">
        <f t="shared" si="193"/>
        <v>0</v>
      </c>
      <c r="AI304" s="113" t="s">
        <v>60</v>
      </c>
      <c r="AJ304" s="122">
        <f t="shared" si="194"/>
        <v>0</v>
      </c>
      <c r="AK304" s="122">
        <f t="shared" si="195"/>
        <v>0</v>
      </c>
      <c r="AL304" s="122">
        <f t="shared" si="196"/>
        <v>0</v>
      </c>
      <c r="AN304" s="124">
        <v>15</v>
      </c>
      <c r="AO304" s="124">
        <f t="shared" si="197"/>
        <v>0</v>
      </c>
      <c r="AP304" s="124">
        <f t="shared" si="198"/>
        <v>0</v>
      </c>
      <c r="AQ304" s="123" t="s">
        <v>85</v>
      </c>
      <c r="AV304" s="124">
        <f t="shared" si="199"/>
        <v>0</v>
      </c>
      <c r="AW304" s="124">
        <f t="shared" si="200"/>
        <v>0</v>
      </c>
      <c r="AX304" s="124">
        <f t="shared" si="201"/>
        <v>0</v>
      </c>
      <c r="AY304" s="125" t="s">
        <v>645</v>
      </c>
      <c r="AZ304" s="125" t="s">
        <v>1538</v>
      </c>
      <c r="BA304" s="113" t="s">
        <v>1542</v>
      </c>
      <c r="BC304" s="124">
        <f t="shared" si="202"/>
        <v>0</v>
      </c>
      <c r="BD304" s="124">
        <f t="shared" si="203"/>
        <v>0</v>
      </c>
      <c r="BE304" s="124">
        <v>0</v>
      </c>
      <c r="BF304" s="124">
        <f t="shared" si="204"/>
        <v>0</v>
      </c>
      <c r="BH304" s="122">
        <f t="shared" si="205"/>
        <v>0</v>
      </c>
      <c r="BI304" s="122">
        <f t="shared" si="206"/>
        <v>0</v>
      </c>
      <c r="BJ304" s="122">
        <f t="shared" si="207"/>
        <v>0</v>
      </c>
    </row>
    <row r="305" spans="1:62" s="174" customFormat="1" ht="12.75">
      <c r="A305" s="121" t="s">
        <v>754</v>
      </c>
      <c r="B305" s="121" t="s">
        <v>60</v>
      </c>
      <c r="C305" s="121" t="s">
        <v>1089</v>
      </c>
      <c r="D305" s="129" t="s">
        <v>541</v>
      </c>
      <c r="E305" s="121" t="s">
        <v>606</v>
      </c>
      <c r="F305" s="122">
        <f>'Stavební rozpočet'!F471</f>
        <v>2</v>
      </c>
      <c r="G305" s="172"/>
      <c r="H305" s="122">
        <f t="shared" si="182"/>
        <v>0</v>
      </c>
      <c r="I305" s="122">
        <f t="shared" si="183"/>
        <v>0</v>
      </c>
      <c r="J305" s="122">
        <f t="shared" si="184"/>
        <v>0</v>
      </c>
      <c r="K305" s="122">
        <f>'Stavební rozpočet'!K471</f>
        <v>0</v>
      </c>
      <c r="L305" s="122">
        <f t="shared" si="185"/>
        <v>0</v>
      </c>
      <c r="M305" s="123" t="s">
        <v>622</v>
      </c>
      <c r="Z305" s="124">
        <f t="shared" si="186"/>
        <v>0</v>
      </c>
      <c r="AB305" s="124">
        <f t="shared" si="187"/>
        <v>0</v>
      </c>
      <c r="AC305" s="124">
        <f t="shared" si="188"/>
        <v>0</v>
      </c>
      <c r="AD305" s="124">
        <f t="shared" si="189"/>
        <v>0</v>
      </c>
      <c r="AE305" s="124">
        <f t="shared" si="190"/>
        <v>0</v>
      </c>
      <c r="AF305" s="124">
        <f t="shared" si="191"/>
        <v>0</v>
      </c>
      <c r="AG305" s="124">
        <f t="shared" si="192"/>
        <v>0</v>
      </c>
      <c r="AH305" s="124">
        <f t="shared" si="193"/>
        <v>0</v>
      </c>
      <c r="AI305" s="113" t="s">
        <v>60</v>
      </c>
      <c r="AJ305" s="122">
        <f t="shared" si="194"/>
        <v>0</v>
      </c>
      <c r="AK305" s="122">
        <f t="shared" si="195"/>
        <v>0</v>
      </c>
      <c r="AL305" s="122">
        <f t="shared" si="196"/>
        <v>0</v>
      </c>
      <c r="AN305" s="124">
        <v>15</v>
      </c>
      <c r="AO305" s="124">
        <f t="shared" si="197"/>
        <v>0</v>
      </c>
      <c r="AP305" s="124">
        <f t="shared" si="198"/>
        <v>0</v>
      </c>
      <c r="AQ305" s="123" t="s">
        <v>85</v>
      </c>
      <c r="AV305" s="124">
        <f t="shared" si="199"/>
        <v>0</v>
      </c>
      <c r="AW305" s="124">
        <f t="shared" si="200"/>
        <v>0</v>
      </c>
      <c r="AX305" s="124">
        <f t="shared" si="201"/>
        <v>0</v>
      </c>
      <c r="AY305" s="125" t="s">
        <v>645</v>
      </c>
      <c r="AZ305" s="125" t="s">
        <v>1538</v>
      </c>
      <c r="BA305" s="113" t="s">
        <v>1542</v>
      </c>
      <c r="BC305" s="124">
        <f t="shared" si="202"/>
        <v>0</v>
      </c>
      <c r="BD305" s="124">
        <f t="shared" si="203"/>
        <v>0</v>
      </c>
      <c r="BE305" s="124">
        <v>0</v>
      </c>
      <c r="BF305" s="124">
        <f t="shared" si="204"/>
        <v>0</v>
      </c>
      <c r="BH305" s="122">
        <f t="shared" si="205"/>
        <v>0</v>
      </c>
      <c r="BI305" s="122">
        <f t="shared" si="206"/>
        <v>0</v>
      </c>
      <c r="BJ305" s="122">
        <f t="shared" si="207"/>
        <v>0</v>
      </c>
    </row>
    <row r="306" spans="1:62" s="174" customFormat="1" ht="12.75">
      <c r="A306" s="121" t="s">
        <v>755</v>
      </c>
      <c r="B306" s="121" t="s">
        <v>60</v>
      </c>
      <c r="C306" s="121" t="s">
        <v>1090</v>
      </c>
      <c r="D306" s="129" t="s">
        <v>539</v>
      </c>
      <c r="E306" s="121" t="s">
        <v>606</v>
      </c>
      <c r="F306" s="122">
        <f>'Stavební rozpočet'!F472</f>
        <v>2</v>
      </c>
      <c r="G306" s="172"/>
      <c r="H306" s="122">
        <f t="shared" si="182"/>
        <v>0</v>
      </c>
      <c r="I306" s="122">
        <f t="shared" si="183"/>
        <v>0</v>
      </c>
      <c r="J306" s="122">
        <f t="shared" si="184"/>
        <v>0</v>
      </c>
      <c r="K306" s="122">
        <f>'Stavební rozpočet'!K472</f>
        <v>0</v>
      </c>
      <c r="L306" s="122">
        <f t="shared" si="185"/>
        <v>0</v>
      </c>
      <c r="M306" s="123" t="s">
        <v>622</v>
      </c>
      <c r="Z306" s="124">
        <f t="shared" si="186"/>
        <v>0</v>
      </c>
      <c r="AB306" s="124">
        <f t="shared" si="187"/>
        <v>0</v>
      </c>
      <c r="AC306" s="124">
        <f t="shared" si="188"/>
        <v>0</v>
      </c>
      <c r="AD306" s="124">
        <f t="shared" si="189"/>
        <v>0</v>
      </c>
      <c r="AE306" s="124">
        <f t="shared" si="190"/>
        <v>0</v>
      </c>
      <c r="AF306" s="124">
        <f t="shared" si="191"/>
        <v>0</v>
      </c>
      <c r="AG306" s="124">
        <f t="shared" si="192"/>
        <v>0</v>
      </c>
      <c r="AH306" s="124">
        <f t="shared" si="193"/>
        <v>0</v>
      </c>
      <c r="AI306" s="113" t="s">
        <v>60</v>
      </c>
      <c r="AJ306" s="122">
        <f t="shared" si="194"/>
        <v>0</v>
      </c>
      <c r="AK306" s="122">
        <f t="shared" si="195"/>
        <v>0</v>
      </c>
      <c r="AL306" s="122">
        <f t="shared" si="196"/>
        <v>0</v>
      </c>
      <c r="AN306" s="124">
        <v>15</v>
      </c>
      <c r="AO306" s="124">
        <f t="shared" si="197"/>
        <v>0</v>
      </c>
      <c r="AP306" s="124">
        <f t="shared" si="198"/>
        <v>0</v>
      </c>
      <c r="AQ306" s="123" t="s">
        <v>85</v>
      </c>
      <c r="AV306" s="124">
        <f t="shared" si="199"/>
        <v>0</v>
      </c>
      <c r="AW306" s="124">
        <f t="shared" si="200"/>
        <v>0</v>
      </c>
      <c r="AX306" s="124">
        <f t="shared" si="201"/>
        <v>0</v>
      </c>
      <c r="AY306" s="125" t="s">
        <v>645</v>
      </c>
      <c r="AZ306" s="125" t="s">
        <v>1538</v>
      </c>
      <c r="BA306" s="113" t="s">
        <v>1542</v>
      </c>
      <c r="BC306" s="124">
        <f t="shared" si="202"/>
        <v>0</v>
      </c>
      <c r="BD306" s="124">
        <f t="shared" si="203"/>
        <v>0</v>
      </c>
      <c r="BE306" s="124">
        <v>0</v>
      </c>
      <c r="BF306" s="124">
        <f t="shared" si="204"/>
        <v>0</v>
      </c>
      <c r="BH306" s="122">
        <f t="shared" si="205"/>
        <v>0</v>
      </c>
      <c r="BI306" s="122">
        <f t="shared" si="206"/>
        <v>0</v>
      </c>
      <c r="BJ306" s="122">
        <f t="shared" si="207"/>
        <v>0</v>
      </c>
    </row>
    <row r="307" spans="1:62" s="174" customFormat="1" ht="12.75">
      <c r="A307" s="121" t="s">
        <v>756</v>
      </c>
      <c r="B307" s="121" t="s">
        <v>60</v>
      </c>
      <c r="C307" s="121" t="s">
        <v>1091</v>
      </c>
      <c r="D307" s="129" t="s">
        <v>1399</v>
      </c>
      <c r="E307" s="121" t="s">
        <v>606</v>
      </c>
      <c r="F307" s="122">
        <f>'Stavební rozpočet'!F473</f>
        <v>4</v>
      </c>
      <c r="G307" s="172"/>
      <c r="H307" s="122">
        <f t="shared" si="182"/>
        <v>0</v>
      </c>
      <c r="I307" s="122">
        <f t="shared" si="183"/>
        <v>0</v>
      </c>
      <c r="J307" s="122">
        <f t="shared" si="184"/>
        <v>0</v>
      </c>
      <c r="K307" s="122">
        <f>'Stavební rozpočet'!K473</f>
        <v>0</v>
      </c>
      <c r="L307" s="122">
        <f t="shared" si="185"/>
        <v>0</v>
      </c>
      <c r="M307" s="123" t="s">
        <v>622</v>
      </c>
      <c r="Z307" s="124">
        <f t="shared" si="186"/>
        <v>0</v>
      </c>
      <c r="AB307" s="124">
        <f t="shared" si="187"/>
        <v>0</v>
      </c>
      <c r="AC307" s="124">
        <f t="shared" si="188"/>
        <v>0</v>
      </c>
      <c r="AD307" s="124">
        <f t="shared" si="189"/>
        <v>0</v>
      </c>
      <c r="AE307" s="124">
        <f t="shared" si="190"/>
        <v>0</v>
      </c>
      <c r="AF307" s="124">
        <f t="shared" si="191"/>
        <v>0</v>
      </c>
      <c r="AG307" s="124">
        <f t="shared" si="192"/>
        <v>0</v>
      </c>
      <c r="AH307" s="124">
        <f t="shared" si="193"/>
        <v>0</v>
      </c>
      <c r="AI307" s="113" t="s">
        <v>60</v>
      </c>
      <c r="AJ307" s="122">
        <f t="shared" si="194"/>
        <v>0</v>
      </c>
      <c r="AK307" s="122">
        <f t="shared" si="195"/>
        <v>0</v>
      </c>
      <c r="AL307" s="122">
        <f t="shared" si="196"/>
        <v>0</v>
      </c>
      <c r="AN307" s="124">
        <v>15</v>
      </c>
      <c r="AO307" s="124">
        <f t="shared" si="197"/>
        <v>0</v>
      </c>
      <c r="AP307" s="124">
        <f t="shared" si="198"/>
        <v>0</v>
      </c>
      <c r="AQ307" s="123" t="s">
        <v>85</v>
      </c>
      <c r="AV307" s="124">
        <f t="shared" si="199"/>
        <v>0</v>
      </c>
      <c r="AW307" s="124">
        <f t="shared" si="200"/>
        <v>0</v>
      </c>
      <c r="AX307" s="124">
        <f t="shared" si="201"/>
        <v>0</v>
      </c>
      <c r="AY307" s="125" t="s">
        <v>645</v>
      </c>
      <c r="AZ307" s="125" t="s">
        <v>1538</v>
      </c>
      <c r="BA307" s="113" t="s">
        <v>1542</v>
      </c>
      <c r="BC307" s="124">
        <f t="shared" si="202"/>
        <v>0</v>
      </c>
      <c r="BD307" s="124">
        <f t="shared" si="203"/>
        <v>0</v>
      </c>
      <c r="BE307" s="124">
        <v>0</v>
      </c>
      <c r="BF307" s="124">
        <f t="shared" si="204"/>
        <v>0</v>
      </c>
      <c r="BH307" s="122">
        <f t="shared" si="205"/>
        <v>0</v>
      </c>
      <c r="BI307" s="122">
        <f t="shared" si="206"/>
        <v>0</v>
      </c>
      <c r="BJ307" s="122">
        <f t="shared" si="207"/>
        <v>0</v>
      </c>
    </row>
    <row r="308" spans="1:62" s="174" customFormat="1" ht="12.75">
      <c r="A308" s="121" t="s">
        <v>757</v>
      </c>
      <c r="B308" s="121" t="s">
        <v>60</v>
      </c>
      <c r="C308" s="121" t="s">
        <v>1092</v>
      </c>
      <c r="D308" s="129" t="s">
        <v>540</v>
      </c>
      <c r="E308" s="121" t="s">
        <v>606</v>
      </c>
      <c r="F308" s="122">
        <f>'Stavební rozpočet'!F474</f>
        <v>1</v>
      </c>
      <c r="G308" s="172"/>
      <c r="H308" s="122">
        <f t="shared" si="182"/>
        <v>0</v>
      </c>
      <c r="I308" s="122">
        <f t="shared" si="183"/>
        <v>0</v>
      </c>
      <c r="J308" s="122">
        <f t="shared" si="184"/>
        <v>0</v>
      </c>
      <c r="K308" s="122">
        <f>'Stavební rozpočet'!K474</f>
        <v>0</v>
      </c>
      <c r="L308" s="122">
        <f t="shared" si="185"/>
        <v>0</v>
      </c>
      <c r="M308" s="123" t="s">
        <v>622</v>
      </c>
      <c r="Z308" s="124">
        <f t="shared" si="186"/>
        <v>0</v>
      </c>
      <c r="AB308" s="124">
        <f t="shared" si="187"/>
        <v>0</v>
      </c>
      <c r="AC308" s="124">
        <f t="shared" si="188"/>
        <v>0</v>
      </c>
      <c r="AD308" s="124">
        <f t="shared" si="189"/>
        <v>0</v>
      </c>
      <c r="AE308" s="124">
        <f t="shared" si="190"/>
        <v>0</v>
      </c>
      <c r="AF308" s="124">
        <f t="shared" si="191"/>
        <v>0</v>
      </c>
      <c r="AG308" s="124">
        <f t="shared" si="192"/>
        <v>0</v>
      </c>
      <c r="AH308" s="124">
        <f t="shared" si="193"/>
        <v>0</v>
      </c>
      <c r="AI308" s="113" t="s">
        <v>60</v>
      </c>
      <c r="AJ308" s="122">
        <f t="shared" si="194"/>
        <v>0</v>
      </c>
      <c r="AK308" s="122">
        <f t="shared" si="195"/>
        <v>0</v>
      </c>
      <c r="AL308" s="122">
        <f t="shared" si="196"/>
        <v>0</v>
      </c>
      <c r="AN308" s="124">
        <v>15</v>
      </c>
      <c r="AO308" s="124">
        <f t="shared" si="197"/>
        <v>0</v>
      </c>
      <c r="AP308" s="124">
        <f t="shared" si="198"/>
        <v>0</v>
      </c>
      <c r="AQ308" s="123" t="s">
        <v>85</v>
      </c>
      <c r="AV308" s="124">
        <f t="shared" si="199"/>
        <v>0</v>
      </c>
      <c r="AW308" s="124">
        <f t="shared" si="200"/>
        <v>0</v>
      </c>
      <c r="AX308" s="124">
        <f t="shared" si="201"/>
        <v>0</v>
      </c>
      <c r="AY308" s="125" t="s">
        <v>645</v>
      </c>
      <c r="AZ308" s="125" t="s">
        <v>1538</v>
      </c>
      <c r="BA308" s="113" t="s">
        <v>1542</v>
      </c>
      <c r="BC308" s="124">
        <f t="shared" si="202"/>
        <v>0</v>
      </c>
      <c r="BD308" s="124">
        <f t="shared" si="203"/>
        <v>0</v>
      </c>
      <c r="BE308" s="124">
        <v>0</v>
      </c>
      <c r="BF308" s="124">
        <f t="shared" si="204"/>
        <v>0</v>
      </c>
      <c r="BH308" s="122">
        <f t="shared" si="205"/>
        <v>0</v>
      </c>
      <c r="BI308" s="122">
        <f t="shared" si="206"/>
        <v>0</v>
      </c>
      <c r="BJ308" s="122">
        <f t="shared" si="207"/>
        <v>0</v>
      </c>
    </row>
    <row r="309" spans="1:62" s="174" customFormat="1" ht="12.75">
      <c r="A309" s="121" t="s">
        <v>758</v>
      </c>
      <c r="B309" s="121" t="s">
        <v>60</v>
      </c>
      <c r="C309" s="121" t="s">
        <v>1093</v>
      </c>
      <c r="D309" s="129" t="s">
        <v>501</v>
      </c>
      <c r="E309" s="121" t="s">
        <v>611</v>
      </c>
      <c r="F309" s="122">
        <f>'Stavební rozpočet'!F475</f>
        <v>20</v>
      </c>
      <c r="G309" s="172"/>
      <c r="H309" s="122">
        <f t="shared" si="182"/>
        <v>0</v>
      </c>
      <c r="I309" s="122">
        <f t="shared" si="183"/>
        <v>0</v>
      </c>
      <c r="J309" s="122">
        <f t="shared" si="184"/>
        <v>0</v>
      </c>
      <c r="K309" s="122">
        <f>'Stavební rozpočet'!K475</f>
        <v>0</v>
      </c>
      <c r="L309" s="122">
        <f t="shared" si="185"/>
        <v>0</v>
      </c>
      <c r="M309" s="123" t="s">
        <v>622</v>
      </c>
      <c r="Z309" s="124">
        <f t="shared" si="186"/>
        <v>0</v>
      </c>
      <c r="AB309" s="124">
        <f t="shared" si="187"/>
        <v>0</v>
      </c>
      <c r="AC309" s="124">
        <f t="shared" si="188"/>
        <v>0</v>
      </c>
      <c r="AD309" s="124">
        <f t="shared" si="189"/>
        <v>0</v>
      </c>
      <c r="AE309" s="124">
        <f t="shared" si="190"/>
        <v>0</v>
      </c>
      <c r="AF309" s="124">
        <f t="shared" si="191"/>
        <v>0</v>
      </c>
      <c r="AG309" s="124">
        <f t="shared" si="192"/>
        <v>0</v>
      </c>
      <c r="AH309" s="124">
        <f t="shared" si="193"/>
        <v>0</v>
      </c>
      <c r="AI309" s="113" t="s">
        <v>60</v>
      </c>
      <c r="AJ309" s="122">
        <f t="shared" si="194"/>
        <v>0</v>
      </c>
      <c r="AK309" s="122">
        <f t="shared" si="195"/>
        <v>0</v>
      </c>
      <c r="AL309" s="122">
        <f t="shared" si="196"/>
        <v>0</v>
      </c>
      <c r="AN309" s="124">
        <v>15</v>
      </c>
      <c r="AO309" s="124">
        <f t="shared" si="197"/>
        <v>0</v>
      </c>
      <c r="AP309" s="124">
        <f t="shared" si="198"/>
        <v>0</v>
      </c>
      <c r="AQ309" s="123" t="s">
        <v>85</v>
      </c>
      <c r="AV309" s="124">
        <f t="shared" si="199"/>
        <v>0</v>
      </c>
      <c r="AW309" s="124">
        <f t="shared" si="200"/>
        <v>0</v>
      </c>
      <c r="AX309" s="124">
        <f t="shared" si="201"/>
        <v>0</v>
      </c>
      <c r="AY309" s="125" t="s">
        <v>645</v>
      </c>
      <c r="AZ309" s="125" t="s">
        <v>1538</v>
      </c>
      <c r="BA309" s="113" t="s">
        <v>1542</v>
      </c>
      <c r="BC309" s="124">
        <f t="shared" si="202"/>
        <v>0</v>
      </c>
      <c r="BD309" s="124">
        <f t="shared" si="203"/>
        <v>0</v>
      </c>
      <c r="BE309" s="124">
        <v>0</v>
      </c>
      <c r="BF309" s="124">
        <f t="shared" si="204"/>
        <v>0</v>
      </c>
      <c r="BH309" s="122">
        <f t="shared" si="205"/>
        <v>0</v>
      </c>
      <c r="BI309" s="122">
        <f t="shared" si="206"/>
        <v>0</v>
      </c>
      <c r="BJ309" s="122">
        <f t="shared" si="207"/>
        <v>0</v>
      </c>
    </row>
    <row r="310" spans="1:62" s="174" customFormat="1" ht="12.75">
      <c r="A310" s="121" t="s">
        <v>759</v>
      </c>
      <c r="B310" s="121" t="s">
        <v>60</v>
      </c>
      <c r="C310" s="121" t="s">
        <v>1094</v>
      </c>
      <c r="D310" s="129" t="s">
        <v>502</v>
      </c>
      <c r="E310" s="121" t="s">
        <v>606</v>
      </c>
      <c r="F310" s="122">
        <f>'Stavební rozpočet'!F476</f>
        <v>1</v>
      </c>
      <c r="G310" s="172"/>
      <c r="H310" s="122">
        <f t="shared" si="182"/>
        <v>0</v>
      </c>
      <c r="I310" s="122">
        <f t="shared" si="183"/>
        <v>0</v>
      </c>
      <c r="J310" s="122">
        <f t="shared" si="184"/>
        <v>0</v>
      </c>
      <c r="K310" s="122">
        <f>'Stavební rozpočet'!K476</f>
        <v>0</v>
      </c>
      <c r="L310" s="122">
        <f t="shared" si="185"/>
        <v>0</v>
      </c>
      <c r="M310" s="123" t="s">
        <v>622</v>
      </c>
      <c r="Z310" s="124">
        <f t="shared" si="186"/>
        <v>0</v>
      </c>
      <c r="AB310" s="124">
        <f t="shared" si="187"/>
        <v>0</v>
      </c>
      <c r="AC310" s="124">
        <f t="shared" si="188"/>
        <v>0</v>
      </c>
      <c r="AD310" s="124">
        <f t="shared" si="189"/>
        <v>0</v>
      </c>
      <c r="AE310" s="124">
        <f t="shared" si="190"/>
        <v>0</v>
      </c>
      <c r="AF310" s="124">
        <f t="shared" si="191"/>
        <v>0</v>
      </c>
      <c r="AG310" s="124">
        <f t="shared" si="192"/>
        <v>0</v>
      </c>
      <c r="AH310" s="124">
        <f t="shared" si="193"/>
        <v>0</v>
      </c>
      <c r="AI310" s="113" t="s">
        <v>60</v>
      </c>
      <c r="AJ310" s="122">
        <f t="shared" si="194"/>
        <v>0</v>
      </c>
      <c r="AK310" s="122">
        <f t="shared" si="195"/>
        <v>0</v>
      </c>
      <c r="AL310" s="122">
        <f t="shared" si="196"/>
        <v>0</v>
      </c>
      <c r="AN310" s="124">
        <v>15</v>
      </c>
      <c r="AO310" s="124">
        <f t="shared" si="197"/>
        <v>0</v>
      </c>
      <c r="AP310" s="124">
        <f t="shared" si="198"/>
        <v>0</v>
      </c>
      <c r="AQ310" s="123" t="s">
        <v>85</v>
      </c>
      <c r="AV310" s="124">
        <f t="shared" si="199"/>
        <v>0</v>
      </c>
      <c r="AW310" s="124">
        <f t="shared" si="200"/>
        <v>0</v>
      </c>
      <c r="AX310" s="124">
        <f t="shared" si="201"/>
        <v>0</v>
      </c>
      <c r="AY310" s="125" t="s">
        <v>645</v>
      </c>
      <c r="AZ310" s="125" t="s">
        <v>1538</v>
      </c>
      <c r="BA310" s="113" t="s">
        <v>1542</v>
      </c>
      <c r="BC310" s="124">
        <f t="shared" si="202"/>
        <v>0</v>
      </c>
      <c r="BD310" s="124">
        <f t="shared" si="203"/>
        <v>0</v>
      </c>
      <c r="BE310" s="124">
        <v>0</v>
      </c>
      <c r="BF310" s="124">
        <f t="shared" si="204"/>
        <v>0</v>
      </c>
      <c r="BH310" s="122">
        <f t="shared" si="205"/>
        <v>0</v>
      </c>
      <c r="BI310" s="122">
        <f t="shared" si="206"/>
        <v>0</v>
      </c>
      <c r="BJ310" s="122">
        <f t="shared" si="207"/>
        <v>0</v>
      </c>
    </row>
    <row r="311" spans="1:62" s="174" customFormat="1" ht="12.75">
      <c r="A311" s="121" t="s">
        <v>760</v>
      </c>
      <c r="B311" s="121" t="s">
        <v>60</v>
      </c>
      <c r="C311" s="121" t="s">
        <v>1095</v>
      </c>
      <c r="D311" s="129" t="s">
        <v>543</v>
      </c>
      <c r="E311" s="121" t="s">
        <v>606</v>
      </c>
      <c r="F311" s="122">
        <f>'Stavební rozpočet'!F477</f>
        <v>1</v>
      </c>
      <c r="G311" s="172"/>
      <c r="H311" s="122">
        <f t="shared" si="182"/>
        <v>0</v>
      </c>
      <c r="I311" s="122">
        <f t="shared" si="183"/>
        <v>0</v>
      </c>
      <c r="J311" s="122">
        <f t="shared" si="184"/>
        <v>0</v>
      </c>
      <c r="K311" s="122">
        <f>'Stavební rozpočet'!K477</f>
        <v>0</v>
      </c>
      <c r="L311" s="122">
        <f t="shared" si="185"/>
        <v>0</v>
      </c>
      <c r="M311" s="123" t="s">
        <v>622</v>
      </c>
      <c r="Z311" s="124">
        <f t="shared" si="186"/>
        <v>0</v>
      </c>
      <c r="AB311" s="124">
        <f t="shared" si="187"/>
        <v>0</v>
      </c>
      <c r="AC311" s="124">
        <f t="shared" si="188"/>
        <v>0</v>
      </c>
      <c r="AD311" s="124">
        <f t="shared" si="189"/>
        <v>0</v>
      </c>
      <c r="AE311" s="124">
        <f t="shared" si="190"/>
        <v>0</v>
      </c>
      <c r="AF311" s="124">
        <f t="shared" si="191"/>
        <v>0</v>
      </c>
      <c r="AG311" s="124">
        <f t="shared" si="192"/>
        <v>0</v>
      </c>
      <c r="AH311" s="124">
        <f t="shared" si="193"/>
        <v>0</v>
      </c>
      <c r="AI311" s="113" t="s">
        <v>60</v>
      </c>
      <c r="AJ311" s="122">
        <f t="shared" si="194"/>
        <v>0</v>
      </c>
      <c r="AK311" s="122">
        <f t="shared" si="195"/>
        <v>0</v>
      </c>
      <c r="AL311" s="122">
        <f t="shared" si="196"/>
        <v>0</v>
      </c>
      <c r="AN311" s="124">
        <v>15</v>
      </c>
      <c r="AO311" s="124">
        <f t="shared" si="197"/>
        <v>0</v>
      </c>
      <c r="AP311" s="124">
        <f t="shared" si="198"/>
        <v>0</v>
      </c>
      <c r="AQ311" s="123" t="s">
        <v>85</v>
      </c>
      <c r="AV311" s="124">
        <f t="shared" si="199"/>
        <v>0</v>
      </c>
      <c r="AW311" s="124">
        <f t="shared" si="200"/>
        <v>0</v>
      </c>
      <c r="AX311" s="124">
        <f t="shared" si="201"/>
        <v>0</v>
      </c>
      <c r="AY311" s="125" t="s">
        <v>645</v>
      </c>
      <c r="AZ311" s="125" t="s">
        <v>1538</v>
      </c>
      <c r="BA311" s="113" t="s">
        <v>1542</v>
      </c>
      <c r="BC311" s="124">
        <f t="shared" si="202"/>
        <v>0</v>
      </c>
      <c r="BD311" s="124">
        <f t="shared" si="203"/>
        <v>0</v>
      </c>
      <c r="BE311" s="124">
        <v>0</v>
      </c>
      <c r="BF311" s="124">
        <f t="shared" si="204"/>
        <v>0</v>
      </c>
      <c r="BH311" s="122">
        <f t="shared" si="205"/>
        <v>0</v>
      </c>
      <c r="BI311" s="122">
        <f t="shared" si="206"/>
        <v>0</v>
      </c>
      <c r="BJ311" s="122">
        <f t="shared" si="207"/>
        <v>0</v>
      </c>
    </row>
    <row r="312" spans="1:62" s="174" customFormat="1" ht="12.75">
      <c r="A312" s="121" t="s">
        <v>761</v>
      </c>
      <c r="B312" s="121" t="s">
        <v>60</v>
      </c>
      <c r="C312" s="121" t="s">
        <v>1096</v>
      </c>
      <c r="D312" s="129" t="s">
        <v>490</v>
      </c>
      <c r="E312" s="121" t="s">
        <v>606</v>
      </c>
      <c r="F312" s="122">
        <f>'Stavební rozpočet'!F478</f>
        <v>1</v>
      </c>
      <c r="G312" s="172"/>
      <c r="H312" s="122">
        <f t="shared" si="182"/>
        <v>0</v>
      </c>
      <c r="I312" s="122">
        <f t="shared" si="183"/>
        <v>0</v>
      </c>
      <c r="J312" s="122">
        <f t="shared" si="184"/>
        <v>0</v>
      </c>
      <c r="K312" s="122">
        <f>'Stavební rozpočet'!K478</f>
        <v>0</v>
      </c>
      <c r="L312" s="122">
        <f t="shared" si="185"/>
        <v>0</v>
      </c>
      <c r="M312" s="123" t="s">
        <v>622</v>
      </c>
      <c r="Z312" s="124">
        <f t="shared" si="186"/>
        <v>0</v>
      </c>
      <c r="AB312" s="124">
        <f t="shared" si="187"/>
        <v>0</v>
      </c>
      <c r="AC312" s="124">
        <f t="shared" si="188"/>
        <v>0</v>
      </c>
      <c r="AD312" s="124">
        <f t="shared" si="189"/>
        <v>0</v>
      </c>
      <c r="AE312" s="124">
        <f t="shared" si="190"/>
        <v>0</v>
      </c>
      <c r="AF312" s="124">
        <f t="shared" si="191"/>
        <v>0</v>
      </c>
      <c r="AG312" s="124">
        <f t="shared" si="192"/>
        <v>0</v>
      </c>
      <c r="AH312" s="124">
        <f t="shared" si="193"/>
        <v>0</v>
      </c>
      <c r="AI312" s="113" t="s">
        <v>60</v>
      </c>
      <c r="AJ312" s="122">
        <f t="shared" si="194"/>
        <v>0</v>
      </c>
      <c r="AK312" s="122">
        <f t="shared" si="195"/>
        <v>0</v>
      </c>
      <c r="AL312" s="122">
        <f t="shared" si="196"/>
        <v>0</v>
      </c>
      <c r="AN312" s="124">
        <v>15</v>
      </c>
      <c r="AO312" s="124">
        <f t="shared" si="197"/>
        <v>0</v>
      </c>
      <c r="AP312" s="124">
        <f t="shared" si="198"/>
        <v>0</v>
      </c>
      <c r="AQ312" s="123" t="s">
        <v>85</v>
      </c>
      <c r="AV312" s="124">
        <f t="shared" si="199"/>
        <v>0</v>
      </c>
      <c r="AW312" s="124">
        <f t="shared" si="200"/>
        <v>0</v>
      </c>
      <c r="AX312" s="124">
        <f t="shared" si="201"/>
        <v>0</v>
      </c>
      <c r="AY312" s="125" t="s">
        <v>645</v>
      </c>
      <c r="AZ312" s="125" t="s">
        <v>1538</v>
      </c>
      <c r="BA312" s="113" t="s">
        <v>1542</v>
      </c>
      <c r="BC312" s="124">
        <f t="shared" si="202"/>
        <v>0</v>
      </c>
      <c r="BD312" s="124">
        <f t="shared" si="203"/>
        <v>0</v>
      </c>
      <c r="BE312" s="124">
        <v>0</v>
      </c>
      <c r="BF312" s="124">
        <f t="shared" si="204"/>
        <v>0</v>
      </c>
      <c r="BH312" s="122">
        <f t="shared" si="205"/>
        <v>0</v>
      </c>
      <c r="BI312" s="122">
        <f t="shared" si="206"/>
        <v>0</v>
      </c>
      <c r="BJ312" s="122">
        <f t="shared" si="207"/>
        <v>0</v>
      </c>
    </row>
    <row r="313" spans="1:62" s="174" customFormat="1" ht="12.75">
      <c r="A313" s="121" t="s">
        <v>762</v>
      </c>
      <c r="B313" s="121" t="s">
        <v>60</v>
      </c>
      <c r="C313" s="121" t="s">
        <v>1097</v>
      </c>
      <c r="D313" s="129" t="s">
        <v>489</v>
      </c>
      <c r="E313" s="121" t="s">
        <v>606</v>
      </c>
      <c r="F313" s="122">
        <f>'Stavební rozpočet'!F479</f>
        <v>1</v>
      </c>
      <c r="G313" s="172"/>
      <c r="H313" s="122">
        <f t="shared" si="182"/>
        <v>0</v>
      </c>
      <c r="I313" s="122">
        <f t="shared" si="183"/>
        <v>0</v>
      </c>
      <c r="J313" s="122">
        <f t="shared" si="184"/>
        <v>0</v>
      </c>
      <c r="K313" s="122">
        <f>'Stavební rozpočet'!K479</f>
        <v>0</v>
      </c>
      <c r="L313" s="122">
        <f t="shared" si="185"/>
        <v>0</v>
      </c>
      <c r="M313" s="123" t="s">
        <v>622</v>
      </c>
      <c r="Z313" s="124">
        <f t="shared" si="186"/>
        <v>0</v>
      </c>
      <c r="AB313" s="124">
        <f t="shared" si="187"/>
        <v>0</v>
      </c>
      <c r="AC313" s="124">
        <f t="shared" si="188"/>
        <v>0</v>
      </c>
      <c r="AD313" s="124">
        <f t="shared" si="189"/>
        <v>0</v>
      </c>
      <c r="AE313" s="124">
        <f t="shared" si="190"/>
        <v>0</v>
      </c>
      <c r="AF313" s="124">
        <f t="shared" si="191"/>
        <v>0</v>
      </c>
      <c r="AG313" s="124">
        <f t="shared" si="192"/>
        <v>0</v>
      </c>
      <c r="AH313" s="124">
        <f t="shared" si="193"/>
        <v>0</v>
      </c>
      <c r="AI313" s="113" t="s">
        <v>60</v>
      </c>
      <c r="AJ313" s="122">
        <f t="shared" si="194"/>
        <v>0</v>
      </c>
      <c r="AK313" s="122">
        <f t="shared" si="195"/>
        <v>0</v>
      </c>
      <c r="AL313" s="122">
        <f t="shared" si="196"/>
        <v>0</v>
      </c>
      <c r="AN313" s="124">
        <v>15</v>
      </c>
      <c r="AO313" s="124">
        <f t="shared" si="197"/>
        <v>0</v>
      </c>
      <c r="AP313" s="124">
        <f t="shared" si="198"/>
        <v>0</v>
      </c>
      <c r="AQ313" s="123" t="s">
        <v>85</v>
      </c>
      <c r="AV313" s="124">
        <f t="shared" si="199"/>
        <v>0</v>
      </c>
      <c r="AW313" s="124">
        <f t="shared" si="200"/>
        <v>0</v>
      </c>
      <c r="AX313" s="124">
        <f t="shared" si="201"/>
        <v>0</v>
      </c>
      <c r="AY313" s="125" t="s">
        <v>645</v>
      </c>
      <c r="AZ313" s="125" t="s">
        <v>1538</v>
      </c>
      <c r="BA313" s="113" t="s">
        <v>1542</v>
      </c>
      <c r="BC313" s="124">
        <f t="shared" si="202"/>
        <v>0</v>
      </c>
      <c r="BD313" s="124">
        <f t="shared" si="203"/>
        <v>0</v>
      </c>
      <c r="BE313" s="124">
        <v>0</v>
      </c>
      <c r="BF313" s="124">
        <f t="shared" si="204"/>
        <v>0</v>
      </c>
      <c r="BH313" s="122">
        <f t="shared" si="205"/>
        <v>0</v>
      </c>
      <c r="BI313" s="122">
        <f t="shared" si="206"/>
        <v>0</v>
      </c>
      <c r="BJ313" s="122">
        <f t="shared" si="207"/>
        <v>0</v>
      </c>
    </row>
    <row r="314" spans="1:62" s="174" customFormat="1" ht="12.75">
      <c r="A314" s="121" t="s">
        <v>763</v>
      </c>
      <c r="B314" s="121" t="s">
        <v>60</v>
      </c>
      <c r="C314" s="121" t="s">
        <v>1098</v>
      </c>
      <c r="D314" s="129" t="s">
        <v>492</v>
      </c>
      <c r="E314" s="121" t="s">
        <v>606</v>
      </c>
      <c r="F314" s="122">
        <f>'Stavební rozpočet'!F480</f>
        <v>1</v>
      </c>
      <c r="G314" s="172"/>
      <c r="H314" s="122">
        <f t="shared" si="182"/>
        <v>0</v>
      </c>
      <c r="I314" s="122">
        <f t="shared" si="183"/>
        <v>0</v>
      </c>
      <c r="J314" s="122">
        <f t="shared" si="184"/>
        <v>0</v>
      </c>
      <c r="K314" s="122">
        <f>'Stavební rozpočet'!K480</f>
        <v>0</v>
      </c>
      <c r="L314" s="122">
        <f t="shared" si="185"/>
        <v>0</v>
      </c>
      <c r="M314" s="123" t="s">
        <v>622</v>
      </c>
      <c r="Z314" s="124">
        <f t="shared" si="186"/>
        <v>0</v>
      </c>
      <c r="AB314" s="124">
        <f t="shared" si="187"/>
        <v>0</v>
      </c>
      <c r="AC314" s="124">
        <f t="shared" si="188"/>
        <v>0</v>
      </c>
      <c r="AD314" s="124">
        <f t="shared" si="189"/>
        <v>0</v>
      </c>
      <c r="AE314" s="124">
        <f t="shared" si="190"/>
        <v>0</v>
      </c>
      <c r="AF314" s="124">
        <f t="shared" si="191"/>
        <v>0</v>
      </c>
      <c r="AG314" s="124">
        <f t="shared" si="192"/>
        <v>0</v>
      </c>
      <c r="AH314" s="124">
        <f t="shared" si="193"/>
        <v>0</v>
      </c>
      <c r="AI314" s="113" t="s">
        <v>60</v>
      </c>
      <c r="AJ314" s="122">
        <f t="shared" si="194"/>
        <v>0</v>
      </c>
      <c r="AK314" s="122">
        <f t="shared" si="195"/>
        <v>0</v>
      </c>
      <c r="AL314" s="122">
        <f t="shared" si="196"/>
        <v>0</v>
      </c>
      <c r="AN314" s="124">
        <v>15</v>
      </c>
      <c r="AO314" s="124">
        <f t="shared" si="197"/>
        <v>0</v>
      </c>
      <c r="AP314" s="124">
        <f t="shared" si="198"/>
        <v>0</v>
      </c>
      <c r="AQ314" s="123" t="s">
        <v>85</v>
      </c>
      <c r="AV314" s="124">
        <f t="shared" si="199"/>
        <v>0</v>
      </c>
      <c r="AW314" s="124">
        <f t="shared" si="200"/>
        <v>0</v>
      </c>
      <c r="AX314" s="124">
        <f t="shared" si="201"/>
        <v>0</v>
      </c>
      <c r="AY314" s="125" t="s">
        <v>645</v>
      </c>
      <c r="AZ314" s="125" t="s">
        <v>1538</v>
      </c>
      <c r="BA314" s="113" t="s">
        <v>1542</v>
      </c>
      <c r="BC314" s="124">
        <f t="shared" si="202"/>
        <v>0</v>
      </c>
      <c r="BD314" s="124">
        <f t="shared" si="203"/>
        <v>0</v>
      </c>
      <c r="BE314" s="124">
        <v>0</v>
      </c>
      <c r="BF314" s="124">
        <f t="shared" si="204"/>
        <v>0</v>
      </c>
      <c r="BH314" s="122">
        <f t="shared" si="205"/>
        <v>0</v>
      </c>
      <c r="BI314" s="122">
        <f t="shared" si="206"/>
        <v>0</v>
      </c>
      <c r="BJ314" s="122">
        <f t="shared" si="207"/>
        <v>0</v>
      </c>
    </row>
    <row r="315" spans="1:62" s="174" customFormat="1" ht="12.75">
      <c r="A315" s="121" t="s">
        <v>764</v>
      </c>
      <c r="B315" s="121" t="s">
        <v>60</v>
      </c>
      <c r="C315" s="121" t="s">
        <v>1099</v>
      </c>
      <c r="D315" s="129" t="s">
        <v>493</v>
      </c>
      <c r="E315" s="121" t="s">
        <v>606</v>
      </c>
      <c r="F315" s="122">
        <f>'Stavební rozpočet'!F481</f>
        <v>1</v>
      </c>
      <c r="G315" s="172"/>
      <c r="H315" s="122">
        <f t="shared" si="182"/>
        <v>0</v>
      </c>
      <c r="I315" s="122">
        <f t="shared" si="183"/>
        <v>0</v>
      </c>
      <c r="J315" s="122">
        <f t="shared" si="184"/>
        <v>0</v>
      </c>
      <c r="K315" s="122">
        <f>'Stavební rozpočet'!K481</f>
        <v>0</v>
      </c>
      <c r="L315" s="122">
        <f t="shared" si="185"/>
        <v>0</v>
      </c>
      <c r="M315" s="123" t="s">
        <v>622</v>
      </c>
      <c r="Z315" s="124">
        <f t="shared" si="186"/>
        <v>0</v>
      </c>
      <c r="AB315" s="124">
        <f t="shared" si="187"/>
        <v>0</v>
      </c>
      <c r="AC315" s="124">
        <f t="shared" si="188"/>
        <v>0</v>
      </c>
      <c r="AD315" s="124">
        <f t="shared" si="189"/>
        <v>0</v>
      </c>
      <c r="AE315" s="124">
        <f t="shared" si="190"/>
        <v>0</v>
      </c>
      <c r="AF315" s="124">
        <f t="shared" si="191"/>
        <v>0</v>
      </c>
      <c r="AG315" s="124">
        <f t="shared" si="192"/>
        <v>0</v>
      </c>
      <c r="AH315" s="124">
        <f t="shared" si="193"/>
        <v>0</v>
      </c>
      <c r="AI315" s="113" t="s">
        <v>60</v>
      </c>
      <c r="AJ315" s="122">
        <f t="shared" si="194"/>
        <v>0</v>
      </c>
      <c r="AK315" s="122">
        <f t="shared" si="195"/>
        <v>0</v>
      </c>
      <c r="AL315" s="122">
        <f t="shared" si="196"/>
        <v>0</v>
      </c>
      <c r="AN315" s="124">
        <v>15</v>
      </c>
      <c r="AO315" s="124">
        <f t="shared" si="197"/>
        <v>0</v>
      </c>
      <c r="AP315" s="124">
        <f t="shared" si="198"/>
        <v>0</v>
      </c>
      <c r="AQ315" s="123" t="s">
        <v>85</v>
      </c>
      <c r="AV315" s="124">
        <f t="shared" si="199"/>
        <v>0</v>
      </c>
      <c r="AW315" s="124">
        <f t="shared" si="200"/>
        <v>0</v>
      </c>
      <c r="AX315" s="124">
        <f t="shared" si="201"/>
        <v>0</v>
      </c>
      <c r="AY315" s="125" t="s">
        <v>645</v>
      </c>
      <c r="AZ315" s="125" t="s">
        <v>1538</v>
      </c>
      <c r="BA315" s="113" t="s">
        <v>1542</v>
      </c>
      <c r="BC315" s="124">
        <f t="shared" si="202"/>
        <v>0</v>
      </c>
      <c r="BD315" s="124">
        <f t="shared" si="203"/>
        <v>0</v>
      </c>
      <c r="BE315" s="124">
        <v>0</v>
      </c>
      <c r="BF315" s="124">
        <f t="shared" si="204"/>
        <v>0</v>
      </c>
      <c r="BH315" s="122">
        <f t="shared" si="205"/>
        <v>0</v>
      </c>
      <c r="BI315" s="122">
        <f t="shared" si="206"/>
        <v>0</v>
      </c>
      <c r="BJ315" s="122">
        <f t="shared" si="207"/>
        <v>0</v>
      </c>
    </row>
    <row r="316" spans="1:47" s="174" customFormat="1" ht="12.75">
      <c r="A316" s="118"/>
      <c r="B316" s="119" t="s">
        <v>60</v>
      </c>
      <c r="C316" s="119" t="s">
        <v>1100</v>
      </c>
      <c r="D316" s="136" t="s">
        <v>1400</v>
      </c>
      <c r="E316" s="118" t="s">
        <v>57</v>
      </c>
      <c r="F316" s="118" t="s">
        <v>57</v>
      </c>
      <c r="G316" s="118"/>
      <c r="H316" s="120">
        <f>SUM(H317:H329)</f>
        <v>0</v>
      </c>
      <c r="I316" s="120">
        <f>SUM(I317:I329)</f>
        <v>0</v>
      </c>
      <c r="J316" s="120">
        <f>SUM(J317:J329)</f>
        <v>0</v>
      </c>
      <c r="K316" s="113"/>
      <c r="L316" s="120">
        <f>SUM(L317:L329)</f>
        <v>0.7449999999999999</v>
      </c>
      <c r="M316" s="113"/>
      <c r="AI316" s="113" t="s">
        <v>60</v>
      </c>
      <c r="AS316" s="120">
        <f>SUM(AJ317:AJ329)</f>
        <v>0</v>
      </c>
      <c r="AT316" s="120">
        <f>SUM(AK317:AK329)</f>
        <v>0</v>
      </c>
      <c r="AU316" s="120">
        <f>SUM(AL317:AL329)</f>
        <v>0</v>
      </c>
    </row>
    <row r="317" spans="1:62" s="174" customFormat="1" ht="12.75" hidden="1">
      <c r="A317" s="121" t="s">
        <v>765</v>
      </c>
      <c r="B317" s="121" t="s">
        <v>60</v>
      </c>
      <c r="C317" s="121" t="s">
        <v>1101</v>
      </c>
      <c r="D317" s="129" t="s">
        <v>1401</v>
      </c>
      <c r="E317" s="121" t="s">
        <v>606</v>
      </c>
      <c r="F317" s="122">
        <f>'Stavební rozpočet'!F483</f>
        <v>0</v>
      </c>
      <c r="G317" s="172"/>
      <c r="H317" s="122">
        <f>F317*AO317</f>
        <v>0</v>
      </c>
      <c r="I317" s="122">
        <f>F317*AP317</f>
        <v>0</v>
      </c>
      <c r="J317" s="122">
        <f>F317*G317</f>
        <v>0</v>
      </c>
      <c r="K317" s="122">
        <f>'Stavební rozpočet'!K483</f>
        <v>0.058</v>
      </c>
      <c r="L317" s="122">
        <f>F317*K317</f>
        <v>0</v>
      </c>
      <c r="M317" s="123" t="s">
        <v>622</v>
      </c>
      <c r="Z317" s="124">
        <f>IF(AQ317="5",BJ317,0)</f>
        <v>0</v>
      </c>
      <c r="AB317" s="124">
        <f>IF(AQ317="1",BH317,0)</f>
        <v>0</v>
      </c>
      <c r="AC317" s="124">
        <f>IF(AQ317="1",BI317,0)</f>
        <v>0</v>
      </c>
      <c r="AD317" s="124">
        <f>IF(AQ317="7",BH317,0)</f>
        <v>0</v>
      </c>
      <c r="AE317" s="124">
        <f>IF(AQ317="7",BI317,0)</f>
        <v>0</v>
      </c>
      <c r="AF317" s="124">
        <f>IF(AQ317="2",BH317,0)</f>
        <v>0</v>
      </c>
      <c r="AG317" s="124">
        <f>IF(AQ317="2",BI317,0)</f>
        <v>0</v>
      </c>
      <c r="AH317" s="124">
        <f>IF(AQ317="0",BJ317,0)</f>
        <v>0</v>
      </c>
      <c r="AI317" s="113" t="s">
        <v>60</v>
      </c>
      <c r="AJ317" s="122">
        <f>IF(AN317=0,J317,0)</f>
        <v>0</v>
      </c>
      <c r="AK317" s="122">
        <f>IF(AN317=15,J317,0)</f>
        <v>0</v>
      </c>
      <c r="AL317" s="122">
        <f>IF(AN317=21,J317,0)</f>
        <v>0</v>
      </c>
      <c r="AN317" s="124">
        <v>15</v>
      </c>
      <c r="AO317" s="124">
        <f>G317*0</f>
        <v>0</v>
      </c>
      <c r="AP317" s="124">
        <f>G317*(1-0)</f>
        <v>0</v>
      </c>
      <c r="AQ317" s="123" t="s">
        <v>85</v>
      </c>
      <c r="AV317" s="124">
        <f>AW317+AX317</f>
        <v>0</v>
      </c>
      <c r="AW317" s="124">
        <f>F317*AO317</f>
        <v>0</v>
      </c>
      <c r="AX317" s="124">
        <f>F317*AP317</f>
        <v>0</v>
      </c>
      <c r="AY317" s="125" t="s">
        <v>1530</v>
      </c>
      <c r="AZ317" s="125" t="s">
        <v>1539</v>
      </c>
      <c r="BA317" s="113" t="s">
        <v>1542</v>
      </c>
      <c r="BC317" s="124">
        <f>AW317+AX317</f>
        <v>0</v>
      </c>
      <c r="BD317" s="124">
        <f>G317/(100-BE317)*100</f>
        <v>0</v>
      </c>
      <c r="BE317" s="124">
        <v>0</v>
      </c>
      <c r="BF317" s="124">
        <f>L317</f>
        <v>0</v>
      </c>
      <c r="BH317" s="122">
        <f>F317*AO317</f>
        <v>0</v>
      </c>
      <c r="BI317" s="122">
        <f>F317*AP317</f>
        <v>0</v>
      </c>
      <c r="BJ317" s="122">
        <f>F317*G317</f>
        <v>0</v>
      </c>
    </row>
    <row r="318" spans="4:7" s="174" customFormat="1" ht="12.75" hidden="1">
      <c r="D318" s="79" t="s">
        <v>1402</v>
      </c>
      <c r="G318" s="175"/>
    </row>
    <row r="319" spans="1:62" s="174" customFormat="1" ht="12.75">
      <c r="A319" s="121" t="s">
        <v>766</v>
      </c>
      <c r="B319" s="121" t="s">
        <v>60</v>
      </c>
      <c r="C319" s="121" t="s">
        <v>1102</v>
      </c>
      <c r="D319" s="129" t="s">
        <v>1403</v>
      </c>
      <c r="E319" s="121" t="s">
        <v>606</v>
      </c>
      <c r="F319" s="122">
        <f>'Stavební rozpočet'!F484</f>
        <v>8</v>
      </c>
      <c r="G319" s="172"/>
      <c r="H319" s="122">
        <f>F319*AO319</f>
        <v>0</v>
      </c>
      <c r="I319" s="122">
        <f>F319*AP319</f>
        <v>0</v>
      </c>
      <c r="J319" s="122">
        <f>F319*G319</f>
        <v>0</v>
      </c>
      <c r="K319" s="122">
        <f>'Stavební rozpočet'!K484</f>
        <v>0.06</v>
      </c>
      <c r="L319" s="122">
        <f>F319*K319</f>
        <v>0.48</v>
      </c>
      <c r="M319" s="123" t="s">
        <v>622</v>
      </c>
      <c r="Z319" s="124">
        <f>IF(AQ319="5",BJ319,0)</f>
        <v>0</v>
      </c>
      <c r="AB319" s="124">
        <f>IF(AQ319="1",BH319,0)</f>
        <v>0</v>
      </c>
      <c r="AC319" s="124">
        <f>IF(AQ319="1",BI319,0)</f>
        <v>0</v>
      </c>
      <c r="AD319" s="124">
        <f>IF(AQ319="7",BH319,0)</f>
        <v>0</v>
      </c>
      <c r="AE319" s="124">
        <f>IF(AQ319="7",BI319,0)</f>
        <v>0</v>
      </c>
      <c r="AF319" s="124">
        <f>IF(AQ319="2",BH319,0)</f>
        <v>0</v>
      </c>
      <c r="AG319" s="124">
        <f>IF(AQ319="2",BI319,0)</f>
        <v>0</v>
      </c>
      <c r="AH319" s="124">
        <f>IF(AQ319="0",BJ319,0)</f>
        <v>0</v>
      </c>
      <c r="AI319" s="113" t="s">
        <v>60</v>
      </c>
      <c r="AJ319" s="122">
        <f>IF(AN319=0,J319,0)</f>
        <v>0</v>
      </c>
      <c r="AK319" s="122">
        <f>IF(AN319=15,J319,0)</f>
        <v>0</v>
      </c>
      <c r="AL319" s="122">
        <f>IF(AN319=21,J319,0)</f>
        <v>0</v>
      </c>
      <c r="AN319" s="124">
        <v>15</v>
      </c>
      <c r="AO319" s="124">
        <f>G319*0</f>
        <v>0</v>
      </c>
      <c r="AP319" s="124">
        <f>G319*(1-0)</f>
        <v>0</v>
      </c>
      <c r="AQ319" s="123" t="s">
        <v>85</v>
      </c>
      <c r="AV319" s="124">
        <f>AW319+AX319</f>
        <v>0</v>
      </c>
      <c r="AW319" s="124">
        <f>F319*AO319</f>
        <v>0</v>
      </c>
      <c r="AX319" s="124">
        <f>F319*AP319</f>
        <v>0</v>
      </c>
      <c r="AY319" s="125" t="s">
        <v>1530</v>
      </c>
      <c r="AZ319" s="125" t="s">
        <v>1539</v>
      </c>
      <c r="BA319" s="113" t="s">
        <v>1542</v>
      </c>
      <c r="BC319" s="124">
        <f>AW319+AX319</f>
        <v>0</v>
      </c>
      <c r="BD319" s="124">
        <f>G319/(100-BE319)*100</f>
        <v>0</v>
      </c>
      <c r="BE319" s="124">
        <v>0</v>
      </c>
      <c r="BF319" s="124">
        <f>L319</f>
        <v>0.48</v>
      </c>
      <c r="BH319" s="122">
        <f>F319*AO319</f>
        <v>0</v>
      </c>
      <c r="BI319" s="122">
        <f>F319*AP319</f>
        <v>0</v>
      </c>
      <c r="BJ319" s="122">
        <f>F319*G319</f>
        <v>0</v>
      </c>
    </row>
    <row r="320" spans="4:7" s="174" customFormat="1" ht="12.75">
      <c r="D320" s="79" t="s">
        <v>1404</v>
      </c>
      <c r="G320" s="175"/>
    </row>
    <row r="321" spans="1:62" s="174" customFormat="1" ht="12.75">
      <c r="A321" s="121" t="s">
        <v>767</v>
      </c>
      <c r="B321" s="121" t="s">
        <v>60</v>
      </c>
      <c r="C321" s="121" t="s">
        <v>1103</v>
      </c>
      <c r="D321" s="129" t="s">
        <v>1405</v>
      </c>
      <c r="E321" s="121" t="s">
        <v>606</v>
      </c>
      <c r="F321" s="122">
        <f>'Stavební rozpočet'!F485</f>
        <v>1</v>
      </c>
      <c r="G321" s="172"/>
      <c r="H321" s="122">
        <f>F321*AO321</f>
        <v>0</v>
      </c>
      <c r="I321" s="122">
        <f>F321*AP321</f>
        <v>0</v>
      </c>
      <c r="J321" s="122">
        <f>F321*G321</f>
        <v>0</v>
      </c>
      <c r="K321" s="122">
        <f>'Stavební rozpočet'!K485</f>
        <v>0.065</v>
      </c>
      <c r="L321" s="122">
        <f>F321*K321</f>
        <v>0.065</v>
      </c>
      <c r="M321" s="123" t="s">
        <v>622</v>
      </c>
      <c r="Z321" s="124">
        <f>IF(AQ321="5",BJ321,0)</f>
        <v>0</v>
      </c>
      <c r="AB321" s="124">
        <f>IF(AQ321="1",BH321,0)</f>
        <v>0</v>
      </c>
      <c r="AC321" s="124">
        <f>IF(AQ321="1",BI321,0)</f>
        <v>0</v>
      </c>
      <c r="AD321" s="124">
        <f>IF(AQ321="7",BH321,0)</f>
        <v>0</v>
      </c>
      <c r="AE321" s="124">
        <f>IF(AQ321="7",BI321,0)</f>
        <v>0</v>
      </c>
      <c r="AF321" s="124">
        <f>IF(AQ321="2",BH321,0)</f>
        <v>0</v>
      </c>
      <c r="AG321" s="124">
        <f>IF(AQ321="2",BI321,0)</f>
        <v>0</v>
      </c>
      <c r="AH321" s="124">
        <f>IF(AQ321="0",BJ321,0)</f>
        <v>0</v>
      </c>
      <c r="AI321" s="113" t="s">
        <v>60</v>
      </c>
      <c r="AJ321" s="122">
        <f>IF(AN321=0,J321,0)</f>
        <v>0</v>
      </c>
      <c r="AK321" s="122">
        <f>IF(AN321=15,J321,0)</f>
        <v>0</v>
      </c>
      <c r="AL321" s="122">
        <f>IF(AN321=21,J321,0)</f>
        <v>0</v>
      </c>
      <c r="AN321" s="124">
        <v>15</v>
      </c>
      <c r="AO321" s="124">
        <f>G321*0</f>
        <v>0</v>
      </c>
      <c r="AP321" s="124">
        <f>G321*(1-0)</f>
        <v>0</v>
      </c>
      <c r="AQ321" s="123" t="s">
        <v>85</v>
      </c>
      <c r="AV321" s="124">
        <f>AW321+AX321</f>
        <v>0</v>
      </c>
      <c r="AW321" s="124">
        <f>F321*AO321</f>
        <v>0</v>
      </c>
      <c r="AX321" s="124">
        <f>F321*AP321</f>
        <v>0</v>
      </c>
      <c r="AY321" s="125" t="s">
        <v>1530</v>
      </c>
      <c r="AZ321" s="125" t="s">
        <v>1539</v>
      </c>
      <c r="BA321" s="113" t="s">
        <v>1542</v>
      </c>
      <c r="BC321" s="124">
        <f>AW321+AX321</f>
        <v>0</v>
      </c>
      <c r="BD321" s="124">
        <f>G321/(100-BE321)*100</f>
        <v>0</v>
      </c>
      <c r="BE321" s="124">
        <v>0</v>
      </c>
      <c r="BF321" s="124">
        <f>L321</f>
        <v>0.065</v>
      </c>
      <c r="BH321" s="122">
        <f>F321*AO321</f>
        <v>0</v>
      </c>
      <c r="BI321" s="122">
        <f>F321*AP321</f>
        <v>0</v>
      </c>
      <c r="BJ321" s="122">
        <f>F321*G321</f>
        <v>0</v>
      </c>
    </row>
    <row r="322" spans="4:7" s="174" customFormat="1" ht="12.75">
      <c r="D322" s="79" t="s">
        <v>1404</v>
      </c>
      <c r="G322" s="175"/>
    </row>
    <row r="323" spans="1:62" s="174" customFormat="1" ht="12.75">
      <c r="A323" s="121" t="s">
        <v>768</v>
      </c>
      <c r="B323" s="121" t="s">
        <v>60</v>
      </c>
      <c r="C323" s="121" t="s">
        <v>1104</v>
      </c>
      <c r="D323" s="129" t="s">
        <v>1406</v>
      </c>
      <c r="E323" s="121" t="s">
        <v>606</v>
      </c>
      <c r="F323" s="122">
        <f>'Stavební rozpočet'!F486</f>
        <v>2</v>
      </c>
      <c r="G323" s="172"/>
      <c r="H323" s="122">
        <f>F323*AO323</f>
        <v>0</v>
      </c>
      <c r="I323" s="122">
        <f>F323*AP323</f>
        <v>0</v>
      </c>
      <c r="J323" s="122">
        <f>F323*G323</f>
        <v>0</v>
      </c>
      <c r="K323" s="122">
        <f>'Stavební rozpočet'!K486</f>
        <v>0.07</v>
      </c>
      <c r="L323" s="122">
        <f>F323*K323</f>
        <v>0.14</v>
      </c>
      <c r="M323" s="123" t="s">
        <v>622</v>
      </c>
      <c r="Z323" s="124">
        <f>IF(AQ323="5",BJ323,0)</f>
        <v>0</v>
      </c>
      <c r="AB323" s="124">
        <f>IF(AQ323="1",BH323,0)</f>
        <v>0</v>
      </c>
      <c r="AC323" s="124">
        <f>IF(AQ323="1",BI323,0)</f>
        <v>0</v>
      </c>
      <c r="AD323" s="124">
        <f>IF(AQ323="7",BH323,0)</f>
        <v>0</v>
      </c>
      <c r="AE323" s="124">
        <f>IF(AQ323="7",BI323,0)</f>
        <v>0</v>
      </c>
      <c r="AF323" s="124">
        <f>IF(AQ323="2",BH323,0)</f>
        <v>0</v>
      </c>
      <c r="AG323" s="124">
        <f>IF(AQ323="2",BI323,0)</f>
        <v>0</v>
      </c>
      <c r="AH323" s="124">
        <f>IF(AQ323="0",BJ323,0)</f>
        <v>0</v>
      </c>
      <c r="AI323" s="113" t="s">
        <v>60</v>
      </c>
      <c r="AJ323" s="122">
        <f>IF(AN323=0,J323,0)</f>
        <v>0</v>
      </c>
      <c r="AK323" s="122">
        <f>IF(AN323=15,J323,0)</f>
        <v>0</v>
      </c>
      <c r="AL323" s="122">
        <f>IF(AN323=21,J323,0)</f>
        <v>0</v>
      </c>
      <c r="AN323" s="124">
        <v>15</v>
      </c>
      <c r="AO323" s="124">
        <f>G323*0</f>
        <v>0</v>
      </c>
      <c r="AP323" s="124">
        <f>G323*(1-0)</f>
        <v>0</v>
      </c>
      <c r="AQ323" s="123" t="s">
        <v>85</v>
      </c>
      <c r="AV323" s="124">
        <f>AW323+AX323</f>
        <v>0</v>
      </c>
      <c r="AW323" s="124">
        <f>F323*AO323</f>
        <v>0</v>
      </c>
      <c r="AX323" s="124">
        <f>F323*AP323</f>
        <v>0</v>
      </c>
      <c r="AY323" s="125" t="s">
        <v>1530</v>
      </c>
      <c r="AZ323" s="125" t="s">
        <v>1539</v>
      </c>
      <c r="BA323" s="113" t="s">
        <v>1542</v>
      </c>
      <c r="BC323" s="124">
        <f>AW323+AX323</f>
        <v>0</v>
      </c>
      <c r="BD323" s="124">
        <f>G323/(100-BE323)*100</f>
        <v>0</v>
      </c>
      <c r="BE323" s="124">
        <v>0</v>
      </c>
      <c r="BF323" s="124">
        <f>L323</f>
        <v>0.14</v>
      </c>
      <c r="BH323" s="122">
        <f>F323*AO323</f>
        <v>0</v>
      </c>
      <c r="BI323" s="122">
        <f>F323*AP323</f>
        <v>0</v>
      </c>
      <c r="BJ323" s="122">
        <f>F323*G323</f>
        <v>0</v>
      </c>
    </row>
    <row r="324" spans="4:7" s="174" customFormat="1" ht="12.75">
      <c r="D324" s="79" t="s">
        <v>1404</v>
      </c>
      <c r="G324" s="175"/>
    </row>
    <row r="325" spans="1:62" s="174" customFormat="1" ht="12.75">
      <c r="A325" s="121" t="s">
        <v>769</v>
      </c>
      <c r="B325" s="121" t="s">
        <v>60</v>
      </c>
      <c r="C325" s="121" t="s">
        <v>1105</v>
      </c>
      <c r="D325" s="129" t="s">
        <v>1407</v>
      </c>
      <c r="E325" s="121" t="s">
        <v>606</v>
      </c>
      <c r="F325" s="122">
        <f>'Stavební rozpočet'!F487</f>
        <v>1</v>
      </c>
      <c r="G325" s="172"/>
      <c r="H325" s="122">
        <f>F325*AO325</f>
        <v>0</v>
      </c>
      <c r="I325" s="122">
        <f>F325*AP325</f>
        <v>0</v>
      </c>
      <c r="J325" s="122">
        <f>F325*G325</f>
        <v>0</v>
      </c>
      <c r="K325" s="122">
        <f>'Stavební rozpočet'!K487</f>
        <v>0.06</v>
      </c>
      <c r="L325" s="122">
        <f>F325*K325</f>
        <v>0.06</v>
      </c>
      <c r="M325" s="123" t="s">
        <v>622</v>
      </c>
      <c r="Z325" s="124">
        <f>IF(AQ325="5",BJ325,0)</f>
        <v>0</v>
      </c>
      <c r="AB325" s="124">
        <f>IF(AQ325="1",BH325,0)</f>
        <v>0</v>
      </c>
      <c r="AC325" s="124">
        <f>IF(AQ325="1",BI325,0)</f>
        <v>0</v>
      </c>
      <c r="AD325" s="124">
        <f>IF(AQ325="7",BH325,0)</f>
        <v>0</v>
      </c>
      <c r="AE325" s="124">
        <f>IF(AQ325="7",BI325,0)</f>
        <v>0</v>
      </c>
      <c r="AF325" s="124">
        <f>IF(AQ325="2",BH325,0)</f>
        <v>0</v>
      </c>
      <c r="AG325" s="124">
        <f>IF(AQ325="2",BI325,0)</f>
        <v>0</v>
      </c>
      <c r="AH325" s="124">
        <f>IF(AQ325="0",BJ325,0)</f>
        <v>0</v>
      </c>
      <c r="AI325" s="113" t="s">
        <v>60</v>
      </c>
      <c r="AJ325" s="122">
        <f>IF(AN325=0,J325,0)</f>
        <v>0</v>
      </c>
      <c r="AK325" s="122">
        <f>IF(AN325=15,J325,0)</f>
        <v>0</v>
      </c>
      <c r="AL325" s="122">
        <f>IF(AN325=21,J325,0)</f>
        <v>0</v>
      </c>
      <c r="AN325" s="124">
        <v>15</v>
      </c>
      <c r="AO325" s="124">
        <f>G325*0</f>
        <v>0</v>
      </c>
      <c r="AP325" s="124">
        <f>G325*(1-0)</f>
        <v>0</v>
      </c>
      <c r="AQ325" s="123" t="s">
        <v>85</v>
      </c>
      <c r="AV325" s="124">
        <f>AW325+AX325</f>
        <v>0</v>
      </c>
      <c r="AW325" s="124">
        <f>F325*AO325</f>
        <v>0</v>
      </c>
      <c r="AX325" s="124">
        <f>F325*AP325</f>
        <v>0</v>
      </c>
      <c r="AY325" s="125" t="s">
        <v>1530</v>
      </c>
      <c r="AZ325" s="125" t="s">
        <v>1539</v>
      </c>
      <c r="BA325" s="113" t="s">
        <v>1542</v>
      </c>
      <c r="BC325" s="124">
        <f>AW325+AX325</f>
        <v>0</v>
      </c>
      <c r="BD325" s="124">
        <f>G325/(100-BE325)*100</f>
        <v>0</v>
      </c>
      <c r="BE325" s="124">
        <v>0</v>
      </c>
      <c r="BF325" s="124">
        <f>L325</f>
        <v>0.06</v>
      </c>
      <c r="BH325" s="122">
        <f>F325*AO325</f>
        <v>0</v>
      </c>
      <c r="BI325" s="122">
        <f>F325*AP325</f>
        <v>0</v>
      </c>
      <c r="BJ325" s="122">
        <f>F325*G325</f>
        <v>0</v>
      </c>
    </row>
    <row r="326" spans="4:7" s="174" customFormat="1" ht="12.75">
      <c r="D326" s="79" t="s">
        <v>1408</v>
      </c>
      <c r="G326" s="175"/>
    </row>
    <row r="327" spans="1:62" s="174" customFormat="1" ht="12.75" hidden="1">
      <c r="A327" s="121" t="s">
        <v>770</v>
      </c>
      <c r="B327" s="121" t="s">
        <v>60</v>
      </c>
      <c r="C327" s="121" t="s">
        <v>1106</v>
      </c>
      <c r="D327" s="129" t="s">
        <v>1409</v>
      </c>
      <c r="E327" s="121" t="s">
        <v>606</v>
      </c>
      <c r="F327" s="122">
        <f>'Stavební rozpočet'!F488</f>
        <v>0</v>
      </c>
      <c r="G327" s="172"/>
      <c r="H327" s="122">
        <f>F327*AO327</f>
        <v>0</v>
      </c>
      <c r="I327" s="122">
        <f>F327*AP327</f>
        <v>0</v>
      </c>
      <c r="J327" s="122">
        <f>F327*G327</f>
        <v>0</v>
      </c>
      <c r="K327" s="122">
        <f>'Stavební rozpočet'!K488</f>
        <v>0.15</v>
      </c>
      <c r="L327" s="122">
        <f>F327*K327</f>
        <v>0</v>
      </c>
      <c r="M327" s="123" t="s">
        <v>622</v>
      </c>
      <c r="Z327" s="124">
        <f>IF(AQ327="5",BJ327,0)</f>
        <v>0</v>
      </c>
      <c r="AB327" s="124">
        <f>IF(AQ327="1",BH327,0)</f>
        <v>0</v>
      </c>
      <c r="AC327" s="124">
        <f>IF(AQ327="1",BI327,0)</f>
        <v>0</v>
      </c>
      <c r="AD327" s="124">
        <f>IF(AQ327="7",BH327,0)</f>
        <v>0</v>
      </c>
      <c r="AE327" s="124">
        <f>IF(AQ327="7",BI327,0)</f>
        <v>0</v>
      </c>
      <c r="AF327" s="124">
        <f>IF(AQ327="2",BH327,0)</f>
        <v>0</v>
      </c>
      <c r="AG327" s="124">
        <f>IF(AQ327="2",BI327,0)</f>
        <v>0</v>
      </c>
      <c r="AH327" s="124">
        <f>IF(AQ327="0",BJ327,0)</f>
        <v>0</v>
      </c>
      <c r="AI327" s="113" t="s">
        <v>60</v>
      </c>
      <c r="AJ327" s="122">
        <f>IF(AN327=0,J327,0)</f>
        <v>0</v>
      </c>
      <c r="AK327" s="122">
        <f>IF(AN327=15,J327,0)</f>
        <v>0</v>
      </c>
      <c r="AL327" s="122">
        <f>IF(AN327=21,J327,0)</f>
        <v>0</v>
      </c>
      <c r="AN327" s="124">
        <v>15</v>
      </c>
      <c r="AO327" s="124">
        <f>G327*0</f>
        <v>0</v>
      </c>
      <c r="AP327" s="124">
        <f>G327*(1-0)</f>
        <v>0</v>
      </c>
      <c r="AQ327" s="123" t="s">
        <v>85</v>
      </c>
      <c r="AV327" s="124">
        <f>AW327+AX327</f>
        <v>0</v>
      </c>
      <c r="AW327" s="124">
        <f>F327*AO327</f>
        <v>0</v>
      </c>
      <c r="AX327" s="124">
        <f>F327*AP327</f>
        <v>0</v>
      </c>
      <c r="AY327" s="125" t="s">
        <v>1530</v>
      </c>
      <c r="AZ327" s="125" t="s">
        <v>1539</v>
      </c>
      <c r="BA327" s="113" t="s">
        <v>1542</v>
      </c>
      <c r="BC327" s="124">
        <f>AW327+AX327</f>
        <v>0</v>
      </c>
      <c r="BD327" s="124">
        <f>G327/(100-BE327)*100</f>
        <v>0</v>
      </c>
      <c r="BE327" s="124">
        <v>0</v>
      </c>
      <c r="BF327" s="124">
        <f>L327</f>
        <v>0</v>
      </c>
      <c r="BH327" s="122">
        <f>F327*AO327</f>
        <v>0</v>
      </c>
      <c r="BI327" s="122">
        <f>F327*AP327</f>
        <v>0</v>
      </c>
      <c r="BJ327" s="122">
        <f>F327*G327</f>
        <v>0</v>
      </c>
    </row>
    <row r="328" spans="4:7" s="174" customFormat="1" ht="12.75" hidden="1">
      <c r="D328" s="79" t="s">
        <v>549</v>
      </c>
      <c r="G328" s="175"/>
    </row>
    <row r="329" spans="1:62" s="174" customFormat="1" ht="12.75">
      <c r="A329" s="121" t="s">
        <v>771</v>
      </c>
      <c r="B329" s="121" t="s">
        <v>60</v>
      </c>
      <c r="C329" s="121" t="s">
        <v>1107</v>
      </c>
      <c r="D329" s="129" t="s">
        <v>1410</v>
      </c>
      <c r="E329" s="121" t="s">
        <v>612</v>
      </c>
      <c r="F329" s="122">
        <f>'Stavební rozpočet'!F489</f>
        <v>0.75</v>
      </c>
      <c r="G329" s="172"/>
      <c r="H329" s="122">
        <f>F329*AO329</f>
        <v>0</v>
      </c>
      <c r="I329" s="122">
        <f>F329*AP329</f>
        <v>0</v>
      </c>
      <c r="J329" s="122">
        <f>F329*G329</f>
        <v>0</v>
      </c>
      <c r="K329" s="122">
        <f>'Stavební rozpočet'!K489</f>
        <v>0</v>
      </c>
      <c r="L329" s="122">
        <f>F329*K329</f>
        <v>0</v>
      </c>
      <c r="M329" s="123" t="s">
        <v>622</v>
      </c>
      <c r="Z329" s="124">
        <f>IF(AQ329="5",BJ329,0)</f>
        <v>0</v>
      </c>
      <c r="AB329" s="124">
        <f>IF(AQ329="1",BH329,0)</f>
        <v>0</v>
      </c>
      <c r="AC329" s="124">
        <f>IF(AQ329="1",BI329,0)</f>
        <v>0</v>
      </c>
      <c r="AD329" s="124">
        <f>IF(AQ329="7",BH329,0)</f>
        <v>0</v>
      </c>
      <c r="AE329" s="124">
        <f>IF(AQ329="7",BI329,0)</f>
        <v>0</v>
      </c>
      <c r="AF329" s="124">
        <f>IF(AQ329="2",BH329,0)</f>
        <v>0</v>
      </c>
      <c r="AG329" s="124">
        <f>IF(AQ329="2",BI329,0)</f>
        <v>0</v>
      </c>
      <c r="AH329" s="124">
        <f>IF(AQ329="0",BJ329,0)</f>
        <v>0</v>
      </c>
      <c r="AI329" s="113" t="s">
        <v>60</v>
      </c>
      <c r="AJ329" s="122">
        <f>IF(AN329=0,J329,0)</f>
        <v>0</v>
      </c>
      <c r="AK329" s="122">
        <f>IF(AN329=15,J329,0)</f>
        <v>0</v>
      </c>
      <c r="AL329" s="122">
        <f>IF(AN329=21,J329,0)</f>
        <v>0</v>
      </c>
      <c r="AN329" s="124">
        <v>15</v>
      </c>
      <c r="AO329" s="124">
        <f>G329*0</f>
        <v>0</v>
      </c>
      <c r="AP329" s="124">
        <f>G329*(1-0)</f>
        <v>0</v>
      </c>
      <c r="AQ329" s="123" t="s">
        <v>83</v>
      </c>
      <c r="AV329" s="124">
        <f>AW329+AX329</f>
        <v>0</v>
      </c>
      <c r="AW329" s="124">
        <f>F329*AO329</f>
        <v>0</v>
      </c>
      <c r="AX329" s="124">
        <f>F329*AP329</f>
        <v>0</v>
      </c>
      <c r="AY329" s="125" t="s">
        <v>1530</v>
      </c>
      <c r="AZ329" s="125" t="s">
        <v>1539</v>
      </c>
      <c r="BA329" s="113" t="s">
        <v>1542</v>
      </c>
      <c r="BC329" s="124">
        <f>AW329+AX329</f>
        <v>0</v>
      </c>
      <c r="BD329" s="124">
        <f>G329/(100-BE329)*100</f>
        <v>0</v>
      </c>
      <c r="BE329" s="124">
        <v>0</v>
      </c>
      <c r="BF329" s="124">
        <f>L329</f>
        <v>0</v>
      </c>
      <c r="BH329" s="122">
        <f>F329*AO329</f>
        <v>0</v>
      </c>
      <c r="BI329" s="122">
        <f>F329*AP329</f>
        <v>0</v>
      </c>
      <c r="BJ329" s="122">
        <f>F329*G329</f>
        <v>0</v>
      </c>
    </row>
    <row r="330" spans="1:47" s="174" customFormat="1" ht="12.75" hidden="1">
      <c r="A330" s="118"/>
      <c r="B330" s="119" t="s">
        <v>60</v>
      </c>
      <c r="C330" s="119" t="s">
        <v>361</v>
      </c>
      <c r="D330" s="136" t="s">
        <v>544</v>
      </c>
      <c r="E330" s="118" t="s">
        <v>57</v>
      </c>
      <c r="F330" s="118" t="s">
        <v>57</v>
      </c>
      <c r="G330" s="118"/>
      <c r="H330" s="120">
        <f>SUM(H331:H337)</f>
        <v>0</v>
      </c>
      <c r="I330" s="120">
        <f>SUM(I331:I337)</f>
        <v>0</v>
      </c>
      <c r="J330" s="120">
        <f>SUM(J331:J337)</f>
        <v>0</v>
      </c>
      <c r="K330" s="113"/>
      <c r="L330" s="120">
        <f>SUM(L331:L337)</f>
        <v>0</v>
      </c>
      <c r="M330" s="113"/>
      <c r="AI330" s="113" t="s">
        <v>60</v>
      </c>
      <c r="AS330" s="120">
        <f>SUM(AJ331:AJ337)</f>
        <v>0</v>
      </c>
      <c r="AT330" s="120">
        <f>SUM(AK331:AK337)</f>
        <v>0</v>
      </c>
      <c r="AU330" s="120">
        <f>SUM(AL331:AL337)</f>
        <v>0</v>
      </c>
    </row>
    <row r="331" spans="1:62" s="174" customFormat="1" ht="12.75" hidden="1">
      <c r="A331" s="121" t="s">
        <v>772</v>
      </c>
      <c r="B331" s="121" t="s">
        <v>60</v>
      </c>
      <c r="C331" s="121" t="s">
        <v>362</v>
      </c>
      <c r="D331" s="129" t="s">
        <v>545</v>
      </c>
      <c r="E331" s="121" t="s">
        <v>606</v>
      </c>
      <c r="F331" s="122">
        <f>'Stavební rozpočet'!F491</f>
        <v>0</v>
      </c>
      <c r="G331" s="172"/>
      <c r="H331" s="122">
        <f>F331*AO331</f>
        <v>0</v>
      </c>
      <c r="I331" s="122">
        <f>F331*AP331</f>
        <v>0</v>
      </c>
      <c r="J331" s="122">
        <f>F331*G331</f>
        <v>0</v>
      </c>
      <c r="K331" s="122">
        <f>'Stavební rozpočet'!K491</f>
        <v>0.075</v>
      </c>
      <c r="L331" s="122">
        <f>F331*K331</f>
        <v>0</v>
      </c>
      <c r="M331" s="123" t="s">
        <v>622</v>
      </c>
      <c r="Z331" s="124">
        <f>IF(AQ331="5",BJ331,0)</f>
        <v>0</v>
      </c>
      <c r="AB331" s="124">
        <f>IF(AQ331="1",BH331,0)</f>
        <v>0</v>
      </c>
      <c r="AC331" s="124">
        <f>IF(AQ331="1",BI331,0)</f>
        <v>0</v>
      </c>
      <c r="AD331" s="124">
        <f>IF(AQ331="7",BH331,0)</f>
        <v>0</v>
      </c>
      <c r="AE331" s="124">
        <f>IF(AQ331="7",BI331,0)</f>
        <v>0</v>
      </c>
      <c r="AF331" s="124">
        <f>IF(AQ331="2",BH331,0)</f>
        <v>0</v>
      </c>
      <c r="AG331" s="124">
        <f>IF(AQ331="2",BI331,0)</f>
        <v>0</v>
      </c>
      <c r="AH331" s="124">
        <f>IF(AQ331="0",BJ331,0)</f>
        <v>0</v>
      </c>
      <c r="AI331" s="113" t="s">
        <v>60</v>
      </c>
      <c r="AJ331" s="122">
        <f>IF(AN331=0,J331,0)</f>
        <v>0</v>
      </c>
      <c r="AK331" s="122">
        <f>IF(AN331=15,J331,0)</f>
        <v>0</v>
      </c>
      <c r="AL331" s="122">
        <f>IF(AN331=21,J331,0)</f>
        <v>0</v>
      </c>
      <c r="AN331" s="124">
        <v>15</v>
      </c>
      <c r="AO331" s="124">
        <f>G331*0.0336344</f>
        <v>0</v>
      </c>
      <c r="AP331" s="124">
        <f>G331*(1-0.0336344)</f>
        <v>0</v>
      </c>
      <c r="AQ331" s="123" t="s">
        <v>85</v>
      </c>
      <c r="AV331" s="124">
        <f>AW331+AX331</f>
        <v>0</v>
      </c>
      <c r="AW331" s="124">
        <f>F331*AO331</f>
        <v>0</v>
      </c>
      <c r="AX331" s="124">
        <f>F331*AP331</f>
        <v>0</v>
      </c>
      <c r="AY331" s="125" t="s">
        <v>646</v>
      </c>
      <c r="AZ331" s="125" t="s">
        <v>1539</v>
      </c>
      <c r="BA331" s="113" t="s">
        <v>1542</v>
      </c>
      <c r="BC331" s="124">
        <f>AW331+AX331</f>
        <v>0</v>
      </c>
      <c r="BD331" s="124">
        <f>G331/(100-BE331)*100</f>
        <v>0</v>
      </c>
      <c r="BE331" s="124">
        <v>0</v>
      </c>
      <c r="BF331" s="124">
        <f>L331</f>
        <v>0</v>
      </c>
      <c r="BH331" s="122">
        <f>F331*AO331</f>
        <v>0</v>
      </c>
      <c r="BI331" s="122">
        <f>F331*AP331</f>
        <v>0</v>
      </c>
      <c r="BJ331" s="122">
        <f>F331*G331</f>
        <v>0</v>
      </c>
    </row>
    <row r="332" spans="4:7" s="174" customFormat="1" ht="12.75" hidden="1">
      <c r="D332" s="79" t="s">
        <v>546</v>
      </c>
      <c r="G332" s="175"/>
    </row>
    <row r="333" spans="1:62" s="174" customFormat="1" ht="12.75" hidden="1">
      <c r="A333" s="121" t="s">
        <v>773</v>
      </c>
      <c r="B333" s="121" t="s">
        <v>60</v>
      </c>
      <c r="C333" s="121" t="s">
        <v>364</v>
      </c>
      <c r="D333" s="129" t="s">
        <v>548</v>
      </c>
      <c r="E333" s="121" t="s">
        <v>606</v>
      </c>
      <c r="F333" s="122">
        <f>'Stavební rozpočet'!F492</f>
        <v>0</v>
      </c>
      <c r="G333" s="172"/>
      <c r="H333" s="122">
        <f>F333*AO333</f>
        <v>0</v>
      </c>
      <c r="I333" s="122">
        <f>F333*AP333</f>
        <v>0</v>
      </c>
      <c r="J333" s="122">
        <f>F333*G333</f>
        <v>0</v>
      </c>
      <c r="K333" s="122">
        <f>'Stavební rozpočet'!K492</f>
        <v>0.063</v>
      </c>
      <c r="L333" s="122">
        <f>F333*K333</f>
        <v>0</v>
      </c>
      <c r="M333" s="123" t="s">
        <v>622</v>
      </c>
      <c r="Z333" s="124">
        <f>IF(AQ333="5",BJ333,0)</f>
        <v>0</v>
      </c>
      <c r="AB333" s="124">
        <f>IF(AQ333="1",BH333,0)</f>
        <v>0</v>
      </c>
      <c r="AC333" s="124">
        <f>IF(AQ333="1",BI333,0)</f>
        <v>0</v>
      </c>
      <c r="AD333" s="124">
        <f>IF(AQ333="7",BH333,0)</f>
        <v>0</v>
      </c>
      <c r="AE333" s="124">
        <f>IF(AQ333="7",BI333,0)</f>
        <v>0</v>
      </c>
      <c r="AF333" s="124">
        <f>IF(AQ333="2",BH333,0)</f>
        <v>0</v>
      </c>
      <c r="AG333" s="124">
        <f>IF(AQ333="2",BI333,0)</f>
        <v>0</v>
      </c>
      <c r="AH333" s="124">
        <f>IF(AQ333="0",BJ333,0)</f>
        <v>0</v>
      </c>
      <c r="AI333" s="113" t="s">
        <v>60</v>
      </c>
      <c r="AJ333" s="122">
        <f>IF(AN333=0,J333,0)</f>
        <v>0</v>
      </c>
      <c r="AK333" s="122">
        <f>IF(AN333=15,J333,0)</f>
        <v>0</v>
      </c>
      <c r="AL333" s="122">
        <f>IF(AN333=21,J333,0)</f>
        <v>0</v>
      </c>
      <c r="AN333" s="124">
        <v>15</v>
      </c>
      <c r="AO333" s="124">
        <f>G333*0.0759489130434783</f>
        <v>0</v>
      </c>
      <c r="AP333" s="124">
        <f>G333*(1-0.0759489130434783)</f>
        <v>0</v>
      </c>
      <c r="AQ333" s="123" t="s">
        <v>85</v>
      </c>
      <c r="AV333" s="124">
        <f>AW333+AX333</f>
        <v>0</v>
      </c>
      <c r="AW333" s="124">
        <f>F333*AO333</f>
        <v>0</v>
      </c>
      <c r="AX333" s="124">
        <f>F333*AP333</f>
        <v>0</v>
      </c>
      <c r="AY333" s="125" t="s">
        <v>646</v>
      </c>
      <c r="AZ333" s="125" t="s">
        <v>1539</v>
      </c>
      <c r="BA333" s="113" t="s">
        <v>1542</v>
      </c>
      <c r="BC333" s="124">
        <f>AW333+AX333</f>
        <v>0</v>
      </c>
      <c r="BD333" s="124">
        <f>G333/(100-BE333)*100</f>
        <v>0</v>
      </c>
      <c r="BE333" s="124">
        <v>0</v>
      </c>
      <c r="BF333" s="124">
        <f>L333</f>
        <v>0</v>
      </c>
      <c r="BH333" s="122">
        <f>F333*AO333</f>
        <v>0</v>
      </c>
      <c r="BI333" s="122">
        <f>F333*AP333</f>
        <v>0</v>
      </c>
      <c r="BJ333" s="122">
        <f>F333*G333</f>
        <v>0</v>
      </c>
    </row>
    <row r="334" spans="4:7" s="174" customFormat="1" ht="12.75" hidden="1">
      <c r="D334" s="79" t="s">
        <v>549</v>
      </c>
      <c r="G334" s="175"/>
    </row>
    <row r="335" spans="1:62" s="174" customFormat="1" ht="12.75" hidden="1">
      <c r="A335" s="121" t="s">
        <v>774</v>
      </c>
      <c r="B335" s="121" t="s">
        <v>60</v>
      </c>
      <c r="C335" s="121" t="s">
        <v>365</v>
      </c>
      <c r="D335" s="129" t="s">
        <v>550</v>
      </c>
      <c r="E335" s="121" t="s">
        <v>606</v>
      </c>
      <c r="F335" s="122">
        <f>'Stavební rozpočet'!F493</f>
        <v>0</v>
      </c>
      <c r="G335" s="172"/>
      <c r="H335" s="122">
        <f>F335*AO335</f>
        <v>0</v>
      </c>
      <c r="I335" s="122">
        <f>F335*AP335</f>
        <v>0</v>
      </c>
      <c r="J335" s="122">
        <f>F335*G335</f>
        <v>0</v>
      </c>
      <c r="K335" s="122">
        <f>'Stavební rozpočet'!K493</f>
        <v>0.075</v>
      </c>
      <c r="L335" s="122">
        <f>F335*K335</f>
        <v>0</v>
      </c>
      <c r="M335" s="123" t="s">
        <v>622</v>
      </c>
      <c r="Z335" s="124">
        <f>IF(AQ335="5",BJ335,0)</f>
        <v>0</v>
      </c>
      <c r="AB335" s="124">
        <f>IF(AQ335="1",BH335,0)</f>
        <v>0</v>
      </c>
      <c r="AC335" s="124">
        <f>IF(AQ335="1",BI335,0)</f>
        <v>0</v>
      </c>
      <c r="AD335" s="124">
        <f>IF(AQ335="7",BH335,0)</f>
        <v>0</v>
      </c>
      <c r="AE335" s="124">
        <f>IF(AQ335="7",BI335,0)</f>
        <v>0</v>
      </c>
      <c r="AF335" s="124">
        <f>IF(AQ335="2",BH335,0)</f>
        <v>0</v>
      </c>
      <c r="AG335" s="124">
        <f>IF(AQ335="2",BI335,0)</f>
        <v>0</v>
      </c>
      <c r="AH335" s="124">
        <f>IF(AQ335="0",BJ335,0)</f>
        <v>0</v>
      </c>
      <c r="AI335" s="113" t="s">
        <v>60</v>
      </c>
      <c r="AJ335" s="122">
        <f>IF(AN335=0,J335,0)</f>
        <v>0</v>
      </c>
      <c r="AK335" s="122">
        <f>IF(AN335=15,J335,0)</f>
        <v>0</v>
      </c>
      <c r="AL335" s="122">
        <f>IF(AN335=21,J335,0)</f>
        <v>0</v>
      </c>
      <c r="AN335" s="124">
        <v>15</v>
      </c>
      <c r="AO335" s="124">
        <f>G335*0.0759489795918367</f>
        <v>0</v>
      </c>
      <c r="AP335" s="124">
        <f>G335*(1-0.0759489795918367)</f>
        <v>0</v>
      </c>
      <c r="AQ335" s="123" t="s">
        <v>85</v>
      </c>
      <c r="AV335" s="124">
        <f>AW335+AX335</f>
        <v>0</v>
      </c>
      <c r="AW335" s="124">
        <f>F335*AO335</f>
        <v>0</v>
      </c>
      <c r="AX335" s="124">
        <f>F335*AP335</f>
        <v>0</v>
      </c>
      <c r="AY335" s="125" t="s">
        <v>646</v>
      </c>
      <c r="AZ335" s="125" t="s">
        <v>1539</v>
      </c>
      <c r="BA335" s="113" t="s">
        <v>1542</v>
      </c>
      <c r="BC335" s="124">
        <f>AW335+AX335</f>
        <v>0</v>
      </c>
      <c r="BD335" s="124">
        <f>G335/(100-BE335)*100</f>
        <v>0</v>
      </c>
      <c r="BE335" s="124">
        <v>0</v>
      </c>
      <c r="BF335" s="124">
        <f>L335</f>
        <v>0</v>
      </c>
      <c r="BH335" s="122">
        <f>F335*AO335</f>
        <v>0</v>
      </c>
      <c r="BI335" s="122">
        <f>F335*AP335</f>
        <v>0</v>
      </c>
      <c r="BJ335" s="122">
        <f>F335*G335</f>
        <v>0</v>
      </c>
    </row>
    <row r="336" spans="4:7" s="174" customFormat="1" ht="12.75" hidden="1">
      <c r="D336" s="79" t="s">
        <v>549</v>
      </c>
      <c r="G336" s="175"/>
    </row>
    <row r="337" spans="1:62" s="174" customFormat="1" ht="12.75" hidden="1">
      <c r="A337" s="121" t="s">
        <v>775</v>
      </c>
      <c r="B337" s="121" t="s">
        <v>60</v>
      </c>
      <c r="C337" s="121" t="s">
        <v>366</v>
      </c>
      <c r="D337" s="129" t="s">
        <v>551</v>
      </c>
      <c r="E337" s="121" t="s">
        <v>612</v>
      </c>
      <c r="F337" s="122">
        <f>'Stavební rozpočet'!F494</f>
        <v>0</v>
      </c>
      <c r="G337" s="172"/>
      <c r="H337" s="122">
        <f>F337*AO337</f>
        <v>0</v>
      </c>
      <c r="I337" s="122">
        <f>F337*AP337</f>
        <v>0</v>
      </c>
      <c r="J337" s="122">
        <f>F337*G337</f>
        <v>0</v>
      </c>
      <c r="K337" s="122">
        <f>'Stavební rozpočet'!K494</f>
        <v>0</v>
      </c>
      <c r="L337" s="122">
        <f>F337*K337</f>
        <v>0</v>
      </c>
      <c r="M337" s="123" t="s">
        <v>622</v>
      </c>
      <c r="Z337" s="124">
        <f>IF(AQ337="5",BJ337,0)</f>
        <v>0</v>
      </c>
      <c r="AB337" s="124">
        <f>IF(AQ337="1",BH337,0)</f>
        <v>0</v>
      </c>
      <c r="AC337" s="124">
        <f>IF(AQ337="1",BI337,0)</f>
        <v>0</v>
      </c>
      <c r="AD337" s="124">
        <f>IF(AQ337="7",BH337,0)</f>
        <v>0</v>
      </c>
      <c r="AE337" s="124">
        <f>IF(AQ337="7",BI337,0)</f>
        <v>0</v>
      </c>
      <c r="AF337" s="124">
        <f>IF(AQ337="2",BH337,0)</f>
        <v>0</v>
      </c>
      <c r="AG337" s="124">
        <f>IF(AQ337="2",BI337,0)</f>
        <v>0</v>
      </c>
      <c r="AH337" s="124">
        <f>IF(AQ337="0",BJ337,0)</f>
        <v>0</v>
      </c>
      <c r="AI337" s="113" t="s">
        <v>60</v>
      </c>
      <c r="AJ337" s="122">
        <f>IF(AN337=0,J337,0)</f>
        <v>0</v>
      </c>
      <c r="AK337" s="122">
        <f>IF(AN337=15,J337,0)</f>
        <v>0</v>
      </c>
      <c r="AL337" s="122">
        <f>IF(AN337=21,J337,0)</f>
        <v>0</v>
      </c>
      <c r="AN337" s="124">
        <v>15</v>
      </c>
      <c r="AO337" s="124">
        <f>G337*0</f>
        <v>0</v>
      </c>
      <c r="AP337" s="124">
        <f>G337*(1-0)</f>
        <v>0</v>
      </c>
      <c r="AQ337" s="123" t="s">
        <v>83</v>
      </c>
      <c r="AV337" s="124">
        <f>AW337+AX337</f>
        <v>0</v>
      </c>
      <c r="AW337" s="124">
        <f>F337*AO337</f>
        <v>0</v>
      </c>
      <c r="AX337" s="124">
        <f>F337*AP337</f>
        <v>0</v>
      </c>
      <c r="AY337" s="125" t="s">
        <v>646</v>
      </c>
      <c r="AZ337" s="125" t="s">
        <v>1539</v>
      </c>
      <c r="BA337" s="113" t="s">
        <v>1542</v>
      </c>
      <c r="BC337" s="124">
        <f>AW337+AX337</f>
        <v>0</v>
      </c>
      <c r="BD337" s="124">
        <f>G337/(100-BE337)*100</f>
        <v>0</v>
      </c>
      <c r="BE337" s="124">
        <v>0</v>
      </c>
      <c r="BF337" s="124">
        <f>L337</f>
        <v>0</v>
      </c>
      <c r="BH337" s="122">
        <f>F337*AO337</f>
        <v>0</v>
      </c>
      <c r="BI337" s="122">
        <f>F337*AP337</f>
        <v>0</v>
      </c>
      <c r="BJ337" s="122">
        <f>F337*G337</f>
        <v>0</v>
      </c>
    </row>
    <row r="338" spans="1:47" s="174" customFormat="1" ht="12.75">
      <c r="A338" s="118"/>
      <c r="B338" s="119" t="s">
        <v>60</v>
      </c>
      <c r="C338" s="119" t="s">
        <v>367</v>
      </c>
      <c r="D338" s="136" t="s">
        <v>552</v>
      </c>
      <c r="E338" s="118" t="s">
        <v>57</v>
      </c>
      <c r="F338" s="118" t="s">
        <v>57</v>
      </c>
      <c r="G338" s="118"/>
      <c r="H338" s="120">
        <f>SUM(H339:H352)</f>
        <v>0</v>
      </c>
      <c r="I338" s="120">
        <f>SUM(I339:I352)</f>
        <v>0</v>
      </c>
      <c r="J338" s="120">
        <f>SUM(J339:J352)</f>
        <v>0</v>
      </c>
      <c r="K338" s="113"/>
      <c r="L338" s="120">
        <f>SUM(L339:L352)</f>
        <v>1.0426771000000001</v>
      </c>
      <c r="M338" s="113"/>
      <c r="AI338" s="113" t="s">
        <v>60</v>
      </c>
      <c r="AS338" s="120">
        <f>SUM(AJ339:AJ352)</f>
        <v>0</v>
      </c>
      <c r="AT338" s="120">
        <f>SUM(AK339:AK352)</f>
        <v>0</v>
      </c>
      <c r="AU338" s="120">
        <f>SUM(AL339:AL352)</f>
        <v>0</v>
      </c>
    </row>
    <row r="339" spans="1:62" s="174" customFormat="1" ht="12.75">
      <c r="A339" s="121" t="s">
        <v>776</v>
      </c>
      <c r="B339" s="121" t="s">
        <v>60</v>
      </c>
      <c r="C339" s="121" t="s">
        <v>369</v>
      </c>
      <c r="D339" s="129" t="s">
        <v>1411</v>
      </c>
      <c r="E339" s="121" t="s">
        <v>608</v>
      </c>
      <c r="F339" s="122">
        <f>'Stavební rozpočet'!F496</f>
        <v>38.76</v>
      </c>
      <c r="G339" s="172"/>
      <c r="H339" s="122">
        <f aca="true" t="shared" si="208" ref="H339:H348">F339*AO339</f>
        <v>0</v>
      </c>
      <c r="I339" s="122">
        <f aca="true" t="shared" si="209" ref="I339:I348">F339*AP339</f>
        <v>0</v>
      </c>
      <c r="J339" s="122">
        <f aca="true" t="shared" si="210" ref="J339:J348">F339*G339</f>
        <v>0</v>
      </c>
      <c r="K339" s="122">
        <f>'Stavební rozpočet'!K496</f>
        <v>0</v>
      </c>
      <c r="L339" s="122">
        <f aca="true" t="shared" si="211" ref="L339:L348">F339*K339</f>
        <v>0</v>
      </c>
      <c r="M339" s="123" t="s">
        <v>622</v>
      </c>
      <c r="Z339" s="124">
        <f aca="true" t="shared" si="212" ref="Z339:Z348">IF(AQ339="5",BJ339,0)</f>
        <v>0</v>
      </c>
      <c r="AB339" s="124">
        <f aca="true" t="shared" si="213" ref="AB339:AB348">IF(AQ339="1",BH339,0)</f>
        <v>0</v>
      </c>
      <c r="AC339" s="124">
        <f aca="true" t="shared" si="214" ref="AC339:AC348">IF(AQ339="1",BI339,0)</f>
        <v>0</v>
      </c>
      <c r="AD339" s="124">
        <f aca="true" t="shared" si="215" ref="AD339:AD348">IF(AQ339="7",BH339,0)</f>
        <v>0</v>
      </c>
      <c r="AE339" s="124">
        <f aca="true" t="shared" si="216" ref="AE339:AE348">IF(AQ339="7",BI339,0)</f>
        <v>0</v>
      </c>
      <c r="AF339" s="124">
        <f aca="true" t="shared" si="217" ref="AF339:AF348">IF(AQ339="2",BH339,0)</f>
        <v>0</v>
      </c>
      <c r="AG339" s="124">
        <f aca="true" t="shared" si="218" ref="AG339:AG348">IF(AQ339="2",BI339,0)</f>
        <v>0</v>
      </c>
      <c r="AH339" s="124">
        <f aca="true" t="shared" si="219" ref="AH339:AH348">IF(AQ339="0",BJ339,0)</f>
        <v>0</v>
      </c>
      <c r="AI339" s="113" t="s">
        <v>60</v>
      </c>
      <c r="AJ339" s="122">
        <f aca="true" t="shared" si="220" ref="AJ339:AJ348">IF(AN339=0,J339,0)</f>
        <v>0</v>
      </c>
      <c r="AK339" s="122">
        <f aca="true" t="shared" si="221" ref="AK339:AK348">IF(AN339=15,J339,0)</f>
        <v>0</v>
      </c>
      <c r="AL339" s="122">
        <f aca="true" t="shared" si="222" ref="AL339:AL348">IF(AN339=21,J339,0)</f>
        <v>0</v>
      </c>
      <c r="AN339" s="124">
        <v>15</v>
      </c>
      <c r="AO339" s="124">
        <f>G339*0</f>
        <v>0</v>
      </c>
      <c r="AP339" s="124">
        <f>G339*(1-0)</f>
        <v>0</v>
      </c>
      <c r="AQ339" s="123" t="s">
        <v>85</v>
      </c>
      <c r="AV339" s="124">
        <f aca="true" t="shared" si="223" ref="AV339:AV348">AW339+AX339</f>
        <v>0</v>
      </c>
      <c r="AW339" s="124">
        <f aca="true" t="shared" si="224" ref="AW339:AW348">F339*AO339</f>
        <v>0</v>
      </c>
      <c r="AX339" s="124">
        <f aca="true" t="shared" si="225" ref="AX339:AX348">F339*AP339</f>
        <v>0</v>
      </c>
      <c r="AY339" s="125" t="s">
        <v>647</v>
      </c>
      <c r="AZ339" s="125" t="s">
        <v>1540</v>
      </c>
      <c r="BA339" s="113" t="s">
        <v>1542</v>
      </c>
      <c r="BC339" s="124">
        <f aca="true" t="shared" si="226" ref="BC339:BC348">AW339+AX339</f>
        <v>0</v>
      </c>
      <c r="BD339" s="124">
        <f aca="true" t="shared" si="227" ref="BD339:BD348">G339/(100-BE339)*100</f>
        <v>0</v>
      </c>
      <c r="BE339" s="124">
        <v>0</v>
      </c>
      <c r="BF339" s="124">
        <f aca="true" t="shared" si="228" ref="BF339:BF348">L339</f>
        <v>0</v>
      </c>
      <c r="BH339" s="122">
        <f aca="true" t="shared" si="229" ref="BH339:BH348">F339*AO339</f>
        <v>0</v>
      </c>
      <c r="BI339" s="122">
        <f aca="true" t="shared" si="230" ref="BI339:BI348">F339*AP339</f>
        <v>0</v>
      </c>
      <c r="BJ339" s="122">
        <f aca="true" t="shared" si="231" ref="BJ339:BJ348">F339*G339</f>
        <v>0</v>
      </c>
    </row>
    <row r="340" spans="1:62" s="174" customFormat="1" ht="12.75">
      <c r="A340" s="121" t="s">
        <v>777</v>
      </c>
      <c r="B340" s="121" t="s">
        <v>60</v>
      </c>
      <c r="C340" s="121" t="s">
        <v>370</v>
      </c>
      <c r="D340" s="129" t="s">
        <v>1412</v>
      </c>
      <c r="E340" s="121" t="s">
        <v>608</v>
      </c>
      <c r="F340" s="122">
        <f>'Stavební rozpočet'!F497</f>
        <v>20.289</v>
      </c>
      <c r="G340" s="172"/>
      <c r="H340" s="122">
        <f t="shared" si="208"/>
        <v>0</v>
      </c>
      <c r="I340" s="122">
        <f t="shared" si="209"/>
        <v>0</v>
      </c>
      <c r="J340" s="122">
        <f t="shared" si="210"/>
        <v>0</v>
      </c>
      <c r="K340" s="122">
        <f>'Stavební rozpočet'!K497</f>
        <v>0</v>
      </c>
      <c r="L340" s="122">
        <f t="shared" si="211"/>
        <v>0</v>
      </c>
      <c r="M340" s="123" t="s">
        <v>622</v>
      </c>
      <c r="Z340" s="124">
        <f t="shared" si="212"/>
        <v>0</v>
      </c>
      <c r="AB340" s="124">
        <f t="shared" si="213"/>
        <v>0</v>
      </c>
      <c r="AC340" s="124">
        <f t="shared" si="214"/>
        <v>0</v>
      </c>
      <c r="AD340" s="124">
        <f t="shared" si="215"/>
        <v>0</v>
      </c>
      <c r="AE340" s="124">
        <f t="shared" si="216"/>
        <v>0</v>
      </c>
      <c r="AF340" s="124">
        <f t="shared" si="217"/>
        <v>0</v>
      </c>
      <c r="AG340" s="124">
        <f t="shared" si="218"/>
        <v>0</v>
      </c>
      <c r="AH340" s="124">
        <f t="shared" si="219"/>
        <v>0</v>
      </c>
      <c r="AI340" s="113" t="s">
        <v>60</v>
      </c>
      <c r="AJ340" s="122">
        <f t="shared" si="220"/>
        <v>0</v>
      </c>
      <c r="AK340" s="122">
        <f t="shared" si="221"/>
        <v>0</v>
      </c>
      <c r="AL340" s="122">
        <f t="shared" si="222"/>
        <v>0</v>
      </c>
      <c r="AN340" s="124">
        <v>15</v>
      </c>
      <c r="AO340" s="124">
        <f>G340*0</f>
        <v>0</v>
      </c>
      <c r="AP340" s="124">
        <f>G340*(1-0)</f>
        <v>0</v>
      </c>
      <c r="AQ340" s="123" t="s">
        <v>85</v>
      </c>
      <c r="AV340" s="124">
        <f t="shared" si="223"/>
        <v>0</v>
      </c>
      <c r="AW340" s="124">
        <f t="shared" si="224"/>
        <v>0</v>
      </c>
      <c r="AX340" s="124">
        <f t="shared" si="225"/>
        <v>0</v>
      </c>
      <c r="AY340" s="125" t="s">
        <v>647</v>
      </c>
      <c r="AZ340" s="125" t="s">
        <v>1540</v>
      </c>
      <c r="BA340" s="113" t="s">
        <v>1542</v>
      </c>
      <c r="BC340" s="124">
        <f t="shared" si="226"/>
        <v>0</v>
      </c>
      <c r="BD340" s="124">
        <f t="shared" si="227"/>
        <v>0</v>
      </c>
      <c r="BE340" s="124">
        <v>0</v>
      </c>
      <c r="BF340" s="124">
        <f t="shared" si="228"/>
        <v>0</v>
      </c>
      <c r="BH340" s="122">
        <f t="shared" si="229"/>
        <v>0</v>
      </c>
      <c r="BI340" s="122">
        <f t="shared" si="230"/>
        <v>0</v>
      </c>
      <c r="BJ340" s="122">
        <f t="shared" si="231"/>
        <v>0</v>
      </c>
    </row>
    <row r="341" spans="1:62" s="174" customFormat="1" ht="12.75">
      <c r="A341" s="121" t="s">
        <v>778</v>
      </c>
      <c r="B341" s="121" t="s">
        <v>60</v>
      </c>
      <c r="C341" s="121" t="s">
        <v>371</v>
      </c>
      <c r="D341" s="129" t="s">
        <v>556</v>
      </c>
      <c r="E341" s="121" t="s">
        <v>609</v>
      </c>
      <c r="F341" s="122">
        <f>'Stavební rozpočet'!F498</f>
        <v>67.63</v>
      </c>
      <c r="G341" s="172"/>
      <c r="H341" s="122">
        <f t="shared" si="208"/>
        <v>0</v>
      </c>
      <c r="I341" s="122">
        <f t="shared" si="209"/>
        <v>0</v>
      </c>
      <c r="J341" s="122">
        <f t="shared" si="210"/>
        <v>0</v>
      </c>
      <c r="K341" s="122">
        <f>'Stavební rozpočet'!K498</f>
        <v>0</v>
      </c>
      <c r="L341" s="122">
        <f t="shared" si="211"/>
        <v>0</v>
      </c>
      <c r="M341" s="123" t="s">
        <v>622</v>
      </c>
      <c r="Z341" s="124">
        <f t="shared" si="212"/>
        <v>0</v>
      </c>
      <c r="AB341" s="124">
        <f t="shared" si="213"/>
        <v>0</v>
      </c>
      <c r="AC341" s="124">
        <f t="shared" si="214"/>
        <v>0</v>
      </c>
      <c r="AD341" s="124">
        <f t="shared" si="215"/>
        <v>0</v>
      </c>
      <c r="AE341" s="124">
        <f t="shared" si="216"/>
        <v>0</v>
      </c>
      <c r="AF341" s="124">
        <f t="shared" si="217"/>
        <v>0</v>
      </c>
      <c r="AG341" s="124">
        <f t="shared" si="218"/>
        <v>0</v>
      </c>
      <c r="AH341" s="124">
        <f t="shared" si="219"/>
        <v>0</v>
      </c>
      <c r="AI341" s="113" t="s">
        <v>60</v>
      </c>
      <c r="AJ341" s="122">
        <f t="shared" si="220"/>
        <v>0</v>
      </c>
      <c r="AK341" s="122">
        <f t="shared" si="221"/>
        <v>0</v>
      </c>
      <c r="AL341" s="122">
        <f t="shared" si="222"/>
        <v>0</v>
      </c>
      <c r="AN341" s="124">
        <v>15</v>
      </c>
      <c r="AO341" s="124">
        <f>G341*0</f>
        <v>0</v>
      </c>
      <c r="AP341" s="124">
        <f>G341*(1-0)</f>
        <v>0</v>
      </c>
      <c r="AQ341" s="123" t="s">
        <v>85</v>
      </c>
      <c r="AV341" s="124">
        <f t="shared" si="223"/>
        <v>0</v>
      </c>
      <c r="AW341" s="124">
        <f t="shared" si="224"/>
        <v>0</v>
      </c>
      <c r="AX341" s="124">
        <f t="shared" si="225"/>
        <v>0</v>
      </c>
      <c r="AY341" s="125" t="s">
        <v>647</v>
      </c>
      <c r="AZ341" s="125" t="s">
        <v>1540</v>
      </c>
      <c r="BA341" s="113" t="s">
        <v>1542</v>
      </c>
      <c r="BC341" s="124">
        <f t="shared" si="226"/>
        <v>0</v>
      </c>
      <c r="BD341" s="124">
        <f t="shared" si="227"/>
        <v>0</v>
      </c>
      <c r="BE341" s="124">
        <v>0</v>
      </c>
      <c r="BF341" s="124">
        <f t="shared" si="228"/>
        <v>0</v>
      </c>
      <c r="BH341" s="122">
        <f t="shared" si="229"/>
        <v>0</v>
      </c>
      <c r="BI341" s="122">
        <f t="shared" si="230"/>
        <v>0</v>
      </c>
      <c r="BJ341" s="122">
        <f t="shared" si="231"/>
        <v>0</v>
      </c>
    </row>
    <row r="342" spans="1:62" s="174" customFormat="1" ht="12.75">
      <c r="A342" s="121" t="s">
        <v>779</v>
      </c>
      <c r="B342" s="121" t="s">
        <v>60</v>
      </c>
      <c r="C342" s="121" t="s">
        <v>372</v>
      </c>
      <c r="D342" s="129" t="s">
        <v>557</v>
      </c>
      <c r="E342" s="121" t="s">
        <v>608</v>
      </c>
      <c r="F342" s="122">
        <f>'Stavební rozpočet'!F499</f>
        <v>59.05</v>
      </c>
      <c r="G342" s="172"/>
      <c r="H342" s="122">
        <f t="shared" si="208"/>
        <v>0</v>
      </c>
      <c r="I342" s="122">
        <f t="shared" si="209"/>
        <v>0</v>
      </c>
      <c r="J342" s="122">
        <f t="shared" si="210"/>
        <v>0</v>
      </c>
      <c r="K342" s="122">
        <f>'Stavební rozpočet'!K499</f>
        <v>0.00021</v>
      </c>
      <c r="L342" s="122">
        <f t="shared" si="211"/>
        <v>0.0124005</v>
      </c>
      <c r="M342" s="123" t="s">
        <v>622</v>
      </c>
      <c r="Z342" s="124">
        <f t="shared" si="212"/>
        <v>0</v>
      </c>
      <c r="AB342" s="124">
        <f t="shared" si="213"/>
        <v>0</v>
      </c>
      <c r="AC342" s="124">
        <f t="shared" si="214"/>
        <v>0</v>
      </c>
      <c r="AD342" s="124">
        <f t="shared" si="215"/>
        <v>0</v>
      </c>
      <c r="AE342" s="124">
        <f t="shared" si="216"/>
        <v>0</v>
      </c>
      <c r="AF342" s="124">
        <f t="shared" si="217"/>
        <v>0</v>
      </c>
      <c r="AG342" s="124">
        <f t="shared" si="218"/>
        <v>0</v>
      </c>
      <c r="AH342" s="124">
        <f t="shared" si="219"/>
        <v>0</v>
      </c>
      <c r="AI342" s="113" t="s">
        <v>60</v>
      </c>
      <c r="AJ342" s="122">
        <f t="shared" si="220"/>
        <v>0</v>
      </c>
      <c r="AK342" s="122">
        <f t="shared" si="221"/>
        <v>0</v>
      </c>
      <c r="AL342" s="122">
        <f t="shared" si="222"/>
        <v>0</v>
      </c>
      <c r="AN342" s="124">
        <v>15</v>
      </c>
      <c r="AO342" s="124">
        <f>G342*0.533420079381047</f>
        <v>0</v>
      </c>
      <c r="AP342" s="124">
        <f>G342*(1-0.533420079381047)</f>
        <v>0</v>
      </c>
      <c r="AQ342" s="123" t="s">
        <v>85</v>
      </c>
      <c r="AV342" s="124">
        <f t="shared" si="223"/>
        <v>0</v>
      </c>
      <c r="AW342" s="124">
        <f t="shared" si="224"/>
        <v>0</v>
      </c>
      <c r="AX342" s="124">
        <f t="shared" si="225"/>
        <v>0</v>
      </c>
      <c r="AY342" s="125" t="s">
        <v>647</v>
      </c>
      <c r="AZ342" s="125" t="s">
        <v>1540</v>
      </c>
      <c r="BA342" s="113" t="s">
        <v>1542</v>
      </c>
      <c r="BC342" s="124">
        <f t="shared" si="226"/>
        <v>0</v>
      </c>
      <c r="BD342" s="124">
        <f t="shared" si="227"/>
        <v>0</v>
      </c>
      <c r="BE342" s="124">
        <v>0</v>
      </c>
      <c r="BF342" s="124">
        <f t="shared" si="228"/>
        <v>0.0124005</v>
      </c>
      <c r="BH342" s="122">
        <f t="shared" si="229"/>
        <v>0</v>
      </c>
      <c r="BI342" s="122">
        <f t="shared" si="230"/>
        <v>0</v>
      </c>
      <c r="BJ342" s="122">
        <f t="shared" si="231"/>
        <v>0</v>
      </c>
    </row>
    <row r="343" spans="1:62" s="174" customFormat="1" ht="12.75">
      <c r="A343" s="121" t="s">
        <v>780</v>
      </c>
      <c r="B343" s="121" t="s">
        <v>60</v>
      </c>
      <c r="C343" s="121" t="s">
        <v>1108</v>
      </c>
      <c r="D343" s="129" t="s">
        <v>1413</v>
      </c>
      <c r="E343" s="121" t="s">
        <v>609</v>
      </c>
      <c r="F343" s="122">
        <f>'Stavební rozpočet'!F500</f>
        <v>9.23</v>
      </c>
      <c r="G343" s="172"/>
      <c r="H343" s="122">
        <f t="shared" si="208"/>
        <v>0</v>
      </c>
      <c r="I343" s="122">
        <f t="shared" si="209"/>
        <v>0</v>
      </c>
      <c r="J343" s="122">
        <f t="shared" si="210"/>
        <v>0</v>
      </c>
      <c r="K343" s="122">
        <f>'Stavební rozpočet'!K500</f>
        <v>0</v>
      </c>
      <c r="L343" s="122">
        <f t="shared" si="211"/>
        <v>0</v>
      </c>
      <c r="M343" s="123" t="s">
        <v>622</v>
      </c>
      <c r="Z343" s="124">
        <f t="shared" si="212"/>
        <v>0</v>
      </c>
      <c r="AB343" s="124">
        <f t="shared" si="213"/>
        <v>0</v>
      </c>
      <c r="AC343" s="124">
        <f t="shared" si="214"/>
        <v>0</v>
      </c>
      <c r="AD343" s="124">
        <f t="shared" si="215"/>
        <v>0</v>
      </c>
      <c r="AE343" s="124">
        <f t="shared" si="216"/>
        <v>0</v>
      </c>
      <c r="AF343" s="124">
        <f t="shared" si="217"/>
        <v>0</v>
      </c>
      <c r="AG343" s="124">
        <f t="shared" si="218"/>
        <v>0</v>
      </c>
      <c r="AH343" s="124">
        <f t="shared" si="219"/>
        <v>0</v>
      </c>
      <c r="AI343" s="113" t="s">
        <v>60</v>
      </c>
      <c r="AJ343" s="122">
        <f t="shared" si="220"/>
        <v>0</v>
      </c>
      <c r="AK343" s="122">
        <f t="shared" si="221"/>
        <v>0</v>
      </c>
      <c r="AL343" s="122">
        <f t="shared" si="222"/>
        <v>0</v>
      </c>
      <c r="AN343" s="124">
        <v>15</v>
      </c>
      <c r="AO343" s="124">
        <f>G343*0</f>
        <v>0</v>
      </c>
      <c r="AP343" s="124">
        <f>G343*(1-0)</f>
        <v>0</v>
      </c>
      <c r="AQ343" s="123" t="s">
        <v>85</v>
      </c>
      <c r="AV343" s="124">
        <f t="shared" si="223"/>
        <v>0</v>
      </c>
      <c r="AW343" s="124">
        <f t="shared" si="224"/>
        <v>0</v>
      </c>
      <c r="AX343" s="124">
        <f t="shared" si="225"/>
        <v>0</v>
      </c>
      <c r="AY343" s="125" t="s">
        <v>647</v>
      </c>
      <c r="AZ343" s="125" t="s">
        <v>1540</v>
      </c>
      <c r="BA343" s="113" t="s">
        <v>1542</v>
      </c>
      <c r="BC343" s="124">
        <f t="shared" si="226"/>
        <v>0</v>
      </c>
      <c r="BD343" s="124">
        <f t="shared" si="227"/>
        <v>0</v>
      </c>
      <c r="BE343" s="124">
        <v>0</v>
      </c>
      <c r="BF343" s="124">
        <f t="shared" si="228"/>
        <v>0</v>
      </c>
      <c r="BH343" s="122">
        <f t="shared" si="229"/>
        <v>0</v>
      </c>
      <c r="BI343" s="122">
        <f t="shared" si="230"/>
        <v>0</v>
      </c>
      <c r="BJ343" s="122">
        <f t="shared" si="231"/>
        <v>0</v>
      </c>
    </row>
    <row r="344" spans="1:62" s="174" customFormat="1" ht="12.75">
      <c r="A344" s="126" t="s">
        <v>781</v>
      </c>
      <c r="B344" s="126" t="s">
        <v>60</v>
      </c>
      <c r="C344" s="126" t="s">
        <v>1109</v>
      </c>
      <c r="D344" s="137" t="s">
        <v>1414</v>
      </c>
      <c r="E344" s="126" t="s">
        <v>609</v>
      </c>
      <c r="F344" s="127">
        <f>'Stavební rozpočet'!F501</f>
        <v>10.15</v>
      </c>
      <c r="G344" s="176"/>
      <c r="H344" s="127">
        <f t="shared" si="208"/>
        <v>0</v>
      </c>
      <c r="I344" s="127">
        <f t="shared" si="209"/>
        <v>0</v>
      </c>
      <c r="J344" s="127">
        <f t="shared" si="210"/>
        <v>0</v>
      </c>
      <c r="K344" s="127">
        <f>'Stavební rozpočet'!K501</f>
        <v>0.00022</v>
      </c>
      <c r="L344" s="127">
        <f t="shared" si="211"/>
        <v>0.002233</v>
      </c>
      <c r="M344" s="128" t="s">
        <v>622</v>
      </c>
      <c r="Z344" s="124">
        <f t="shared" si="212"/>
        <v>0</v>
      </c>
      <c r="AB344" s="124">
        <f t="shared" si="213"/>
        <v>0</v>
      </c>
      <c r="AC344" s="124">
        <f t="shared" si="214"/>
        <v>0</v>
      </c>
      <c r="AD344" s="124">
        <f t="shared" si="215"/>
        <v>0</v>
      </c>
      <c r="AE344" s="124">
        <f t="shared" si="216"/>
        <v>0</v>
      </c>
      <c r="AF344" s="124">
        <f t="shared" si="217"/>
        <v>0</v>
      </c>
      <c r="AG344" s="124">
        <f t="shared" si="218"/>
        <v>0</v>
      </c>
      <c r="AH344" s="124">
        <f t="shared" si="219"/>
        <v>0</v>
      </c>
      <c r="AI344" s="113" t="s">
        <v>60</v>
      </c>
      <c r="AJ344" s="127">
        <f t="shared" si="220"/>
        <v>0</v>
      </c>
      <c r="AK344" s="127">
        <f t="shared" si="221"/>
        <v>0</v>
      </c>
      <c r="AL344" s="127">
        <f t="shared" si="222"/>
        <v>0</v>
      </c>
      <c r="AN344" s="124">
        <v>15</v>
      </c>
      <c r="AO344" s="124">
        <f>G344*1</f>
        <v>0</v>
      </c>
      <c r="AP344" s="124">
        <f>G344*(1-1)</f>
        <v>0</v>
      </c>
      <c r="AQ344" s="128" t="s">
        <v>85</v>
      </c>
      <c r="AV344" s="124">
        <f t="shared" si="223"/>
        <v>0</v>
      </c>
      <c r="AW344" s="124">
        <f t="shared" si="224"/>
        <v>0</v>
      </c>
      <c r="AX344" s="124">
        <f t="shared" si="225"/>
        <v>0</v>
      </c>
      <c r="AY344" s="125" t="s">
        <v>647</v>
      </c>
      <c r="AZ344" s="125" t="s">
        <v>1540</v>
      </c>
      <c r="BA344" s="113" t="s">
        <v>1542</v>
      </c>
      <c r="BC344" s="124">
        <f t="shared" si="226"/>
        <v>0</v>
      </c>
      <c r="BD344" s="124">
        <f t="shared" si="227"/>
        <v>0</v>
      </c>
      <c r="BE344" s="124">
        <v>0</v>
      </c>
      <c r="BF344" s="124">
        <f t="shared" si="228"/>
        <v>0.002233</v>
      </c>
      <c r="BH344" s="127">
        <f t="shared" si="229"/>
        <v>0</v>
      </c>
      <c r="BI344" s="127">
        <f t="shared" si="230"/>
        <v>0</v>
      </c>
      <c r="BJ344" s="127">
        <f t="shared" si="231"/>
        <v>0</v>
      </c>
    </row>
    <row r="345" spans="1:62" s="174" customFormat="1" ht="12.75">
      <c r="A345" s="121" t="s">
        <v>782</v>
      </c>
      <c r="B345" s="121" t="s">
        <v>60</v>
      </c>
      <c r="C345" s="121" t="s">
        <v>373</v>
      </c>
      <c r="D345" s="129" t="s">
        <v>1415</v>
      </c>
      <c r="E345" s="121" t="s">
        <v>609</v>
      </c>
      <c r="F345" s="122">
        <f>'Stavební rozpočet'!F502</f>
        <v>24.33</v>
      </c>
      <c r="G345" s="172"/>
      <c r="H345" s="122">
        <f t="shared" si="208"/>
        <v>0</v>
      </c>
      <c r="I345" s="122">
        <f t="shared" si="209"/>
        <v>0</v>
      </c>
      <c r="J345" s="122">
        <f t="shared" si="210"/>
        <v>0</v>
      </c>
      <c r="K345" s="122">
        <f>'Stavební rozpočet'!K502</f>
        <v>0.00032</v>
      </c>
      <c r="L345" s="122">
        <f t="shared" si="211"/>
        <v>0.0077856</v>
      </c>
      <c r="M345" s="123" t="s">
        <v>622</v>
      </c>
      <c r="Z345" s="124">
        <f t="shared" si="212"/>
        <v>0</v>
      </c>
      <c r="AB345" s="124">
        <f t="shared" si="213"/>
        <v>0</v>
      </c>
      <c r="AC345" s="124">
        <f t="shared" si="214"/>
        <v>0</v>
      </c>
      <c r="AD345" s="124">
        <f t="shared" si="215"/>
        <v>0</v>
      </c>
      <c r="AE345" s="124">
        <f t="shared" si="216"/>
        <v>0</v>
      </c>
      <c r="AF345" s="124">
        <f t="shared" si="217"/>
        <v>0</v>
      </c>
      <c r="AG345" s="124">
        <f t="shared" si="218"/>
        <v>0</v>
      </c>
      <c r="AH345" s="124">
        <f t="shared" si="219"/>
        <v>0</v>
      </c>
      <c r="AI345" s="113" t="s">
        <v>60</v>
      </c>
      <c r="AJ345" s="122">
        <f t="shared" si="220"/>
        <v>0</v>
      </c>
      <c r="AK345" s="122">
        <f t="shared" si="221"/>
        <v>0</v>
      </c>
      <c r="AL345" s="122">
        <f t="shared" si="222"/>
        <v>0</v>
      </c>
      <c r="AN345" s="124">
        <v>15</v>
      </c>
      <c r="AO345" s="124">
        <f>G345*0.0855913978494624</f>
        <v>0</v>
      </c>
      <c r="AP345" s="124">
        <f>G345*(1-0.0855913978494624)</f>
        <v>0</v>
      </c>
      <c r="AQ345" s="123" t="s">
        <v>85</v>
      </c>
      <c r="AV345" s="124">
        <f t="shared" si="223"/>
        <v>0</v>
      </c>
      <c r="AW345" s="124">
        <f t="shared" si="224"/>
        <v>0</v>
      </c>
      <c r="AX345" s="124">
        <f t="shared" si="225"/>
        <v>0</v>
      </c>
      <c r="AY345" s="125" t="s">
        <v>647</v>
      </c>
      <c r="AZ345" s="125" t="s">
        <v>1540</v>
      </c>
      <c r="BA345" s="113" t="s">
        <v>1542</v>
      </c>
      <c r="BC345" s="124">
        <f t="shared" si="226"/>
        <v>0</v>
      </c>
      <c r="BD345" s="124">
        <f t="shared" si="227"/>
        <v>0</v>
      </c>
      <c r="BE345" s="124">
        <v>0</v>
      </c>
      <c r="BF345" s="124">
        <f t="shared" si="228"/>
        <v>0.0077856</v>
      </c>
      <c r="BH345" s="122">
        <f t="shared" si="229"/>
        <v>0</v>
      </c>
      <c r="BI345" s="122">
        <f t="shared" si="230"/>
        <v>0</v>
      </c>
      <c r="BJ345" s="122">
        <f t="shared" si="231"/>
        <v>0</v>
      </c>
    </row>
    <row r="346" spans="1:62" s="174" customFormat="1" ht="12.75">
      <c r="A346" s="126" t="s">
        <v>783</v>
      </c>
      <c r="B346" s="126" t="s">
        <v>60</v>
      </c>
      <c r="C346" s="126" t="s">
        <v>374</v>
      </c>
      <c r="D346" s="137" t="s">
        <v>559</v>
      </c>
      <c r="E346" s="126" t="s">
        <v>608</v>
      </c>
      <c r="F346" s="127">
        <f>'Stavební rozpočet'!F503</f>
        <v>1.86</v>
      </c>
      <c r="G346" s="176"/>
      <c r="H346" s="127">
        <f t="shared" si="208"/>
        <v>0</v>
      </c>
      <c r="I346" s="127">
        <f t="shared" si="209"/>
        <v>0</v>
      </c>
      <c r="J346" s="127">
        <f t="shared" si="210"/>
        <v>0</v>
      </c>
      <c r="K346" s="127">
        <f>'Stavební rozpočet'!K503</f>
        <v>0.0192</v>
      </c>
      <c r="L346" s="127">
        <f t="shared" si="211"/>
        <v>0.035712</v>
      </c>
      <c r="M346" s="128" t="s">
        <v>622</v>
      </c>
      <c r="Z346" s="124">
        <f t="shared" si="212"/>
        <v>0</v>
      </c>
      <c r="AB346" s="124">
        <f t="shared" si="213"/>
        <v>0</v>
      </c>
      <c r="AC346" s="124">
        <f t="shared" si="214"/>
        <v>0</v>
      </c>
      <c r="AD346" s="124">
        <f t="shared" si="215"/>
        <v>0</v>
      </c>
      <c r="AE346" s="124">
        <f t="shared" si="216"/>
        <v>0</v>
      </c>
      <c r="AF346" s="124">
        <f t="shared" si="217"/>
        <v>0</v>
      </c>
      <c r="AG346" s="124">
        <f t="shared" si="218"/>
        <v>0</v>
      </c>
      <c r="AH346" s="124">
        <f t="shared" si="219"/>
        <v>0</v>
      </c>
      <c r="AI346" s="113" t="s">
        <v>60</v>
      </c>
      <c r="AJ346" s="127">
        <f t="shared" si="220"/>
        <v>0</v>
      </c>
      <c r="AK346" s="127">
        <f t="shared" si="221"/>
        <v>0</v>
      </c>
      <c r="AL346" s="127">
        <f t="shared" si="222"/>
        <v>0</v>
      </c>
      <c r="AN346" s="124">
        <v>15</v>
      </c>
      <c r="AO346" s="124">
        <f>G346*1</f>
        <v>0</v>
      </c>
      <c r="AP346" s="124">
        <f>G346*(1-1)</f>
        <v>0</v>
      </c>
      <c r="AQ346" s="128" t="s">
        <v>85</v>
      </c>
      <c r="AV346" s="124">
        <f t="shared" si="223"/>
        <v>0</v>
      </c>
      <c r="AW346" s="124">
        <f t="shared" si="224"/>
        <v>0</v>
      </c>
      <c r="AX346" s="124">
        <f t="shared" si="225"/>
        <v>0</v>
      </c>
      <c r="AY346" s="125" t="s">
        <v>647</v>
      </c>
      <c r="AZ346" s="125" t="s">
        <v>1540</v>
      </c>
      <c r="BA346" s="113" t="s">
        <v>1542</v>
      </c>
      <c r="BC346" s="124">
        <f t="shared" si="226"/>
        <v>0</v>
      </c>
      <c r="BD346" s="124">
        <f t="shared" si="227"/>
        <v>0</v>
      </c>
      <c r="BE346" s="124">
        <v>0</v>
      </c>
      <c r="BF346" s="124">
        <f t="shared" si="228"/>
        <v>0.035712</v>
      </c>
      <c r="BH346" s="127">
        <f t="shared" si="229"/>
        <v>0</v>
      </c>
      <c r="BI346" s="127">
        <f t="shared" si="230"/>
        <v>0</v>
      </c>
      <c r="BJ346" s="127">
        <f t="shared" si="231"/>
        <v>0</v>
      </c>
    </row>
    <row r="347" spans="1:62" s="174" customFormat="1" ht="12.75">
      <c r="A347" s="121" t="s">
        <v>784</v>
      </c>
      <c r="B347" s="121" t="s">
        <v>60</v>
      </c>
      <c r="C347" s="121" t="s">
        <v>375</v>
      </c>
      <c r="D347" s="129" t="s">
        <v>560</v>
      </c>
      <c r="E347" s="121" t="s">
        <v>609</v>
      </c>
      <c r="F347" s="122">
        <f>'Stavební rozpočet'!F504</f>
        <v>16.22</v>
      </c>
      <c r="G347" s="172"/>
      <c r="H347" s="122">
        <f t="shared" si="208"/>
        <v>0</v>
      </c>
      <c r="I347" s="122">
        <f t="shared" si="209"/>
        <v>0</v>
      </c>
      <c r="J347" s="122">
        <f t="shared" si="210"/>
        <v>0</v>
      </c>
      <c r="K347" s="122">
        <f>'Stavební rozpočet'!K504</f>
        <v>0</v>
      </c>
      <c r="L347" s="122">
        <f t="shared" si="211"/>
        <v>0</v>
      </c>
      <c r="M347" s="123" t="s">
        <v>622</v>
      </c>
      <c r="Z347" s="124">
        <f t="shared" si="212"/>
        <v>0</v>
      </c>
      <c r="AB347" s="124">
        <f t="shared" si="213"/>
        <v>0</v>
      </c>
      <c r="AC347" s="124">
        <f t="shared" si="214"/>
        <v>0</v>
      </c>
      <c r="AD347" s="124">
        <f t="shared" si="215"/>
        <v>0</v>
      </c>
      <c r="AE347" s="124">
        <f t="shared" si="216"/>
        <v>0</v>
      </c>
      <c r="AF347" s="124">
        <f t="shared" si="217"/>
        <v>0</v>
      </c>
      <c r="AG347" s="124">
        <f t="shared" si="218"/>
        <v>0</v>
      </c>
      <c r="AH347" s="124">
        <f t="shared" si="219"/>
        <v>0</v>
      </c>
      <c r="AI347" s="113" t="s">
        <v>60</v>
      </c>
      <c r="AJ347" s="122">
        <f t="shared" si="220"/>
        <v>0</v>
      </c>
      <c r="AK347" s="122">
        <f t="shared" si="221"/>
        <v>0</v>
      </c>
      <c r="AL347" s="122">
        <f t="shared" si="222"/>
        <v>0</v>
      </c>
      <c r="AN347" s="124">
        <v>15</v>
      </c>
      <c r="AO347" s="124">
        <f>G347*0.0743484251367845</f>
        <v>0</v>
      </c>
      <c r="AP347" s="124">
        <f>G347*(1-0.0743484251367845)</f>
        <v>0</v>
      </c>
      <c r="AQ347" s="123" t="s">
        <v>85</v>
      </c>
      <c r="AV347" s="124">
        <f t="shared" si="223"/>
        <v>0</v>
      </c>
      <c r="AW347" s="124">
        <f t="shared" si="224"/>
        <v>0</v>
      </c>
      <c r="AX347" s="124">
        <f t="shared" si="225"/>
        <v>0</v>
      </c>
      <c r="AY347" s="125" t="s">
        <v>647</v>
      </c>
      <c r="AZ347" s="125" t="s">
        <v>1540</v>
      </c>
      <c r="BA347" s="113" t="s">
        <v>1542</v>
      </c>
      <c r="BC347" s="124">
        <f t="shared" si="226"/>
        <v>0</v>
      </c>
      <c r="BD347" s="124">
        <f t="shared" si="227"/>
        <v>0</v>
      </c>
      <c r="BE347" s="124">
        <v>0</v>
      </c>
      <c r="BF347" s="124">
        <f t="shared" si="228"/>
        <v>0</v>
      </c>
      <c r="BH347" s="122">
        <f t="shared" si="229"/>
        <v>0</v>
      </c>
      <c r="BI347" s="122">
        <f t="shared" si="230"/>
        <v>0</v>
      </c>
      <c r="BJ347" s="122">
        <f t="shared" si="231"/>
        <v>0</v>
      </c>
    </row>
    <row r="348" spans="1:62" s="174" customFormat="1" ht="12.75">
      <c r="A348" s="121" t="s">
        <v>785</v>
      </c>
      <c r="B348" s="121" t="s">
        <v>60</v>
      </c>
      <c r="C348" s="121" t="s">
        <v>376</v>
      </c>
      <c r="D348" s="129" t="s">
        <v>1416</v>
      </c>
      <c r="E348" s="121" t="s">
        <v>608</v>
      </c>
      <c r="F348" s="122">
        <f>'Stavební rozpočet'!F505</f>
        <v>38.76</v>
      </c>
      <c r="G348" s="172"/>
      <c r="H348" s="122">
        <f t="shared" si="208"/>
        <v>0</v>
      </c>
      <c r="I348" s="122">
        <f t="shared" si="209"/>
        <v>0</v>
      </c>
      <c r="J348" s="122">
        <f t="shared" si="210"/>
        <v>0</v>
      </c>
      <c r="K348" s="122">
        <f>'Stavební rozpočet'!K505</f>
        <v>0.00504</v>
      </c>
      <c r="L348" s="122">
        <f t="shared" si="211"/>
        <v>0.1953504</v>
      </c>
      <c r="M348" s="123" t="s">
        <v>622</v>
      </c>
      <c r="Z348" s="124">
        <f t="shared" si="212"/>
        <v>0</v>
      </c>
      <c r="AB348" s="124">
        <f t="shared" si="213"/>
        <v>0</v>
      </c>
      <c r="AC348" s="124">
        <f t="shared" si="214"/>
        <v>0</v>
      </c>
      <c r="AD348" s="124">
        <f t="shared" si="215"/>
        <v>0</v>
      </c>
      <c r="AE348" s="124">
        <f t="shared" si="216"/>
        <v>0</v>
      </c>
      <c r="AF348" s="124">
        <f t="shared" si="217"/>
        <v>0</v>
      </c>
      <c r="AG348" s="124">
        <f t="shared" si="218"/>
        <v>0</v>
      </c>
      <c r="AH348" s="124">
        <f t="shared" si="219"/>
        <v>0</v>
      </c>
      <c r="AI348" s="113" t="s">
        <v>60</v>
      </c>
      <c r="AJ348" s="122">
        <f t="shared" si="220"/>
        <v>0</v>
      </c>
      <c r="AK348" s="122">
        <f t="shared" si="221"/>
        <v>0</v>
      </c>
      <c r="AL348" s="122">
        <f t="shared" si="222"/>
        <v>0</v>
      </c>
      <c r="AN348" s="124">
        <v>15</v>
      </c>
      <c r="AO348" s="124">
        <f>G348*0.1941647597254</f>
        <v>0</v>
      </c>
      <c r="AP348" s="124">
        <f>G348*(1-0.1941647597254)</f>
        <v>0</v>
      </c>
      <c r="AQ348" s="123" t="s">
        <v>85</v>
      </c>
      <c r="AV348" s="124">
        <f t="shared" si="223"/>
        <v>0</v>
      </c>
      <c r="AW348" s="124">
        <f t="shared" si="224"/>
        <v>0</v>
      </c>
      <c r="AX348" s="124">
        <f t="shared" si="225"/>
        <v>0</v>
      </c>
      <c r="AY348" s="125" t="s">
        <v>647</v>
      </c>
      <c r="AZ348" s="125" t="s">
        <v>1540</v>
      </c>
      <c r="BA348" s="113" t="s">
        <v>1542</v>
      </c>
      <c r="BC348" s="124">
        <f t="shared" si="226"/>
        <v>0</v>
      </c>
      <c r="BD348" s="124">
        <f t="shared" si="227"/>
        <v>0</v>
      </c>
      <c r="BE348" s="124">
        <v>0</v>
      </c>
      <c r="BF348" s="124">
        <f t="shared" si="228"/>
        <v>0.1953504</v>
      </c>
      <c r="BH348" s="122">
        <f t="shared" si="229"/>
        <v>0</v>
      </c>
      <c r="BI348" s="122">
        <f t="shared" si="230"/>
        <v>0</v>
      </c>
      <c r="BJ348" s="122">
        <f t="shared" si="231"/>
        <v>0</v>
      </c>
    </row>
    <row r="349" spans="4:7" s="174" customFormat="1" ht="12.75">
      <c r="D349" s="79" t="s">
        <v>562</v>
      </c>
      <c r="G349" s="175"/>
    </row>
    <row r="350" spans="1:62" s="174" customFormat="1" ht="12.75">
      <c r="A350" s="126" t="s">
        <v>786</v>
      </c>
      <c r="B350" s="126" t="s">
        <v>60</v>
      </c>
      <c r="C350" s="126" t="s">
        <v>374</v>
      </c>
      <c r="D350" s="137" t="s">
        <v>559</v>
      </c>
      <c r="E350" s="126" t="s">
        <v>608</v>
      </c>
      <c r="F350" s="127">
        <f>'Stavební rozpočet'!F506</f>
        <v>40.698</v>
      </c>
      <c r="G350" s="176"/>
      <c r="H350" s="127">
        <f>F350*AO350</f>
        <v>0</v>
      </c>
      <c r="I350" s="127">
        <f>F350*AP350</f>
        <v>0</v>
      </c>
      <c r="J350" s="127">
        <f>F350*G350</f>
        <v>0</v>
      </c>
      <c r="K350" s="127">
        <f>'Stavební rozpočet'!K506</f>
        <v>0.0192</v>
      </c>
      <c r="L350" s="127">
        <f>F350*K350</f>
        <v>0.7814015999999999</v>
      </c>
      <c r="M350" s="128" t="s">
        <v>622</v>
      </c>
      <c r="Z350" s="124">
        <f>IF(AQ350="5",BJ350,0)</f>
        <v>0</v>
      </c>
      <c r="AB350" s="124">
        <f>IF(AQ350="1",BH350,0)</f>
        <v>0</v>
      </c>
      <c r="AC350" s="124">
        <f>IF(AQ350="1",BI350,0)</f>
        <v>0</v>
      </c>
      <c r="AD350" s="124">
        <f>IF(AQ350="7",BH350,0)</f>
        <v>0</v>
      </c>
      <c r="AE350" s="124">
        <f>IF(AQ350="7",BI350,0)</f>
        <v>0</v>
      </c>
      <c r="AF350" s="124">
        <f>IF(AQ350="2",BH350,0)</f>
        <v>0</v>
      </c>
      <c r="AG350" s="124">
        <f>IF(AQ350="2",BI350,0)</f>
        <v>0</v>
      </c>
      <c r="AH350" s="124">
        <f>IF(AQ350="0",BJ350,0)</f>
        <v>0</v>
      </c>
      <c r="AI350" s="113" t="s">
        <v>60</v>
      </c>
      <c r="AJ350" s="127">
        <f>IF(AN350=0,J350,0)</f>
        <v>0</v>
      </c>
      <c r="AK350" s="127">
        <f>IF(AN350=15,J350,0)</f>
        <v>0</v>
      </c>
      <c r="AL350" s="127">
        <f>IF(AN350=21,J350,0)</f>
        <v>0</v>
      </c>
      <c r="AN350" s="124">
        <v>15</v>
      </c>
      <c r="AO350" s="124">
        <f>G350*1</f>
        <v>0</v>
      </c>
      <c r="AP350" s="124">
        <f>G350*(1-1)</f>
        <v>0</v>
      </c>
      <c r="AQ350" s="128" t="s">
        <v>85</v>
      </c>
      <c r="AV350" s="124">
        <f>AW350+AX350</f>
        <v>0</v>
      </c>
      <c r="AW350" s="124">
        <f>F350*AO350</f>
        <v>0</v>
      </c>
      <c r="AX350" s="124">
        <f>F350*AP350</f>
        <v>0</v>
      </c>
      <c r="AY350" s="125" t="s">
        <v>647</v>
      </c>
      <c r="AZ350" s="125" t="s">
        <v>1540</v>
      </c>
      <c r="BA350" s="113" t="s">
        <v>1542</v>
      </c>
      <c r="BC350" s="124">
        <f>AW350+AX350</f>
        <v>0</v>
      </c>
      <c r="BD350" s="124">
        <f>G350/(100-BE350)*100</f>
        <v>0</v>
      </c>
      <c r="BE350" s="124">
        <v>0</v>
      </c>
      <c r="BF350" s="124">
        <f>L350</f>
        <v>0.7814015999999999</v>
      </c>
      <c r="BH350" s="127">
        <f>F350*AO350</f>
        <v>0</v>
      </c>
      <c r="BI350" s="127">
        <f>F350*AP350</f>
        <v>0</v>
      </c>
      <c r="BJ350" s="127">
        <f>F350*G350</f>
        <v>0</v>
      </c>
    </row>
    <row r="351" spans="1:62" s="174" customFormat="1" ht="12.75">
      <c r="A351" s="121" t="s">
        <v>787</v>
      </c>
      <c r="B351" s="121" t="s">
        <v>60</v>
      </c>
      <c r="C351" s="121" t="s">
        <v>1110</v>
      </c>
      <c r="D351" s="129" t="s">
        <v>1417</v>
      </c>
      <c r="E351" s="121" t="s">
        <v>609</v>
      </c>
      <c r="F351" s="122">
        <f>'Stavební rozpočet'!F507</f>
        <v>43.3</v>
      </c>
      <c r="G351" s="172"/>
      <c r="H351" s="122">
        <f>F351*AO351</f>
        <v>0</v>
      </c>
      <c r="I351" s="122">
        <f>F351*AP351</f>
        <v>0</v>
      </c>
      <c r="J351" s="122">
        <f>F351*G351</f>
        <v>0</v>
      </c>
      <c r="K351" s="122">
        <f>'Stavební rozpočet'!K507</f>
        <v>0.00018</v>
      </c>
      <c r="L351" s="122">
        <f>F351*K351</f>
        <v>0.007794</v>
      </c>
      <c r="M351" s="123" t="s">
        <v>622</v>
      </c>
      <c r="Z351" s="124">
        <f>IF(AQ351="5",BJ351,0)</f>
        <v>0</v>
      </c>
      <c r="AB351" s="124">
        <f>IF(AQ351="1",BH351,0)</f>
        <v>0</v>
      </c>
      <c r="AC351" s="124">
        <f>IF(AQ351="1",BI351,0)</f>
        <v>0</v>
      </c>
      <c r="AD351" s="124">
        <f>IF(AQ351="7",BH351,0)</f>
        <v>0</v>
      </c>
      <c r="AE351" s="124">
        <f>IF(AQ351="7",BI351,0)</f>
        <v>0</v>
      </c>
      <c r="AF351" s="124">
        <f>IF(AQ351="2",BH351,0)</f>
        <v>0</v>
      </c>
      <c r="AG351" s="124">
        <f>IF(AQ351="2",BI351,0)</f>
        <v>0</v>
      </c>
      <c r="AH351" s="124">
        <f>IF(AQ351="0",BJ351,0)</f>
        <v>0</v>
      </c>
      <c r="AI351" s="113" t="s">
        <v>60</v>
      </c>
      <c r="AJ351" s="122">
        <f>IF(AN351=0,J351,0)</f>
        <v>0</v>
      </c>
      <c r="AK351" s="122">
        <f>IF(AN351=15,J351,0)</f>
        <v>0</v>
      </c>
      <c r="AL351" s="122">
        <f>IF(AN351=21,J351,0)</f>
        <v>0</v>
      </c>
      <c r="AN351" s="124">
        <v>15</v>
      </c>
      <c r="AO351" s="124">
        <f>G351*0.688992805755396</f>
        <v>0</v>
      </c>
      <c r="AP351" s="124">
        <f>G351*(1-0.688992805755396)</f>
        <v>0</v>
      </c>
      <c r="AQ351" s="123" t="s">
        <v>85</v>
      </c>
      <c r="AV351" s="124">
        <f>AW351+AX351</f>
        <v>0</v>
      </c>
      <c r="AW351" s="124">
        <f>F351*AO351</f>
        <v>0</v>
      </c>
      <c r="AX351" s="124">
        <f>F351*AP351</f>
        <v>0</v>
      </c>
      <c r="AY351" s="125" t="s">
        <v>647</v>
      </c>
      <c r="AZ351" s="125" t="s">
        <v>1540</v>
      </c>
      <c r="BA351" s="113" t="s">
        <v>1542</v>
      </c>
      <c r="BC351" s="124">
        <f>AW351+AX351</f>
        <v>0</v>
      </c>
      <c r="BD351" s="124">
        <f>G351/(100-BE351)*100</f>
        <v>0</v>
      </c>
      <c r="BE351" s="124">
        <v>0</v>
      </c>
      <c r="BF351" s="124">
        <f>L351</f>
        <v>0.007794</v>
      </c>
      <c r="BH351" s="122">
        <f>F351*AO351</f>
        <v>0</v>
      </c>
      <c r="BI351" s="122">
        <f>F351*AP351</f>
        <v>0</v>
      </c>
      <c r="BJ351" s="122">
        <f>F351*G351</f>
        <v>0</v>
      </c>
    </row>
    <row r="352" spans="1:62" s="174" customFormat="1" ht="12.75">
      <c r="A352" s="121" t="s">
        <v>788</v>
      </c>
      <c r="B352" s="121" t="s">
        <v>60</v>
      </c>
      <c r="C352" s="121" t="s">
        <v>377</v>
      </c>
      <c r="D352" s="129" t="s">
        <v>563</v>
      </c>
      <c r="E352" s="121" t="s">
        <v>612</v>
      </c>
      <c r="F352" s="122">
        <f>'Stavební rozpočet'!F508</f>
        <v>1.04</v>
      </c>
      <c r="G352" s="172"/>
      <c r="H352" s="122">
        <f>F352*AO352</f>
        <v>0</v>
      </c>
      <c r="I352" s="122">
        <f>F352*AP352</f>
        <v>0</v>
      </c>
      <c r="J352" s="122">
        <f>F352*G352</f>
        <v>0</v>
      </c>
      <c r="K352" s="122">
        <f>'Stavební rozpočet'!K508</f>
        <v>0</v>
      </c>
      <c r="L352" s="122">
        <f>F352*K352</f>
        <v>0</v>
      </c>
      <c r="M352" s="123" t="s">
        <v>622</v>
      </c>
      <c r="Z352" s="124">
        <f>IF(AQ352="5",BJ352,0)</f>
        <v>0</v>
      </c>
      <c r="AB352" s="124">
        <f>IF(AQ352="1",BH352,0)</f>
        <v>0</v>
      </c>
      <c r="AC352" s="124">
        <f>IF(AQ352="1",BI352,0)</f>
        <v>0</v>
      </c>
      <c r="AD352" s="124">
        <f>IF(AQ352="7",BH352,0)</f>
        <v>0</v>
      </c>
      <c r="AE352" s="124">
        <f>IF(AQ352="7",BI352,0)</f>
        <v>0</v>
      </c>
      <c r="AF352" s="124">
        <f>IF(AQ352="2",BH352,0)</f>
        <v>0</v>
      </c>
      <c r="AG352" s="124">
        <f>IF(AQ352="2",BI352,0)</f>
        <v>0</v>
      </c>
      <c r="AH352" s="124">
        <f>IF(AQ352="0",BJ352,0)</f>
        <v>0</v>
      </c>
      <c r="AI352" s="113" t="s">
        <v>60</v>
      </c>
      <c r="AJ352" s="122">
        <f>IF(AN352=0,J352,0)</f>
        <v>0</v>
      </c>
      <c r="AK352" s="122">
        <f>IF(AN352=15,J352,0)</f>
        <v>0</v>
      </c>
      <c r="AL352" s="122">
        <f>IF(AN352=21,J352,0)</f>
        <v>0</v>
      </c>
      <c r="AN352" s="124">
        <v>15</v>
      </c>
      <c r="AO352" s="124">
        <f>G352*0</f>
        <v>0</v>
      </c>
      <c r="AP352" s="124">
        <f>G352*(1-0)</f>
        <v>0</v>
      </c>
      <c r="AQ352" s="123" t="s">
        <v>83</v>
      </c>
      <c r="AV352" s="124">
        <f>AW352+AX352</f>
        <v>0</v>
      </c>
      <c r="AW352" s="124">
        <f>F352*AO352</f>
        <v>0</v>
      </c>
      <c r="AX352" s="124">
        <f>F352*AP352</f>
        <v>0</v>
      </c>
      <c r="AY352" s="125" t="s">
        <v>647</v>
      </c>
      <c r="AZ352" s="125" t="s">
        <v>1540</v>
      </c>
      <c r="BA352" s="113" t="s">
        <v>1542</v>
      </c>
      <c r="BC352" s="124">
        <f>AW352+AX352</f>
        <v>0</v>
      </c>
      <c r="BD352" s="124">
        <f>G352/(100-BE352)*100</f>
        <v>0</v>
      </c>
      <c r="BE352" s="124">
        <v>0</v>
      </c>
      <c r="BF352" s="124">
        <f>L352</f>
        <v>0</v>
      </c>
      <c r="BH352" s="122">
        <f>F352*AO352</f>
        <v>0</v>
      </c>
      <c r="BI352" s="122">
        <f>F352*AP352</f>
        <v>0</v>
      </c>
      <c r="BJ352" s="122">
        <f>F352*G352</f>
        <v>0</v>
      </c>
    </row>
    <row r="353" spans="1:47" s="174" customFormat="1" ht="12.75">
      <c r="A353" s="118"/>
      <c r="B353" s="119" t="s">
        <v>60</v>
      </c>
      <c r="C353" s="119" t="s">
        <v>1111</v>
      </c>
      <c r="D353" s="136" t="s">
        <v>1418</v>
      </c>
      <c r="E353" s="118" t="s">
        <v>57</v>
      </c>
      <c r="F353" s="118" t="s">
        <v>57</v>
      </c>
      <c r="G353" s="118"/>
      <c r="H353" s="120">
        <f>SUM(H354:H361)</f>
        <v>0</v>
      </c>
      <c r="I353" s="120">
        <f>SUM(I354:I361)</f>
        <v>0</v>
      </c>
      <c r="J353" s="120">
        <f>SUM(J354:J361)</f>
        <v>0</v>
      </c>
      <c r="K353" s="113"/>
      <c r="L353" s="120">
        <f>SUM(L354:L361)</f>
        <v>0.5487033999999998</v>
      </c>
      <c r="M353" s="113"/>
      <c r="AI353" s="113" t="s">
        <v>60</v>
      </c>
      <c r="AS353" s="120">
        <f>SUM(AJ354:AJ361)</f>
        <v>0</v>
      </c>
      <c r="AT353" s="120">
        <f>SUM(AK354:AK361)</f>
        <v>0</v>
      </c>
      <c r="AU353" s="120">
        <f>SUM(AL354:AL361)</f>
        <v>0</v>
      </c>
    </row>
    <row r="354" spans="1:62" s="174" customFormat="1" ht="12.75">
      <c r="A354" s="121" t="s">
        <v>789</v>
      </c>
      <c r="B354" s="121" t="s">
        <v>60</v>
      </c>
      <c r="C354" s="121" t="s">
        <v>1112</v>
      </c>
      <c r="D354" s="129" t="s">
        <v>1419</v>
      </c>
      <c r="E354" s="121" t="s">
        <v>608</v>
      </c>
      <c r="F354" s="122">
        <f>'Stavební rozpočet'!F510</f>
        <v>151.5</v>
      </c>
      <c r="G354" s="172"/>
      <c r="H354" s="122">
        <f aca="true" t="shared" si="232" ref="H354:H361">F354*AO354</f>
        <v>0</v>
      </c>
      <c r="I354" s="122">
        <f aca="true" t="shared" si="233" ref="I354:I361">F354*AP354</f>
        <v>0</v>
      </c>
      <c r="J354" s="122">
        <f aca="true" t="shared" si="234" ref="J354:J361">F354*G354</f>
        <v>0</v>
      </c>
      <c r="K354" s="122">
        <f>'Stavební rozpočet'!K510</f>
        <v>0</v>
      </c>
      <c r="L354" s="122">
        <f aca="true" t="shared" si="235" ref="L354:L361">F354*K354</f>
        <v>0</v>
      </c>
      <c r="M354" s="123" t="s">
        <v>622</v>
      </c>
      <c r="Z354" s="124">
        <f aca="true" t="shared" si="236" ref="Z354:Z361">IF(AQ354="5",BJ354,0)</f>
        <v>0</v>
      </c>
      <c r="AB354" s="124">
        <f aca="true" t="shared" si="237" ref="AB354:AB361">IF(AQ354="1",BH354,0)</f>
        <v>0</v>
      </c>
      <c r="AC354" s="124">
        <f aca="true" t="shared" si="238" ref="AC354:AC361">IF(AQ354="1",BI354,0)</f>
        <v>0</v>
      </c>
      <c r="AD354" s="124">
        <f aca="true" t="shared" si="239" ref="AD354:AD361">IF(AQ354="7",BH354,0)</f>
        <v>0</v>
      </c>
      <c r="AE354" s="124">
        <f aca="true" t="shared" si="240" ref="AE354:AE361">IF(AQ354="7",BI354,0)</f>
        <v>0</v>
      </c>
      <c r="AF354" s="124">
        <f aca="true" t="shared" si="241" ref="AF354:AF361">IF(AQ354="2",BH354,0)</f>
        <v>0</v>
      </c>
      <c r="AG354" s="124">
        <f aca="true" t="shared" si="242" ref="AG354:AG361">IF(AQ354="2",BI354,0)</f>
        <v>0</v>
      </c>
      <c r="AH354" s="124">
        <f aca="true" t="shared" si="243" ref="AH354:AH361">IF(AQ354="0",BJ354,0)</f>
        <v>0</v>
      </c>
      <c r="AI354" s="113" t="s">
        <v>60</v>
      </c>
      <c r="AJ354" s="122">
        <f aca="true" t="shared" si="244" ref="AJ354:AJ361">IF(AN354=0,J354,0)</f>
        <v>0</v>
      </c>
      <c r="AK354" s="122">
        <f aca="true" t="shared" si="245" ref="AK354:AK361">IF(AN354=15,J354,0)</f>
        <v>0</v>
      </c>
      <c r="AL354" s="122">
        <f aca="true" t="shared" si="246" ref="AL354:AL361">IF(AN354=21,J354,0)</f>
        <v>0</v>
      </c>
      <c r="AN354" s="124">
        <v>15</v>
      </c>
      <c r="AO354" s="124">
        <f>G354*0</f>
        <v>0</v>
      </c>
      <c r="AP354" s="124">
        <f>G354*(1-0)</f>
        <v>0</v>
      </c>
      <c r="AQ354" s="123" t="s">
        <v>85</v>
      </c>
      <c r="AV354" s="124">
        <f aca="true" t="shared" si="247" ref="AV354:AV361">AW354+AX354</f>
        <v>0</v>
      </c>
      <c r="AW354" s="124">
        <f aca="true" t="shared" si="248" ref="AW354:AW361">F354*AO354</f>
        <v>0</v>
      </c>
      <c r="AX354" s="124">
        <f aca="true" t="shared" si="249" ref="AX354:AX361">F354*AP354</f>
        <v>0</v>
      </c>
      <c r="AY354" s="125" t="s">
        <v>1531</v>
      </c>
      <c r="AZ354" s="125" t="s">
        <v>1540</v>
      </c>
      <c r="BA354" s="113" t="s">
        <v>1542</v>
      </c>
      <c r="BC354" s="124">
        <f aca="true" t="shared" si="250" ref="BC354:BC361">AW354+AX354</f>
        <v>0</v>
      </c>
      <c r="BD354" s="124">
        <f aca="true" t="shared" si="251" ref="BD354:BD361">G354/(100-BE354)*100</f>
        <v>0</v>
      </c>
      <c r="BE354" s="124">
        <v>0</v>
      </c>
      <c r="BF354" s="124">
        <f aca="true" t="shared" si="252" ref="BF354:BF361">L354</f>
        <v>0</v>
      </c>
      <c r="BH354" s="122">
        <f aca="true" t="shared" si="253" ref="BH354:BH361">F354*AO354</f>
        <v>0</v>
      </c>
      <c r="BI354" s="122">
        <f aca="true" t="shared" si="254" ref="BI354:BI361">F354*AP354</f>
        <v>0</v>
      </c>
      <c r="BJ354" s="122">
        <f aca="true" t="shared" si="255" ref="BJ354:BJ361">F354*G354</f>
        <v>0</v>
      </c>
    </row>
    <row r="355" spans="1:62" s="174" customFormat="1" ht="12.75">
      <c r="A355" s="121" t="s">
        <v>790</v>
      </c>
      <c r="B355" s="121" t="s">
        <v>60</v>
      </c>
      <c r="C355" s="121" t="s">
        <v>1113</v>
      </c>
      <c r="D355" s="129" t="s">
        <v>1420</v>
      </c>
      <c r="E355" s="121" t="s">
        <v>608</v>
      </c>
      <c r="F355" s="122">
        <f>'Stavební rozpočet'!F511</f>
        <v>151.5</v>
      </c>
      <c r="G355" s="172"/>
      <c r="H355" s="122">
        <f t="shared" si="232"/>
        <v>0</v>
      </c>
      <c r="I355" s="122">
        <f t="shared" si="233"/>
        <v>0</v>
      </c>
      <c r="J355" s="122">
        <f t="shared" si="234"/>
        <v>0</v>
      </c>
      <c r="K355" s="122">
        <f>'Stavební rozpočet'!K511</f>
        <v>0</v>
      </c>
      <c r="L355" s="122">
        <f t="shared" si="235"/>
        <v>0</v>
      </c>
      <c r="M355" s="123" t="s">
        <v>622</v>
      </c>
      <c r="Z355" s="124">
        <f t="shared" si="236"/>
        <v>0</v>
      </c>
      <c r="AB355" s="124">
        <f t="shared" si="237"/>
        <v>0</v>
      </c>
      <c r="AC355" s="124">
        <f t="shared" si="238"/>
        <v>0</v>
      </c>
      <c r="AD355" s="124">
        <f t="shared" si="239"/>
        <v>0</v>
      </c>
      <c r="AE355" s="124">
        <f t="shared" si="240"/>
        <v>0</v>
      </c>
      <c r="AF355" s="124">
        <f t="shared" si="241"/>
        <v>0</v>
      </c>
      <c r="AG355" s="124">
        <f t="shared" si="242"/>
        <v>0</v>
      </c>
      <c r="AH355" s="124">
        <f t="shared" si="243"/>
        <v>0</v>
      </c>
      <c r="AI355" s="113" t="s">
        <v>60</v>
      </c>
      <c r="AJ355" s="122">
        <f t="shared" si="244"/>
        <v>0</v>
      </c>
      <c r="AK355" s="122">
        <f t="shared" si="245"/>
        <v>0</v>
      </c>
      <c r="AL355" s="122">
        <f t="shared" si="246"/>
        <v>0</v>
      </c>
      <c r="AN355" s="124">
        <v>15</v>
      </c>
      <c r="AO355" s="124">
        <f>G355*0</f>
        <v>0</v>
      </c>
      <c r="AP355" s="124">
        <f>G355*(1-0)</f>
        <v>0</v>
      </c>
      <c r="AQ355" s="123" t="s">
        <v>85</v>
      </c>
      <c r="AV355" s="124">
        <f t="shared" si="247"/>
        <v>0</v>
      </c>
      <c r="AW355" s="124">
        <f t="shared" si="248"/>
        <v>0</v>
      </c>
      <c r="AX355" s="124">
        <f t="shared" si="249"/>
        <v>0</v>
      </c>
      <c r="AY355" s="125" t="s">
        <v>1531</v>
      </c>
      <c r="AZ355" s="125" t="s">
        <v>1540</v>
      </c>
      <c r="BA355" s="113" t="s">
        <v>1542</v>
      </c>
      <c r="BC355" s="124">
        <f t="shared" si="250"/>
        <v>0</v>
      </c>
      <c r="BD355" s="124">
        <f t="shared" si="251"/>
        <v>0</v>
      </c>
      <c r="BE355" s="124">
        <v>0</v>
      </c>
      <c r="BF355" s="124">
        <f t="shared" si="252"/>
        <v>0</v>
      </c>
      <c r="BH355" s="122">
        <f t="shared" si="253"/>
        <v>0</v>
      </c>
      <c r="BI355" s="122">
        <f t="shared" si="254"/>
        <v>0</v>
      </c>
      <c r="BJ355" s="122">
        <f t="shared" si="255"/>
        <v>0</v>
      </c>
    </row>
    <row r="356" spans="1:62" s="174" customFormat="1" ht="12.75">
      <c r="A356" s="121" t="s">
        <v>791</v>
      </c>
      <c r="B356" s="121" t="s">
        <v>60</v>
      </c>
      <c r="C356" s="121" t="s">
        <v>1114</v>
      </c>
      <c r="D356" s="129" t="s">
        <v>1421</v>
      </c>
      <c r="E356" s="121" t="s">
        <v>609</v>
      </c>
      <c r="F356" s="122">
        <f>'Stavební rozpočet'!F512</f>
        <v>84.38</v>
      </c>
      <c r="G356" s="172"/>
      <c r="H356" s="122">
        <f t="shared" si="232"/>
        <v>0</v>
      </c>
      <c r="I356" s="122">
        <f t="shared" si="233"/>
        <v>0</v>
      </c>
      <c r="J356" s="122">
        <f t="shared" si="234"/>
        <v>0</v>
      </c>
      <c r="K356" s="122">
        <f>'Stavební rozpočet'!K512</f>
        <v>3E-05</v>
      </c>
      <c r="L356" s="122">
        <f t="shared" si="235"/>
        <v>0.0025314</v>
      </c>
      <c r="M356" s="123" t="s">
        <v>622</v>
      </c>
      <c r="Z356" s="124">
        <f t="shared" si="236"/>
        <v>0</v>
      </c>
      <c r="AB356" s="124">
        <f t="shared" si="237"/>
        <v>0</v>
      </c>
      <c r="AC356" s="124">
        <f t="shared" si="238"/>
        <v>0</v>
      </c>
      <c r="AD356" s="124">
        <f t="shared" si="239"/>
        <v>0</v>
      </c>
      <c r="AE356" s="124">
        <f t="shared" si="240"/>
        <v>0</v>
      </c>
      <c r="AF356" s="124">
        <f t="shared" si="241"/>
        <v>0</v>
      </c>
      <c r="AG356" s="124">
        <f t="shared" si="242"/>
        <v>0</v>
      </c>
      <c r="AH356" s="124">
        <f t="shared" si="243"/>
        <v>0</v>
      </c>
      <c r="AI356" s="113" t="s">
        <v>60</v>
      </c>
      <c r="AJ356" s="122">
        <f t="shared" si="244"/>
        <v>0</v>
      </c>
      <c r="AK356" s="122">
        <f t="shared" si="245"/>
        <v>0</v>
      </c>
      <c r="AL356" s="122">
        <f t="shared" si="246"/>
        <v>0</v>
      </c>
      <c r="AN356" s="124">
        <v>15</v>
      </c>
      <c r="AO356" s="124">
        <f>G356*0.138917140951917</f>
        <v>0</v>
      </c>
      <c r="AP356" s="124">
        <f>G356*(1-0.138917140951917)</f>
        <v>0</v>
      </c>
      <c r="AQ356" s="123" t="s">
        <v>85</v>
      </c>
      <c r="AV356" s="124">
        <f t="shared" si="247"/>
        <v>0</v>
      </c>
      <c r="AW356" s="124">
        <f t="shared" si="248"/>
        <v>0</v>
      </c>
      <c r="AX356" s="124">
        <f t="shared" si="249"/>
        <v>0</v>
      </c>
      <c r="AY356" s="125" t="s">
        <v>1531</v>
      </c>
      <c r="AZ356" s="125" t="s">
        <v>1540</v>
      </c>
      <c r="BA356" s="113" t="s">
        <v>1542</v>
      </c>
      <c r="BC356" s="124">
        <f t="shared" si="250"/>
        <v>0</v>
      </c>
      <c r="BD356" s="124">
        <f t="shared" si="251"/>
        <v>0</v>
      </c>
      <c r="BE356" s="124">
        <v>0</v>
      </c>
      <c r="BF356" s="124">
        <f t="shared" si="252"/>
        <v>0.0025314</v>
      </c>
      <c r="BH356" s="122">
        <f t="shared" si="253"/>
        <v>0</v>
      </c>
      <c r="BI356" s="122">
        <f t="shared" si="254"/>
        <v>0</v>
      </c>
      <c r="BJ356" s="122">
        <f t="shared" si="255"/>
        <v>0</v>
      </c>
    </row>
    <row r="357" spans="1:62" s="174" customFormat="1" ht="12.75">
      <c r="A357" s="126" t="s">
        <v>792</v>
      </c>
      <c r="B357" s="126" t="s">
        <v>60</v>
      </c>
      <c r="C357" s="126" t="s">
        <v>1115</v>
      </c>
      <c r="D357" s="137" t="s">
        <v>1422</v>
      </c>
      <c r="E357" s="126" t="s">
        <v>609</v>
      </c>
      <c r="F357" s="127">
        <f>'Stavební rozpočet'!F513</f>
        <v>97.04</v>
      </c>
      <c r="G357" s="176"/>
      <c r="H357" s="127">
        <f t="shared" si="232"/>
        <v>0</v>
      </c>
      <c r="I357" s="127">
        <f t="shared" si="233"/>
        <v>0</v>
      </c>
      <c r="J357" s="127">
        <f t="shared" si="234"/>
        <v>0</v>
      </c>
      <c r="K357" s="127">
        <f>'Stavební rozpočet'!K513</f>
        <v>0</v>
      </c>
      <c r="L357" s="127">
        <f t="shared" si="235"/>
        <v>0</v>
      </c>
      <c r="M357" s="128" t="s">
        <v>622</v>
      </c>
      <c r="Z357" s="124">
        <f t="shared" si="236"/>
        <v>0</v>
      </c>
      <c r="AB357" s="124">
        <f t="shared" si="237"/>
        <v>0</v>
      </c>
      <c r="AC357" s="124">
        <f t="shared" si="238"/>
        <v>0</v>
      </c>
      <c r="AD357" s="124">
        <f t="shared" si="239"/>
        <v>0</v>
      </c>
      <c r="AE357" s="124">
        <f t="shared" si="240"/>
        <v>0</v>
      </c>
      <c r="AF357" s="124">
        <f t="shared" si="241"/>
        <v>0</v>
      </c>
      <c r="AG357" s="124">
        <f t="shared" si="242"/>
        <v>0</v>
      </c>
      <c r="AH357" s="124">
        <f t="shared" si="243"/>
        <v>0</v>
      </c>
      <c r="AI357" s="113" t="s">
        <v>60</v>
      </c>
      <c r="AJ357" s="127">
        <f t="shared" si="244"/>
        <v>0</v>
      </c>
      <c r="AK357" s="127">
        <f t="shared" si="245"/>
        <v>0</v>
      </c>
      <c r="AL357" s="127">
        <f t="shared" si="246"/>
        <v>0</v>
      </c>
      <c r="AN357" s="124">
        <v>15</v>
      </c>
      <c r="AO357" s="124">
        <f>G357*1</f>
        <v>0</v>
      </c>
      <c r="AP357" s="124">
        <f>G357*(1-1)</f>
        <v>0</v>
      </c>
      <c r="AQ357" s="128" t="s">
        <v>85</v>
      </c>
      <c r="AV357" s="124">
        <f t="shared" si="247"/>
        <v>0</v>
      </c>
      <c r="AW357" s="124">
        <f t="shared" si="248"/>
        <v>0</v>
      </c>
      <c r="AX357" s="124">
        <f t="shared" si="249"/>
        <v>0</v>
      </c>
      <c r="AY357" s="125" t="s">
        <v>1531</v>
      </c>
      <c r="AZ357" s="125" t="s">
        <v>1540</v>
      </c>
      <c r="BA357" s="113" t="s">
        <v>1542</v>
      </c>
      <c r="BC357" s="124">
        <f t="shared" si="250"/>
        <v>0</v>
      </c>
      <c r="BD357" s="124">
        <f t="shared" si="251"/>
        <v>0</v>
      </c>
      <c r="BE357" s="124">
        <v>0</v>
      </c>
      <c r="BF357" s="124">
        <f t="shared" si="252"/>
        <v>0</v>
      </c>
      <c r="BH357" s="127">
        <f t="shared" si="253"/>
        <v>0</v>
      </c>
      <c r="BI357" s="127">
        <f t="shared" si="254"/>
        <v>0</v>
      </c>
      <c r="BJ357" s="127">
        <f t="shared" si="255"/>
        <v>0</v>
      </c>
    </row>
    <row r="358" spans="1:62" s="174" customFormat="1" ht="12.75">
      <c r="A358" s="121" t="s">
        <v>793</v>
      </c>
      <c r="B358" s="121" t="s">
        <v>60</v>
      </c>
      <c r="C358" s="121" t="s">
        <v>1116</v>
      </c>
      <c r="D358" s="129" t="s">
        <v>1423</v>
      </c>
      <c r="E358" s="121" t="s">
        <v>608</v>
      </c>
      <c r="F358" s="122">
        <f>'Stavební rozpočet'!F514</f>
        <v>151.5</v>
      </c>
      <c r="G358" s="172"/>
      <c r="H358" s="122">
        <f t="shared" si="232"/>
        <v>0</v>
      </c>
      <c r="I358" s="122">
        <f t="shared" si="233"/>
        <v>0</v>
      </c>
      <c r="J358" s="122">
        <f t="shared" si="234"/>
        <v>0</v>
      </c>
      <c r="K358" s="122">
        <f>'Stavební rozpočet'!K514</f>
        <v>0.00025</v>
      </c>
      <c r="L358" s="122">
        <f t="shared" si="235"/>
        <v>0.037875</v>
      </c>
      <c r="M358" s="123" t="s">
        <v>622</v>
      </c>
      <c r="Z358" s="124">
        <f t="shared" si="236"/>
        <v>0</v>
      </c>
      <c r="AB358" s="124">
        <f t="shared" si="237"/>
        <v>0</v>
      </c>
      <c r="AC358" s="124">
        <f t="shared" si="238"/>
        <v>0</v>
      </c>
      <c r="AD358" s="124">
        <f t="shared" si="239"/>
        <v>0</v>
      </c>
      <c r="AE358" s="124">
        <f t="shared" si="240"/>
        <v>0</v>
      </c>
      <c r="AF358" s="124">
        <f t="shared" si="241"/>
        <v>0</v>
      </c>
      <c r="AG358" s="124">
        <f t="shared" si="242"/>
        <v>0</v>
      </c>
      <c r="AH358" s="124">
        <f t="shared" si="243"/>
        <v>0</v>
      </c>
      <c r="AI358" s="113" t="s">
        <v>60</v>
      </c>
      <c r="AJ358" s="122">
        <f t="shared" si="244"/>
        <v>0</v>
      </c>
      <c r="AK358" s="122">
        <f t="shared" si="245"/>
        <v>0</v>
      </c>
      <c r="AL358" s="122">
        <f t="shared" si="246"/>
        <v>0</v>
      </c>
      <c r="AN358" s="124">
        <v>15</v>
      </c>
      <c r="AO358" s="124">
        <f>G358*0.399021406727829</f>
        <v>0</v>
      </c>
      <c r="AP358" s="124">
        <f>G358*(1-0.399021406727829)</f>
        <v>0</v>
      </c>
      <c r="AQ358" s="123" t="s">
        <v>85</v>
      </c>
      <c r="AV358" s="124">
        <f t="shared" si="247"/>
        <v>0</v>
      </c>
      <c r="AW358" s="124">
        <f t="shared" si="248"/>
        <v>0</v>
      </c>
      <c r="AX358" s="124">
        <f t="shared" si="249"/>
        <v>0</v>
      </c>
      <c r="AY358" s="125" t="s">
        <v>1531</v>
      </c>
      <c r="AZ358" s="125" t="s">
        <v>1540</v>
      </c>
      <c r="BA358" s="113" t="s">
        <v>1542</v>
      </c>
      <c r="BC358" s="124">
        <f t="shared" si="250"/>
        <v>0</v>
      </c>
      <c r="BD358" s="124">
        <f t="shared" si="251"/>
        <v>0</v>
      </c>
      <c r="BE358" s="124">
        <v>0</v>
      </c>
      <c r="BF358" s="124">
        <f t="shared" si="252"/>
        <v>0.037875</v>
      </c>
      <c r="BH358" s="122">
        <f t="shared" si="253"/>
        <v>0</v>
      </c>
      <c r="BI358" s="122">
        <f t="shared" si="254"/>
        <v>0</v>
      </c>
      <c r="BJ358" s="122">
        <f t="shared" si="255"/>
        <v>0</v>
      </c>
    </row>
    <row r="359" spans="1:62" s="174" customFormat="1" ht="12.75">
      <c r="A359" s="126" t="s">
        <v>794</v>
      </c>
      <c r="B359" s="126" t="s">
        <v>60</v>
      </c>
      <c r="C359" s="126" t="s">
        <v>1117</v>
      </c>
      <c r="D359" s="137" t="s">
        <v>1424</v>
      </c>
      <c r="E359" s="126" t="s">
        <v>608</v>
      </c>
      <c r="F359" s="127">
        <f>'Stavební rozpočet'!F515</f>
        <v>174.23</v>
      </c>
      <c r="G359" s="176"/>
      <c r="H359" s="127">
        <f t="shared" si="232"/>
        <v>0</v>
      </c>
      <c r="I359" s="127">
        <f t="shared" si="233"/>
        <v>0</v>
      </c>
      <c r="J359" s="127">
        <f t="shared" si="234"/>
        <v>0</v>
      </c>
      <c r="K359" s="127">
        <f>'Stavební rozpočet'!K515</f>
        <v>0.0029</v>
      </c>
      <c r="L359" s="127">
        <f t="shared" si="235"/>
        <v>0.5052669999999999</v>
      </c>
      <c r="M359" s="128" t="s">
        <v>622</v>
      </c>
      <c r="Z359" s="124">
        <f t="shared" si="236"/>
        <v>0</v>
      </c>
      <c r="AB359" s="124">
        <f t="shared" si="237"/>
        <v>0</v>
      </c>
      <c r="AC359" s="124">
        <f t="shared" si="238"/>
        <v>0</v>
      </c>
      <c r="AD359" s="124">
        <f t="shared" si="239"/>
        <v>0</v>
      </c>
      <c r="AE359" s="124">
        <f t="shared" si="240"/>
        <v>0</v>
      </c>
      <c r="AF359" s="124">
        <f t="shared" si="241"/>
        <v>0</v>
      </c>
      <c r="AG359" s="124">
        <f t="shared" si="242"/>
        <v>0</v>
      </c>
      <c r="AH359" s="124">
        <f t="shared" si="243"/>
        <v>0</v>
      </c>
      <c r="AI359" s="113" t="s">
        <v>60</v>
      </c>
      <c r="AJ359" s="127">
        <f t="shared" si="244"/>
        <v>0</v>
      </c>
      <c r="AK359" s="127">
        <f t="shared" si="245"/>
        <v>0</v>
      </c>
      <c r="AL359" s="127">
        <f t="shared" si="246"/>
        <v>0</v>
      </c>
      <c r="AN359" s="124">
        <v>15</v>
      </c>
      <c r="AO359" s="124">
        <f>G359*1</f>
        <v>0</v>
      </c>
      <c r="AP359" s="124">
        <f>G359*(1-1)</f>
        <v>0</v>
      </c>
      <c r="AQ359" s="128" t="s">
        <v>85</v>
      </c>
      <c r="AV359" s="124">
        <f t="shared" si="247"/>
        <v>0</v>
      </c>
      <c r="AW359" s="124">
        <f t="shared" si="248"/>
        <v>0</v>
      </c>
      <c r="AX359" s="124">
        <f t="shared" si="249"/>
        <v>0</v>
      </c>
      <c r="AY359" s="125" t="s">
        <v>1531</v>
      </c>
      <c r="AZ359" s="125" t="s">
        <v>1540</v>
      </c>
      <c r="BA359" s="113" t="s">
        <v>1542</v>
      </c>
      <c r="BC359" s="124">
        <f t="shared" si="250"/>
        <v>0</v>
      </c>
      <c r="BD359" s="124">
        <f t="shared" si="251"/>
        <v>0</v>
      </c>
      <c r="BE359" s="124">
        <v>0</v>
      </c>
      <c r="BF359" s="124">
        <f t="shared" si="252"/>
        <v>0.5052669999999999</v>
      </c>
      <c r="BH359" s="127">
        <f t="shared" si="253"/>
        <v>0</v>
      </c>
      <c r="BI359" s="127">
        <f t="shared" si="254"/>
        <v>0</v>
      </c>
      <c r="BJ359" s="127">
        <f t="shared" si="255"/>
        <v>0</v>
      </c>
    </row>
    <row r="360" spans="1:62" s="174" customFormat="1" ht="12.75">
      <c r="A360" s="121" t="s">
        <v>795</v>
      </c>
      <c r="B360" s="121" t="s">
        <v>60</v>
      </c>
      <c r="C360" s="121" t="s">
        <v>1118</v>
      </c>
      <c r="D360" s="129" t="s">
        <v>1425</v>
      </c>
      <c r="E360" s="121" t="s">
        <v>608</v>
      </c>
      <c r="F360" s="122">
        <f>'Stavební rozpočet'!F516</f>
        <v>151.5</v>
      </c>
      <c r="G360" s="172"/>
      <c r="H360" s="122">
        <f t="shared" si="232"/>
        <v>0</v>
      </c>
      <c r="I360" s="122">
        <f t="shared" si="233"/>
        <v>0</v>
      </c>
      <c r="J360" s="122">
        <f t="shared" si="234"/>
        <v>0</v>
      </c>
      <c r="K360" s="122">
        <f>'Stavební rozpočet'!K516</f>
        <v>2E-05</v>
      </c>
      <c r="L360" s="122">
        <f t="shared" si="235"/>
        <v>0.00303</v>
      </c>
      <c r="M360" s="123" t="s">
        <v>622</v>
      </c>
      <c r="Z360" s="124">
        <f t="shared" si="236"/>
        <v>0</v>
      </c>
      <c r="AB360" s="124">
        <f t="shared" si="237"/>
        <v>0</v>
      </c>
      <c r="AC360" s="124">
        <f t="shared" si="238"/>
        <v>0</v>
      </c>
      <c r="AD360" s="124">
        <f t="shared" si="239"/>
        <v>0</v>
      </c>
      <c r="AE360" s="124">
        <f t="shared" si="240"/>
        <v>0</v>
      </c>
      <c r="AF360" s="124">
        <f t="shared" si="241"/>
        <v>0</v>
      </c>
      <c r="AG360" s="124">
        <f t="shared" si="242"/>
        <v>0</v>
      </c>
      <c r="AH360" s="124">
        <f t="shared" si="243"/>
        <v>0</v>
      </c>
      <c r="AI360" s="113" t="s">
        <v>60</v>
      </c>
      <c r="AJ360" s="122">
        <f t="shared" si="244"/>
        <v>0</v>
      </c>
      <c r="AK360" s="122">
        <f t="shared" si="245"/>
        <v>0</v>
      </c>
      <c r="AL360" s="122">
        <f t="shared" si="246"/>
        <v>0</v>
      </c>
      <c r="AN360" s="124">
        <v>15</v>
      </c>
      <c r="AO360" s="124">
        <f>G360*0.0933777032814363</f>
        <v>0</v>
      </c>
      <c r="AP360" s="124">
        <f>G360*(1-0.0933777032814363)</f>
        <v>0</v>
      </c>
      <c r="AQ360" s="123" t="s">
        <v>85</v>
      </c>
      <c r="AV360" s="124">
        <f t="shared" si="247"/>
        <v>0</v>
      </c>
      <c r="AW360" s="124">
        <f t="shared" si="248"/>
        <v>0</v>
      </c>
      <c r="AX360" s="124">
        <f t="shared" si="249"/>
        <v>0</v>
      </c>
      <c r="AY360" s="125" t="s">
        <v>1531</v>
      </c>
      <c r="AZ360" s="125" t="s">
        <v>1540</v>
      </c>
      <c r="BA360" s="113" t="s">
        <v>1542</v>
      </c>
      <c r="BC360" s="124">
        <f t="shared" si="250"/>
        <v>0</v>
      </c>
      <c r="BD360" s="124">
        <f t="shared" si="251"/>
        <v>0</v>
      </c>
      <c r="BE360" s="124">
        <v>0</v>
      </c>
      <c r="BF360" s="124">
        <f t="shared" si="252"/>
        <v>0.00303</v>
      </c>
      <c r="BH360" s="122">
        <f t="shared" si="253"/>
        <v>0</v>
      </c>
      <c r="BI360" s="122">
        <f t="shared" si="254"/>
        <v>0</v>
      </c>
      <c r="BJ360" s="122">
        <f t="shared" si="255"/>
        <v>0</v>
      </c>
    </row>
    <row r="361" spans="1:62" s="174" customFormat="1" ht="12.75">
      <c r="A361" s="121" t="s">
        <v>796</v>
      </c>
      <c r="B361" s="121" t="s">
        <v>60</v>
      </c>
      <c r="C361" s="121" t="s">
        <v>1119</v>
      </c>
      <c r="D361" s="129" t="s">
        <v>1426</v>
      </c>
      <c r="E361" s="121" t="s">
        <v>612</v>
      </c>
      <c r="F361" s="122">
        <f>'Stavební rozpočet'!F517</f>
        <v>0.55</v>
      </c>
      <c r="G361" s="172"/>
      <c r="H361" s="122">
        <f t="shared" si="232"/>
        <v>0</v>
      </c>
      <c r="I361" s="122">
        <f t="shared" si="233"/>
        <v>0</v>
      </c>
      <c r="J361" s="122">
        <f t="shared" si="234"/>
        <v>0</v>
      </c>
      <c r="K361" s="122">
        <f>'Stavební rozpočet'!K517</f>
        <v>0</v>
      </c>
      <c r="L361" s="122">
        <f t="shared" si="235"/>
        <v>0</v>
      </c>
      <c r="M361" s="123" t="s">
        <v>622</v>
      </c>
      <c r="Z361" s="124">
        <f t="shared" si="236"/>
        <v>0</v>
      </c>
      <c r="AB361" s="124">
        <f t="shared" si="237"/>
        <v>0</v>
      </c>
      <c r="AC361" s="124">
        <f t="shared" si="238"/>
        <v>0</v>
      </c>
      <c r="AD361" s="124">
        <f t="shared" si="239"/>
        <v>0</v>
      </c>
      <c r="AE361" s="124">
        <f t="shared" si="240"/>
        <v>0</v>
      </c>
      <c r="AF361" s="124">
        <f t="shared" si="241"/>
        <v>0</v>
      </c>
      <c r="AG361" s="124">
        <f t="shared" si="242"/>
        <v>0</v>
      </c>
      <c r="AH361" s="124">
        <f t="shared" si="243"/>
        <v>0</v>
      </c>
      <c r="AI361" s="113" t="s">
        <v>60</v>
      </c>
      <c r="AJ361" s="122">
        <f t="shared" si="244"/>
        <v>0</v>
      </c>
      <c r="AK361" s="122">
        <f t="shared" si="245"/>
        <v>0</v>
      </c>
      <c r="AL361" s="122">
        <f t="shared" si="246"/>
        <v>0</v>
      </c>
      <c r="AN361" s="124">
        <v>15</v>
      </c>
      <c r="AO361" s="124">
        <f>G361*0</f>
        <v>0</v>
      </c>
      <c r="AP361" s="124">
        <f>G361*(1-0)</f>
        <v>0</v>
      </c>
      <c r="AQ361" s="123" t="s">
        <v>83</v>
      </c>
      <c r="AV361" s="124">
        <f t="shared" si="247"/>
        <v>0</v>
      </c>
      <c r="AW361" s="124">
        <f t="shared" si="248"/>
        <v>0</v>
      </c>
      <c r="AX361" s="124">
        <f t="shared" si="249"/>
        <v>0</v>
      </c>
      <c r="AY361" s="125" t="s">
        <v>1531</v>
      </c>
      <c r="AZ361" s="125" t="s">
        <v>1540</v>
      </c>
      <c r="BA361" s="113" t="s">
        <v>1542</v>
      </c>
      <c r="BC361" s="124">
        <f t="shared" si="250"/>
        <v>0</v>
      </c>
      <c r="BD361" s="124">
        <f t="shared" si="251"/>
        <v>0</v>
      </c>
      <c r="BE361" s="124">
        <v>0</v>
      </c>
      <c r="BF361" s="124">
        <f t="shared" si="252"/>
        <v>0</v>
      </c>
      <c r="BH361" s="122">
        <f t="shared" si="253"/>
        <v>0</v>
      </c>
      <c r="BI361" s="122">
        <f t="shared" si="254"/>
        <v>0</v>
      </c>
      <c r="BJ361" s="122">
        <f t="shared" si="255"/>
        <v>0</v>
      </c>
    </row>
    <row r="362" spans="1:47" s="174" customFormat="1" ht="12.75">
      <c r="A362" s="118"/>
      <c r="B362" s="119" t="s">
        <v>60</v>
      </c>
      <c r="C362" s="119" t="s">
        <v>1120</v>
      </c>
      <c r="D362" s="136" t="s">
        <v>1427</v>
      </c>
      <c r="E362" s="118" t="s">
        <v>57</v>
      </c>
      <c r="F362" s="118" t="s">
        <v>57</v>
      </c>
      <c r="G362" s="118"/>
      <c r="H362" s="120">
        <f>SUM(H363:H381)</f>
        <v>0</v>
      </c>
      <c r="I362" s="120">
        <f>SUM(I363:I381)</f>
        <v>0</v>
      </c>
      <c r="J362" s="120">
        <f>SUM(J363:J381)</f>
        <v>0</v>
      </c>
      <c r="K362" s="113"/>
      <c r="L362" s="120">
        <f>SUM(L363:L381)</f>
        <v>1.795678</v>
      </c>
      <c r="M362" s="113"/>
      <c r="AI362" s="113" t="s">
        <v>60</v>
      </c>
      <c r="AS362" s="120">
        <f>SUM(AJ363:AJ381)</f>
        <v>0</v>
      </c>
      <c r="AT362" s="120">
        <f>SUM(AK363:AK381)</f>
        <v>0</v>
      </c>
      <c r="AU362" s="120">
        <f>SUM(AL363:AL381)</f>
        <v>0</v>
      </c>
    </row>
    <row r="363" spans="1:62" s="174" customFormat="1" ht="12.75">
      <c r="A363" s="121" t="s">
        <v>797</v>
      </c>
      <c r="B363" s="121" t="s">
        <v>60</v>
      </c>
      <c r="C363" s="121" t="s">
        <v>1121</v>
      </c>
      <c r="D363" s="129" t="s">
        <v>1428</v>
      </c>
      <c r="E363" s="121" t="s">
        <v>608</v>
      </c>
      <c r="F363" s="122">
        <f>'Stavební rozpočet'!F519</f>
        <v>96.72</v>
      </c>
      <c r="G363" s="172"/>
      <c r="H363" s="122">
        <f aca="true" t="shared" si="256" ref="H363:H381">F363*AO363</f>
        <v>0</v>
      </c>
      <c r="I363" s="122">
        <f aca="true" t="shared" si="257" ref="I363:I381">F363*AP363</f>
        <v>0</v>
      </c>
      <c r="J363" s="122">
        <f aca="true" t="shared" si="258" ref="J363:J381">F363*G363</f>
        <v>0</v>
      </c>
      <c r="K363" s="122">
        <f>'Stavební rozpočet'!K519</f>
        <v>0.00021</v>
      </c>
      <c r="L363" s="122">
        <f aca="true" t="shared" si="259" ref="L363:L381">F363*K363</f>
        <v>0.0203112</v>
      </c>
      <c r="M363" s="123" t="s">
        <v>622</v>
      </c>
      <c r="Z363" s="124">
        <f aca="true" t="shared" si="260" ref="Z363:Z381">IF(AQ363="5",BJ363,0)</f>
        <v>0</v>
      </c>
      <c r="AB363" s="124">
        <f aca="true" t="shared" si="261" ref="AB363:AB381">IF(AQ363="1",BH363,0)</f>
        <v>0</v>
      </c>
      <c r="AC363" s="124">
        <f aca="true" t="shared" si="262" ref="AC363:AC381">IF(AQ363="1",BI363,0)</f>
        <v>0</v>
      </c>
      <c r="AD363" s="124">
        <f aca="true" t="shared" si="263" ref="AD363:AD381">IF(AQ363="7",BH363,0)</f>
        <v>0</v>
      </c>
      <c r="AE363" s="124">
        <f aca="true" t="shared" si="264" ref="AE363:AE381">IF(AQ363="7",BI363,0)</f>
        <v>0</v>
      </c>
      <c r="AF363" s="124">
        <f aca="true" t="shared" si="265" ref="AF363:AF381">IF(AQ363="2",BH363,0)</f>
        <v>0</v>
      </c>
      <c r="AG363" s="124">
        <f aca="true" t="shared" si="266" ref="AG363:AG381">IF(AQ363="2",BI363,0)</f>
        <v>0</v>
      </c>
      <c r="AH363" s="124">
        <f aca="true" t="shared" si="267" ref="AH363:AH381">IF(AQ363="0",BJ363,0)</f>
        <v>0</v>
      </c>
      <c r="AI363" s="113" t="s">
        <v>60</v>
      </c>
      <c r="AJ363" s="122">
        <f aca="true" t="shared" si="268" ref="AJ363:AJ381">IF(AN363=0,J363,0)</f>
        <v>0</v>
      </c>
      <c r="AK363" s="122">
        <f aca="true" t="shared" si="269" ref="AK363:AK381">IF(AN363=15,J363,0)</f>
        <v>0</v>
      </c>
      <c r="AL363" s="122">
        <f aca="true" t="shared" si="270" ref="AL363:AL381">IF(AN363=21,J363,0)</f>
        <v>0</v>
      </c>
      <c r="AN363" s="124">
        <v>15</v>
      </c>
      <c r="AO363" s="124">
        <f>G363*0.533419971852164</f>
        <v>0</v>
      </c>
      <c r="AP363" s="124">
        <f>G363*(1-0.533419971852164)</f>
        <v>0</v>
      </c>
      <c r="AQ363" s="123" t="s">
        <v>85</v>
      </c>
      <c r="AV363" s="124">
        <f aca="true" t="shared" si="271" ref="AV363:AV381">AW363+AX363</f>
        <v>0</v>
      </c>
      <c r="AW363" s="124">
        <f aca="true" t="shared" si="272" ref="AW363:AW381">F363*AO363</f>
        <v>0</v>
      </c>
      <c r="AX363" s="124">
        <f aca="true" t="shared" si="273" ref="AX363:AX381">F363*AP363</f>
        <v>0</v>
      </c>
      <c r="AY363" s="125" t="s">
        <v>1532</v>
      </c>
      <c r="AZ363" s="125" t="s">
        <v>1541</v>
      </c>
      <c r="BA363" s="113" t="s">
        <v>1542</v>
      </c>
      <c r="BC363" s="124">
        <f aca="true" t="shared" si="274" ref="BC363:BC381">AW363+AX363</f>
        <v>0</v>
      </c>
      <c r="BD363" s="124">
        <f aca="true" t="shared" si="275" ref="BD363:BD381">G363/(100-BE363)*100</f>
        <v>0</v>
      </c>
      <c r="BE363" s="124">
        <v>0</v>
      </c>
      <c r="BF363" s="124">
        <f aca="true" t="shared" si="276" ref="BF363:BF381">L363</f>
        <v>0.0203112</v>
      </c>
      <c r="BH363" s="122">
        <f aca="true" t="shared" si="277" ref="BH363:BH381">F363*AO363</f>
        <v>0</v>
      </c>
      <c r="BI363" s="122">
        <f aca="true" t="shared" si="278" ref="BI363:BI381">F363*AP363</f>
        <v>0</v>
      </c>
      <c r="BJ363" s="122">
        <f aca="true" t="shared" si="279" ref="BJ363:BJ381">F363*G363</f>
        <v>0</v>
      </c>
    </row>
    <row r="364" spans="1:62" s="174" customFormat="1" ht="12.75">
      <c r="A364" s="121" t="s">
        <v>798</v>
      </c>
      <c r="B364" s="121" t="s">
        <v>60</v>
      </c>
      <c r="C364" s="121" t="s">
        <v>1122</v>
      </c>
      <c r="D364" s="129" t="s">
        <v>1429</v>
      </c>
      <c r="E364" s="121" t="s">
        <v>609</v>
      </c>
      <c r="F364" s="122">
        <f>'Stavební rozpočet'!F520</f>
        <v>57.5</v>
      </c>
      <c r="G364" s="172"/>
      <c r="H364" s="122">
        <f t="shared" si="256"/>
        <v>0</v>
      </c>
      <c r="I364" s="122">
        <f t="shared" si="257"/>
        <v>0</v>
      </c>
      <c r="J364" s="122">
        <f t="shared" si="258"/>
        <v>0</v>
      </c>
      <c r="K364" s="122">
        <f>'Stavební rozpočet'!K520</f>
        <v>0</v>
      </c>
      <c r="L364" s="122">
        <f t="shared" si="259"/>
        <v>0</v>
      </c>
      <c r="M364" s="123" t="s">
        <v>622</v>
      </c>
      <c r="Z364" s="124">
        <f t="shared" si="260"/>
        <v>0</v>
      </c>
      <c r="AB364" s="124">
        <f t="shared" si="261"/>
        <v>0</v>
      </c>
      <c r="AC364" s="124">
        <f t="shared" si="262"/>
        <v>0</v>
      </c>
      <c r="AD364" s="124">
        <f t="shared" si="263"/>
        <v>0</v>
      </c>
      <c r="AE364" s="124">
        <f t="shared" si="264"/>
        <v>0</v>
      </c>
      <c r="AF364" s="124">
        <f t="shared" si="265"/>
        <v>0</v>
      </c>
      <c r="AG364" s="124">
        <f t="shared" si="266"/>
        <v>0</v>
      </c>
      <c r="AH364" s="124">
        <f t="shared" si="267"/>
        <v>0</v>
      </c>
      <c r="AI364" s="113" t="s">
        <v>60</v>
      </c>
      <c r="AJ364" s="122">
        <f t="shared" si="268"/>
        <v>0</v>
      </c>
      <c r="AK364" s="122">
        <f t="shared" si="269"/>
        <v>0</v>
      </c>
      <c r="AL364" s="122">
        <f t="shared" si="270"/>
        <v>0</v>
      </c>
      <c r="AN364" s="124">
        <v>15</v>
      </c>
      <c r="AO364" s="124">
        <f>G364*0.0743483984487449</f>
        <v>0</v>
      </c>
      <c r="AP364" s="124">
        <f>G364*(1-0.0743483984487449)</f>
        <v>0</v>
      </c>
      <c r="AQ364" s="123" t="s">
        <v>85</v>
      </c>
      <c r="AV364" s="124">
        <f t="shared" si="271"/>
        <v>0</v>
      </c>
      <c r="AW364" s="124">
        <f t="shared" si="272"/>
        <v>0</v>
      </c>
      <c r="AX364" s="124">
        <f t="shared" si="273"/>
        <v>0</v>
      </c>
      <c r="AY364" s="125" t="s">
        <v>1532</v>
      </c>
      <c r="AZ364" s="125" t="s">
        <v>1541</v>
      </c>
      <c r="BA364" s="113" t="s">
        <v>1542</v>
      </c>
      <c r="BC364" s="124">
        <f t="shared" si="274"/>
        <v>0</v>
      </c>
      <c r="BD364" s="124">
        <f t="shared" si="275"/>
        <v>0</v>
      </c>
      <c r="BE364" s="124">
        <v>0</v>
      </c>
      <c r="BF364" s="124">
        <f t="shared" si="276"/>
        <v>0</v>
      </c>
      <c r="BH364" s="122">
        <f t="shared" si="277"/>
        <v>0</v>
      </c>
      <c r="BI364" s="122">
        <f t="shared" si="278"/>
        <v>0</v>
      </c>
      <c r="BJ364" s="122">
        <f t="shared" si="279"/>
        <v>0</v>
      </c>
    </row>
    <row r="365" spans="1:62" s="174" customFormat="1" ht="12.75">
      <c r="A365" s="121" t="s">
        <v>799</v>
      </c>
      <c r="B365" s="121" t="s">
        <v>60</v>
      </c>
      <c r="C365" s="121" t="s">
        <v>1123</v>
      </c>
      <c r="D365" s="129" t="s">
        <v>1430</v>
      </c>
      <c r="E365" s="121" t="s">
        <v>606</v>
      </c>
      <c r="F365" s="122">
        <f>'Stavební rozpočet'!F521</f>
        <v>14</v>
      </c>
      <c r="G365" s="172"/>
      <c r="H365" s="122">
        <f t="shared" si="256"/>
        <v>0</v>
      </c>
      <c r="I365" s="122">
        <f t="shared" si="257"/>
        <v>0</v>
      </c>
      <c r="J365" s="122">
        <f t="shared" si="258"/>
        <v>0</v>
      </c>
      <c r="K365" s="122">
        <f>'Stavební rozpočet'!K521</f>
        <v>0</v>
      </c>
      <c r="L365" s="122">
        <f t="shared" si="259"/>
        <v>0</v>
      </c>
      <c r="M365" s="123" t="s">
        <v>622</v>
      </c>
      <c r="Z365" s="124">
        <f t="shared" si="260"/>
        <v>0</v>
      </c>
      <c r="AB365" s="124">
        <f t="shared" si="261"/>
        <v>0</v>
      </c>
      <c r="AC365" s="124">
        <f t="shared" si="262"/>
        <v>0</v>
      </c>
      <c r="AD365" s="124">
        <f t="shared" si="263"/>
        <v>0</v>
      </c>
      <c r="AE365" s="124">
        <f t="shared" si="264"/>
        <v>0</v>
      </c>
      <c r="AF365" s="124">
        <f t="shared" si="265"/>
        <v>0</v>
      </c>
      <c r="AG365" s="124">
        <f t="shared" si="266"/>
        <v>0</v>
      </c>
      <c r="AH365" s="124">
        <f t="shared" si="267"/>
        <v>0</v>
      </c>
      <c r="AI365" s="113" t="s">
        <v>60</v>
      </c>
      <c r="AJ365" s="122">
        <f t="shared" si="268"/>
        <v>0</v>
      </c>
      <c r="AK365" s="122">
        <f t="shared" si="269"/>
        <v>0</v>
      </c>
      <c r="AL365" s="122">
        <f t="shared" si="270"/>
        <v>0</v>
      </c>
      <c r="AN365" s="124">
        <v>15</v>
      </c>
      <c r="AO365" s="124">
        <f>G365*0.0272972972972973</f>
        <v>0</v>
      </c>
      <c r="AP365" s="124">
        <f>G365*(1-0.0272972972972973)</f>
        <v>0</v>
      </c>
      <c r="AQ365" s="123" t="s">
        <v>85</v>
      </c>
      <c r="AV365" s="124">
        <f t="shared" si="271"/>
        <v>0</v>
      </c>
      <c r="AW365" s="124">
        <f t="shared" si="272"/>
        <v>0</v>
      </c>
      <c r="AX365" s="124">
        <f t="shared" si="273"/>
        <v>0</v>
      </c>
      <c r="AY365" s="125" t="s">
        <v>1532</v>
      </c>
      <c r="AZ365" s="125" t="s">
        <v>1541</v>
      </c>
      <c r="BA365" s="113" t="s">
        <v>1542</v>
      </c>
      <c r="BC365" s="124">
        <f t="shared" si="274"/>
        <v>0</v>
      </c>
      <c r="BD365" s="124">
        <f t="shared" si="275"/>
        <v>0</v>
      </c>
      <c r="BE365" s="124">
        <v>0</v>
      </c>
      <c r="BF365" s="124">
        <f t="shared" si="276"/>
        <v>0</v>
      </c>
      <c r="BH365" s="122">
        <f t="shared" si="277"/>
        <v>0</v>
      </c>
      <c r="BI365" s="122">
        <f t="shared" si="278"/>
        <v>0</v>
      </c>
      <c r="BJ365" s="122">
        <f t="shared" si="279"/>
        <v>0</v>
      </c>
    </row>
    <row r="366" spans="1:62" s="174" customFormat="1" ht="12.75">
      <c r="A366" s="121" t="s">
        <v>800</v>
      </c>
      <c r="B366" s="121" t="s">
        <v>60</v>
      </c>
      <c r="C366" s="121" t="s">
        <v>1124</v>
      </c>
      <c r="D366" s="129" t="s">
        <v>1431</v>
      </c>
      <c r="E366" s="121" t="s">
        <v>606</v>
      </c>
      <c r="F366" s="122">
        <f>'Stavební rozpočet'!F522</f>
        <v>25</v>
      </c>
      <c r="G366" s="172"/>
      <c r="H366" s="122">
        <f t="shared" si="256"/>
        <v>0</v>
      </c>
      <c r="I366" s="122">
        <f t="shared" si="257"/>
        <v>0</v>
      </c>
      <c r="J366" s="122">
        <f t="shared" si="258"/>
        <v>0</v>
      </c>
      <c r="K366" s="122">
        <f>'Stavební rozpočet'!K522</f>
        <v>0</v>
      </c>
      <c r="L366" s="122">
        <f t="shared" si="259"/>
        <v>0</v>
      </c>
      <c r="M366" s="123" t="s">
        <v>622</v>
      </c>
      <c r="Z366" s="124">
        <f t="shared" si="260"/>
        <v>0</v>
      </c>
      <c r="AB366" s="124">
        <f t="shared" si="261"/>
        <v>0</v>
      </c>
      <c r="AC366" s="124">
        <f t="shared" si="262"/>
        <v>0</v>
      </c>
      <c r="AD366" s="124">
        <f t="shared" si="263"/>
        <v>0</v>
      </c>
      <c r="AE366" s="124">
        <f t="shared" si="264"/>
        <v>0</v>
      </c>
      <c r="AF366" s="124">
        <f t="shared" si="265"/>
        <v>0</v>
      </c>
      <c r="AG366" s="124">
        <f t="shared" si="266"/>
        <v>0</v>
      </c>
      <c r="AH366" s="124">
        <f t="shared" si="267"/>
        <v>0</v>
      </c>
      <c r="AI366" s="113" t="s">
        <v>60</v>
      </c>
      <c r="AJ366" s="122">
        <f t="shared" si="268"/>
        <v>0</v>
      </c>
      <c r="AK366" s="122">
        <f t="shared" si="269"/>
        <v>0</v>
      </c>
      <c r="AL366" s="122">
        <f t="shared" si="270"/>
        <v>0</v>
      </c>
      <c r="AN366" s="124">
        <v>15</v>
      </c>
      <c r="AO366" s="124">
        <f>G366*0.0878362842032651</f>
        <v>0</v>
      </c>
      <c r="AP366" s="124">
        <f>G366*(1-0.0878362842032651)</f>
        <v>0</v>
      </c>
      <c r="AQ366" s="123" t="s">
        <v>85</v>
      </c>
      <c r="AV366" s="124">
        <f t="shared" si="271"/>
        <v>0</v>
      </c>
      <c r="AW366" s="124">
        <f t="shared" si="272"/>
        <v>0</v>
      </c>
      <c r="AX366" s="124">
        <f t="shared" si="273"/>
        <v>0</v>
      </c>
      <c r="AY366" s="125" t="s">
        <v>1532</v>
      </c>
      <c r="AZ366" s="125" t="s">
        <v>1541</v>
      </c>
      <c r="BA366" s="113" t="s">
        <v>1542</v>
      </c>
      <c r="BC366" s="124">
        <f t="shared" si="274"/>
        <v>0</v>
      </c>
      <c r="BD366" s="124">
        <f t="shared" si="275"/>
        <v>0</v>
      </c>
      <c r="BE366" s="124">
        <v>0</v>
      </c>
      <c r="BF366" s="124">
        <f t="shared" si="276"/>
        <v>0</v>
      </c>
      <c r="BH366" s="122">
        <f t="shared" si="277"/>
        <v>0</v>
      </c>
      <c r="BI366" s="122">
        <f t="shared" si="278"/>
        <v>0</v>
      </c>
      <c r="BJ366" s="122">
        <f t="shared" si="279"/>
        <v>0</v>
      </c>
    </row>
    <row r="367" spans="1:62" s="174" customFormat="1" ht="12.75">
      <c r="A367" s="121" t="s">
        <v>801</v>
      </c>
      <c r="B367" s="121" t="s">
        <v>60</v>
      </c>
      <c r="C367" s="121" t="s">
        <v>1125</v>
      </c>
      <c r="D367" s="129" t="s">
        <v>1432</v>
      </c>
      <c r="E367" s="121" t="s">
        <v>609</v>
      </c>
      <c r="F367" s="122">
        <f>'Stavební rozpočet'!F523</f>
        <v>46.4</v>
      </c>
      <c r="G367" s="172"/>
      <c r="H367" s="122">
        <f t="shared" si="256"/>
        <v>0</v>
      </c>
      <c r="I367" s="122">
        <f t="shared" si="257"/>
        <v>0</v>
      </c>
      <c r="J367" s="122">
        <f t="shared" si="258"/>
        <v>0</v>
      </c>
      <c r="K367" s="122">
        <f>'Stavební rozpočet'!K523</f>
        <v>0</v>
      </c>
      <c r="L367" s="122">
        <f t="shared" si="259"/>
        <v>0</v>
      </c>
      <c r="M367" s="123" t="s">
        <v>622</v>
      </c>
      <c r="Z367" s="124">
        <f t="shared" si="260"/>
        <v>0</v>
      </c>
      <c r="AB367" s="124">
        <f t="shared" si="261"/>
        <v>0</v>
      </c>
      <c r="AC367" s="124">
        <f t="shared" si="262"/>
        <v>0</v>
      </c>
      <c r="AD367" s="124">
        <f t="shared" si="263"/>
        <v>0</v>
      </c>
      <c r="AE367" s="124">
        <f t="shared" si="264"/>
        <v>0</v>
      </c>
      <c r="AF367" s="124">
        <f t="shared" si="265"/>
        <v>0</v>
      </c>
      <c r="AG367" s="124">
        <f t="shared" si="266"/>
        <v>0</v>
      </c>
      <c r="AH367" s="124">
        <f t="shared" si="267"/>
        <v>0</v>
      </c>
      <c r="AI367" s="113" t="s">
        <v>60</v>
      </c>
      <c r="AJ367" s="122">
        <f t="shared" si="268"/>
        <v>0</v>
      </c>
      <c r="AK367" s="122">
        <f t="shared" si="269"/>
        <v>0</v>
      </c>
      <c r="AL367" s="122">
        <f t="shared" si="270"/>
        <v>0</v>
      </c>
      <c r="AN367" s="124">
        <v>15</v>
      </c>
      <c r="AO367" s="124">
        <f>G367*0</f>
        <v>0</v>
      </c>
      <c r="AP367" s="124">
        <f>G367*(1-0)</f>
        <v>0</v>
      </c>
      <c r="AQ367" s="123" t="s">
        <v>85</v>
      </c>
      <c r="AV367" s="124">
        <f t="shared" si="271"/>
        <v>0</v>
      </c>
      <c r="AW367" s="124">
        <f t="shared" si="272"/>
        <v>0</v>
      </c>
      <c r="AX367" s="124">
        <f t="shared" si="273"/>
        <v>0</v>
      </c>
      <c r="AY367" s="125" t="s">
        <v>1532</v>
      </c>
      <c r="AZ367" s="125" t="s">
        <v>1541</v>
      </c>
      <c r="BA367" s="113" t="s">
        <v>1542</v>
      </c>
      <c r="BC367" s="124">
        <f t="shared" si="274"/>
        <v>0</v>
      </c>
      <c r="BD367" s="124">
        <f t="shared" si="275"/>
        <v>0</v>
      </c>
      <c r="BE367" s="124">
        <v>0</v>
      </c>
      <c r="BF367" s="124">
        <f t="shared" si="276"/>
        <v>0</v>
      </c>
      <c r="BH367" s="122">
        <f t="shared" si="277"/>
        <v>0</v>
      </c>
      <c r="BI367" s="122">
        <f t="shared" si="278"/>
        <v>0</v>
      </c>
      <c r="BJ367" s="122">
        <f t="shared" si="279"/>
        <v>0</v>
      </c>
    </row>
    <row r="368" spans="1:62" s="174" customFormat="1" ht="12.75">
      <c r="A368" s="126" t="s">
        <v>802</v>
      </c>
      <c r="B368" s="126" t="s">
        <v>60</v>
      </c>
      <c r="C368" s="126" t="s">
        <v>1126</v>
      </c>
      <c r="D368" s="137" t="s">
        <v>1433</v>
      </c>
      <c r="E368" s="126" t="s">
        <v>609</v>
      </c>
      <c r="F368" s="127">
        <f>'Stavební rozpočet'!F524</f>
        <v>48.72</v>
      </c>
      <c r="G368" s="176"/>
      <c r="H368" s="127">
        <f t="shared" si="256"/>
        <v>0</v>
      </c>
      <c r="I368" s="127">
        <f t="shared" si="257"/>
        <v>0</v>
      </c>
      <c r="J368" s="127">
        <f t="shared" si="258"/>
        <v>0</v>
      </c>
      <c r="K368" s="127">
        <f>'Stavební rozpočet'!K524</f>
        <v>0.00129</v>
      </c>
      <c r="L368" s="127">
        <f t="shared" si="259"/>
        <v>0.0628488</v>
      </c>
      <c r="M368" s="128" t="s">
        <v>622</v>
      </c>
      <c r="Z368" s="124">
        <f t="shared" si="260"/>
        <v>0</v>
      </c>
      <c r="AB368" s="124">
        <f t="shared" si="261"/>
        <v>0</v>
      </c>
      <c r="AC368" s="124">
        <f t="shared" si="262"/>
        <v>0</v>
      </c>
      <c r="AD368" s="124">
        <f t="shared" si="263"/>
        <v>0</v>
      </c>
      <c r="AE368" s="124">
        <f t="shared" si="264"/>
        <v>0</v>
      </c>
      <c r="AF368" s="124">
        <f t="shared" si="265"/>
        <v>0</v>
      </c>
      <c r="AG368" s="124">
        <f t="shared" si="266"/>
        <v>0</v>
      </c>
      <c r="AH368" s="124">
        <f t="shared" si="267"/>
        <v>0</v>
      </c>
      <c r="AI368" s="113" t="s">
        <v>60</v>
      </c>
      <c r="AJ368" s="127">
        <f t="shared" si="268"/>
        <v>0</v>
      </c>
      <c r="AK368" s="127">
        <f t="shared" si="269"/>
        <v>0</v>
      </c>
      <c r="AL368" s="127">
        <f t="shared" si="270"/>
        <v>0</v>
      </c>
      <c r="AN368" s="124">
        <v>15</v>
      </c>
      <c r="AO368" s="124">
        <f>G368*1</f>
        <v>0</v>
      </c>
      <c r="AP368" s="124">
        <f>G368*(1-1)</f>
        <v>0</v>
      </c>
      <c r="AQ368" s="128" t="s">
        <v>85</v>
      </c>
      <c r="AV368" s="124">
        <f t="shared" si="271"/>
        <v>0</v>
      </c>
      <c r="AW368" s="124">
        <f t="shared" si="272"/>
        <v>0</v>
      </c>
      <c r="AX368" s="124">
        <f t="shared" si="273"/>
        <v>0</v>
      </c>
      <c r="AY368" s="125" t="s">
        <v>1532</v>
      </c>
      <c r="AZ368" s="125" t="s">
        <v>1541</v>
      </c>
      <c r="BA368" s="113" t="s">
        <v>1542</v>
      </c>
      <c r="BC368" s="124">
        <f t="shared" si="274"/>
        <v>0</v>
      </c>
      <c r="BD368" s="124">
        <f t="shared" si="275"/>
        <v>0</v>
      </c>
      <c r="BE368" s="124">
        <v>0</v>
      </c>
      <c r="BF368" s="124">
        <f t="shared" si="276"/>
        <v>0.0628488</v>
      </c>
      <c r="BH368" s="127">
        <f t="shared" si="277"/>
        <v>0</v>
      </c>
      <c r="BI368" s="127">
        <f t="shared" si="278"/>
        <v>0</v>
      </c>
      <c r="BJ368" s="127">
        <f t="shared" si="279"/>
        <v>0</v>
      </c>
    </row>
    <row r="369" spans="1:62" s="174" customFormat="1" ht="12.75">
      <c r="A369" s="121" t="s">
        <v>803</v>
      </c>
      <c r="B369" s="121" t="s">
        <v>60</v>
      </c>
      <c r="C369" s="121" t="s">
        <v>1127</v>
      </c>
      <c r="D369" s="129" t="s">
        <v>1434</v>
      </c>
      <c r="E369" s="121" t="s">
        <v>609</v>
      </c>
      <c r="F369" s="122">
        <f>'Stavební rozpočet'!F525</f>
        <v>3.4</v>
      </c>
      <c r="G369" s="172"/>
      <c r="H369" s="122">
        <f t="shared" si="256"/>
        <v>0</v>
      </c>
      <c r="I369" s="122">
        <f t="shared" si="257"/>
        <v>0</v>
      </c>
      <c r="J369" s="122">
        <f t="shared" si="258"/>
        <v>0</v>
      </c>
      <c r="K369" s="122">
        <f>'Stavební rozpočet'!K525</f>
        <v>0</v>
      </c>
      <c r="L369" s="122">
        <f t="shared" si="259"/>
        <v>0</v>
      </c>
      <c r="M369" s="123" t="s">
        <v>622</v>
      </c>
      <c r="Z369" s="124">
        <f t="shared" si="260"/>
        <v>0</v>
      </c>
      <c r="AB369" s="124">
        <f t="shared" si="261"/>
        <v>0</v>
      </c>
      <c r="AC369" s="124">
        <f t="shared" si="262"/>
        <v>0</v>
      </c>
      <c r="AD369" s="124">
        <f t="shared" si="263"/>
        <v>0</v>
      </c>
      <c r="AE369" s="124">
        <f t="shared" si="264"/>
        <v>0</v>
      </c>
      <c r="AF369" s="124">
        <f t="shared" si="265"/>
        <v>0</v>
      </c>
      <c r="AG369" s="124">
        <f t="shared" si="266"/>
        <v>0</v>
      </c>
      <c r="AH369" s="124">
        <f t="shared" si="267"/>
        <v>0</v>
      </c>
      <c r="AI369" s="113" t="s">
        <v>60</v>
      </c>
      <c r="AJ369" s="122">
        <f t="shared" si="268"/>
        <v>0</v>
      </c>
      <c r="AK369" s="122">
        <f t="shared" si="269"/>
        <v>0</v>
      </c>
      <c r="AL369" s="122">
        <f t="shared" si="270"/>
        <v>0</v>
      </c>
      <c r="AN369" s="124">
        <v>15</v>
      </c>
      <c r="AO369" s="124">
        <f>G369*0</f>
        <v>0</v>
      </c>
      <c r="AP369" s="124">
        <f>G369*(1-0)</f>
        <v>0</v>
      </c>
      <c r="AQ369" s="123" t="s">
        <v>85</v>
      </c>
      <c r="AV369" s="124">
        <f t="shared" si="271"/>
        <v>0</v>
      </c>
      <c r="AW369" s="124">
        <f t="shared" si="272"/>
        <v>0</v>
      </c>
      <c r="AX369" s="124">
        <f t="shared" si="273"/>
        <v>0</v>
      </c>
      <c r="AY369" s="125" t="s">
        <v>1532</v>
      </c>
      <c r="AZ369" s="125" t="s">
        <v>1541</v>
      </c>
      <c r="BA369" s="113" t="s">
        <v>1542</v>
      </c>
      <c r="BC369" s="124">
        <f t="shared" si="274"/>
        <v>0</v>
      </c>
      <c r="BD369" s="124">
        <f t="shared" si="275"/>
        <v>0</v>
      </c>
      <c r="BE369" s="124">
        <v>0</v>
      </c>
      <c r="BF369" s="124">
        <f t="shared" si="276"/>
        <v>0</v>
      </c>
      <c r="BH369" s="122">
        <f t="shared" si="277"/>
        <v>0</v>
      </c>
      <c r="BI369" s="122">
        <f t="shared" si="278"/>
        <v>0</v>
      </c>
      <c r="BJ369" s="122">
        <f t="shared" si="279"/>
        <v>0</v>
      </c>
    </row>
    <row r="370" spans="1:62" s="174" customFormat="1" ht="12.75">
      <c r="A370" s="126" t="s">
        <v>804</v>
      </c>
      <c r="B370" s="126" t="s">
        <v>60</v>
      </c>
      <c r="C370" s="126" t="s">
        <v>1128</v>
      </c>
      <c r="D370" s="137" t="s">
        <v>1435</v>
      </c>
      <c r="E370" s="126" t="s">
        <v>608</v>
      </c>
      <c r="F370" s="127">
        <f>'Stavební rozpočet'!F526</f>
        <v>0.43</v>
      </c>
      <c r="G370" s="176"/>
      <c r="H370" s="127">
        <f t="shared" si="256"/>
        <v>0</v>
      </c>
      <c r="I370" s="127">
        <f t="shared" si="257"/>
        <v>0</v>
      </c>
      <c r="J370" s="127">
        <f t="shared" si="258"/>
        <v>0</v>
      </c>
      <c r="K370" s="127">
        <f>'Stavební rozpočet'!K526</f>
        <v>0.0122</v>
      </c>
      <c r="L370" s="127">
        <f t="shared" si="259"/>
        <v>0.005246000000000001</v>
      </c>
      <c r="M370" s="128" t="s">
        <v>622</v>
      </c>
      <c r="Z370" s="124">
        <f t="shared" si="260"/>
        <v>0</v>
      </c>
      <c r="AB370" s="124">
        <f t="shared" si="261"/>
        <v>0</v>
      </c>
      <c r="AC370" s="124">
        <f t="shared" si="262"/>
        <v>0</v>
      </c>
      <c r="AD370" s="124">
        <f t="shared" si="263"/>
        <v>0</v>
      </c>
      <c r="AE370" s="124">
        <f t="shared" si="264"/>
        <v>0</v>
      </c>
      <c r="AF370" s="124">
        <f t="shared" si="265"/>
        <v>0</v>
      </c>
      <c r="AG370" s="124">
        <f t="shared" si="266"/>
        <v>0</v>
      </c>
      <c r="AH370" s="124">
        <f t="shared" si="267"/>
        <v>0</v>
      </c>
      <c r="AI370" s="113" t="s">
        <v>60</v>
      </c>
      <c r="AJ370" s="127">
        <f t="shared" si="268"/>
        <v>0</v>
      </c>
      <c r="AK370" s="127">
        <f t="shared" si="269"/>
        <v>0</v>
      </c>
      <c r="AL370" s="127">
        <f t="shared" si="270"/>
        <v>0</v>
      </c>
      <c r="AN370" s="124">
        <v>15</v>
      </c>
      <c r="AO370" s="124">
        <f>G370*1</f>
        <v>0</v>
      </c>
      <c r="AP370" s="124">
        <f>G370*(1-1)</f>
        <v>0</v>
      </c>
      <c r="AQ370" s="128" t="s">
        <v>85</v>
      </c>
      <c r="AV370" s="124">
        <f t="shared" si="271"/>
        <v>0</v>
      </c>
      <c r="AW370" s="124">
        <f t="shared" si="272"/>
        <v>0</v>
      </c>
      <c r="AX370" s="124">
        <f t="shared" si="273"/>
        <v>0</v>
      </c>
      <c r="AY370" s="125" t="s">
        <v>1532</v>
      </c>
      <c r="AZ370" s="125" t="s">
        <v>1541</v>
      </c>
      <c r="BA370" s="113" t="s">
        <v>1542</v>
      </c>
      <c r="BC370" s="124">
        <f t="shared" si="274"/>
        <v>0</v>
      </c>
      <c r="BD370" s="124">
        <f t="shared" si="275"/>
        <v>0</v>
      </c>
      <c r="BE370" s="124">
        <v>0</v>
      </c>
      <c r="BF370" s="124">
        <f t="shared" si="276"/>
        <v>0.005246000000000001</v>
      </c>
      <c r="BH370" s="127">
        <f t="shared" si="277"/>
        <v>0</v>
      </c>
      <c r="BI370" s="127">
        <f t="shared" si="278"/>
        <v>0</v>
      </c>
      <c r="BJ370" s="127">
        <f t="shared" si="279"/>
        <v>0</v>
      </c>
    </row>
    <row r="371" spans="1:62" s="174" customFormat="1" ht="12.75">
      <c r="A371" s="121" t="s">
        <v>805</v>
      </c>
      <c r="B371" s="121" t="s">
        <v>60</v>
      </c>
      <c r="C371" s="121" t="s">
        <v>1129</v>
      </c>
      <c r="D371" s="129" t="s">
        <v>1436</v>
      </c>
      <c r="E371" s="121" t="s">
        <v>609</v>
      </c>
      <c r="F371" s="122">
        <f>'Stavební rozpočet'!F527</f>
        <v>7.7</v>
      </c>
      <c r="G371" s="172"/>
      <c r="H371" s="122">
        <f t="shared" si="256"/>
        <v>0</v>
      </c>
      <c r="I371" s="122">
        <f t="shared" si="257"/>
        <v>0</v>
      </c>
      <c r="J371" s="122">
        <f t="shared" si="258"/>
        <v>0</v>
      </c>
      <c r="K371" s="122">
        <f>'Stavební rozpočet'!K527</f>
        <v>0</v>
      </c>
      <c r="L371" s="122">
        <f t="shared" si="259"/>
        <v>0</v>
      </c>
      <c r="M371" s="123" t="s">
        <v>622</v>
      </c>
      <c r="Z371" s="124">
        <f t="shared" si="260"/>
        <v>0</v>
      </c>
      <c r="AB371" s="124">
        <f t="shared" si="261"/>
        <v>0</v>
      </c>
      <c r="AC371" s="124">
        <f t="shared" si="262"/>
        <v>0</v>
      </c>
      <c r="AD371" s="124">
        <f t="shared" si="263"/>
        <v>0</v>
      </c>
      <c r="AE371" s="124">
        <f t="shared" si="264"/>
        <v>0</v>
      </c>
      <c r="AF371" s="124">
        <f t="shared" si="265"/>
        <v>0</v>
      </c>
      <c r="AG371" s="124">
        <f t="shared" si="266"/>
        <v>0</v>
      </c>
      <c r="AH371" s="124">
        <f t="shared" si="267"/>
        <v>0</v>
      </c>
      <c r="AI371" s="113" t="s">
        <v>60</v>
      </c>
      <c r="AJ371" s="122">
        <f t="shared" si="268"/>
        <v>0</v>
      </c>
      <c r="AK371" s="122">
        <f t="shared" si="269"/>
        <v>0</v>
      </c>
      <c r="AL371" s="122">
        <f t="shared" si="270"/>
        <v>0</v>
      </c>
      <c r="AN371" s="124">
        <v>15</v>
      </c>
      <c r="AO371" s="124">
        <f>G371*0</f>
        <v>0</v>
      </c>
      <c r="AP371" s="124">
        <f>G371*(1-0)</f>
        <v>0</v>
      </c>
      <c r="AQ371" s="123" t="s">
        <v>85</v>
      </c>
      <c r="AV371" s="124">
        <f t="shared" si="271"/>
        <v>0</v>
      </c>
      <c r="AW371" s="124">
        <f t="shared" si="272"/>
        <v>0</v>
      </c>
      <c r="AX371" s="124">
        <f t="shared" si="273"/>
        <v>0</v>
      </c>
      <c r="AY371" s="125" t="s">
        <v>1532</v>
      </c>
      <c r="AZ371" s="125" t="s">
        <v>1541</v>
      </c>
      <c r="BA371" s="113" t="s">
        <v>1542</v>
      </c>
      <c r="BC371" s="124">
        <f t="shared" si="274"/>
        <v>0</v>
      </c>
      <c r="BD371" s="124">
        <f t="shared" si="275"/>
        <v>0</v>
      </c>
      <c r="BE371" s="124">
        <v>0</v>
      </c>
      <c r="BF371" s="124">
        <f t="shared" si="276"/>
        <v>0</v>
      </c>
      <c r="BH371" s="122">
        <f t="shared" si="277"/>
        <v>0</v>
      </c>
      <c r="BI371" s="122">
        <f t="shared" si="278"/>
        <v>0</v>
      </c>
      <c r="BJ371" s="122">
        <f t="shared" si="279"/>
        <v>0</v>
      </c>
    </row>
    <row r="372" spans="1:62" s="174" customFormat="1" ht="12.75">
      <c r="A372" s="126" t="s">
        <v>806</v>
      </c>
      <c r="B372" s="126" t="s">
        <v>60</v>
      </c>
      <c r="C372" s="126" t="s">
        <v>1128</v>
      </c>
      <c r="D372" s="137" t="s">
        <v>1435</v>
      </c>
      <c r="E372" s="126" t="s">
        <v>608</v>
      </c>
      <c r="F372" s="127">
        <f>'Stavební rozpočet'!F528</f>
        <v>1.62</v>
      </c>
      <c r="G372" s="176"/>
      <c r="H372" s="127">
        <f t="shared" si="256"/>
        <v>0</v>
      </c>
      <c r="I372" s="127">
        <f t="shared" si="257"/>
        <v>0</v>
      </c>
      <c r="J372" s="127">
        <f t="shared" si="258"/>
        <v>0</v>
      </c>
      <c r="K372" s="127">
        <f>'Stavební rozpočet'!K528</f>
        <v>0.0122</v>
      </c>
      <c r="L372" s="127">
        <f t="shared" si="259"/>
        <v>0.019764000000000004</v>
      </c>
      <c r="M372" s="128" t="s">
        <v>622</v>
      </c>
      <c r="Z372" s="124">
        <f t="shared" si="260"/>
        <v>0</v>
      </c>
      <c r="AB372" s="124">
        <f t="shared" si="261"/>
        <v>0</v>
      </c>
      <c r="AC372" s="124">
        <f t="shared" si="262"/>
        <v>0</v>
      </c>
      <c r="AD372" s="124">
        <f t="shared" si="263"/>
        <v>0</v>
      </c>
      <c r="AE372" s="124">
        <f t="shared" si="264"/>
        <v>0</v>
      </c>
      <c r="AF372" s="124">
        <f t="shared" si="265"/>
        <v>0</v>
      </c>
      <c r="AG372" s="124">
        <f t="shared" si="266"/>
        <v>0</v>
      </c>
      <c r="AH372" s="124">
        <f t="shared" si="267"/>
        <v>0</v>
      </c>
      <c r="AI372" s="113" t="s">
        <v>60</v>
      </c>
      <c r="AJ372" s="127">
        <f t="shared" si="268"/>
        <v>0</v>
      </c>
      <c r="AK372" s="127">
        <f t="shared" si="269"/>
        <v>0</v>
      </c>
      <c r="AL372" s="127">
        <f t="shared" si="270"/>
        <v>0</v>
      </c>
      <c r="AN372" s="124">
        <v>15</v>
      </c>
      <c r="AO372" s="124">
        <f>G372*1</f>
        <v>0</v>
      </c>
      <c r="AP372" s="124">
        <f>G372*(1-1)</f>
        <v>0</v>
      </c>
      <c r="AQ372" s="128" t="s">
        <v>85</v>
      </c>
      <c r="AV372" s="124">
        <f t="shared" si="271"/>
        <v>0</v>
      </c>
      <c r="AW372" s="124">
        <f t="shared" si="272"/>
        <v>0</v>
      </c>
      <c r="AX372" s="124">
        <f t="shared" si="273"/>
        <v>0</v>
      </c>
      <c r="AY372" s="125" t="s">
        <v>1532</v>
      </c>
      <c r="AZ372" s="125" t="s">
        <v>1541</v>
      </c>
      <c r="BA372" s="113" t="s">
        <v>1542</v>
      </c>
      <c r="BC372" s="124">
        <f t="shared" si="274"/>
        <v>0</v>
      </c>
      <c r="BD372" s="124">
        <f t="shared" si="275"/>
        <v>0</v>
      </c>
      <c r="BE372" s="124">
        <v>0</v>
      </c>
      <c r="BF372" s="124">
        <f t="shared" si="276"/>
        <v>0.019764000000000004</v>
      </c>
      <c r="BH372" s="127">
        <f t="shared" si="277"/>
        <v>0</v>
      </c>
      <c r="BI372" s="127">
        <f t="shared" si="278"/>
        <v>0</v>
      </c>
      <c r="BJ372" s="127">
        <f t="shared" si="279"/>
        <v>0</v>
      </c>
    </row>
    <row r="373" spans="1:62" s="174" customFormat="1" ht="12.75">
      <c r="A373" s="121" t="s">
        <v>807</v>
      </c>
      <c r="B373" s="121" t="s">
        <v>60</v>
      </c>
      <c r="C373" s="121" t="s">
        <v>1130</v>
      </c>
      <c r="D373" s="129" t="s">
        <v>1437</v>
      </c>
      <c r="E373" s="121" t="s">
        <v>608</v>
      </c>
      <c r="F373" s="122">
        <f>'Stavební rozpočet'!F529</f>
        <v>94.84</v>
      </c>
      <c r="G373" s="172"/>
      <c r="H373" s="122">
        <f t="shared" si="256"/>
        <v>0</v>
      </c>
      <c r="I373" s="122">
        <f t="shared" si="257"/>
        <v>0</v>
      </c>
      <c r="J373" s="122">
        <f t="shared" si="258"/>
        <v>0</v>
      </c>
      <c r="K373" s="122">
        <f>'Stavební rozpočet'!K529</f>
        <v>0.00487</v>
      </c>
      <c r="L373" s="122">
        <f t="shared" si="259"/>
        <v>0.4618708</v>
      </c>
      <c r="M373" s="123" t="s">
        <v>622</v>
      </c>
      <c r="Z373" s="124">
        <f t="shared" si="260"/>
        <v>0</v>
      </c>
      <c r="AB373" s="124">
        <f t="shared" si="261"/>
        <v>0</v>
      </c>
      <c r="AC373" s="124">
        <f t="shared" si="262"/>
        <v>0</v>
      </c>
      <c r="AD373" s="124">
        <f t="shared" si="263"/>
        <v>0</v>
      </c>
      <c r="AE373" s="124">
        <f t="shared" si="264"/>
        <v>0</v>
      </c>
      <c r="AF373" s="124">
        <f t="shared" si="265"/>
        <v>0</v>
      </c>
      <c r="AG373" s="124">
        <f t="shared" si="266"/>
        <v>0</v>
      </c>
      <c r="AH373" s="124">
        <f t="shared" si="267"/>
        <v>0</v>
      </c>
      <c r="AI373" s="113" t="s">
        <v>60</v>
      </c>
      <c r="AJ373" s="122">
        <f t="shared" si="268"/>
        <v>0</v>
      </c>
      <c r="AK373" s="122">
        <f t="shared" si="269"/>
        <v>0</v>
      </c>
      <c r="AL373" s="122">
        <f t="shared" si="270"/>
        <v>0</v>
      </c>
      <c r="AN373" s="124">
        <v>15</v>
      </c>
      <c r="AO373" s="124">
        <f>G373*0.143831454029162</f>
        <v>0</v>
      </c>
      <c r="AP373" s="124">
        <f>G373*(1-0.143831454029162)</f>
        <v>0</v>
      </c>
      <c r="AQ373" s="123" t="s">
        <v>85</v>
      </c>
      <c r="AV373" s="124">
        <f t="shared" si="271"/>
        <v>0</v>
      </c>
      <c r="AW373" s="124">
        <f t="shared" si="272"/>
        <v>0</v>
      </c>
      <c r="AX373" s="124">
        <f t="shared" si="273"/>
        <v>0</v>
      </c>
      <c r="AY373" s="125" t="s">
        <v>1532</v>
      </c>
      <c r="AZ373" s="125" t="s">
        <v>1541</v>
      </c>
      <c r="BA373" s="113" t="s">
        <v>1542</v>
      </c>
      <c r="BC373" s="124">
        <f t="shared" si="274"/>
        <v>0</v>
      </c>
      <c r="BD373" s="124">
        <f t="shared" si="275"/>
        <v>0</v>
      </c>
      <c r="BE373" s="124">
        <v>0</v>
      </c>
      <c r="BF373" s="124">
        <f t="shared" si="276"/>
        <v>0.4618708</v>
      </c>
      <c r="BH373" s="122">
        <f t="shared" si="277"/>
        <v>0</v>
      </c>
      <c r="BI373" s="122">
        <f t="shared" si="278"/>
        <v>0</v>
      </c>
      <c r="BJ373" s="122">
        <f t="shared" si="279"/>
        <v>0</v>
      </c>
    </row>
    <row r="374" spans="1:62" s="174" customFormat="1" ht="12.75">
      <c r="A374" s="126" t="s">
        <v>808</v>
      </c>
      <c r="B374" s="126" t="s">
        <v>60</v>
      </c>
      <c r="C374" s="126" t="s">
        <v>1128</v>
      </c>
      <c r="D374" s="137" t="s">
        <v>1435</v>
      </c>
      <c r="E374" s="126" t="s">
        <v>608</v>
      </c>
      <c r="F374" s="127">
        <f>'Stavební rozpočet'!F530</f>
        <v>99.59</v>
      </c>
      <c r="G374" s="176"/>
      <c r="H374" s="127">
        <f t="shared" si="256"/>
        <v>0</v>
      </c>
      <c r="I374" s="127">
        <f t="shared" si="257"/>
        <v>0</v>
      </c>
      <c r="J374" s="127">
        <f t="shared" si="258"/>
        <v>0</v>
      </c>
      <c r="K374" s="127">
        <f>'Stavební rozpočet'!K530</f>
        <v>0.0122</v>
      </c>
      <c r="L374" s="127">
        <f t="shared" si="259"/>
        <v>1.214998</v>
      </c>
      <c r="M374" s="128" t="s">
        <v>622</v>
      </c>
      <c r="Z374" s="124">
        <f t="shared" si="260"/>
        <v>0</v>
      </c>
      <c r="AB374" s="124">
        <f t="shared" si="261"/>
        <v>0</v>
      </c>
      <c r="AC374" s="124">
        <f t="shared" si="262"/>
        <v>0</v>
      </c>
      <c r="AD374" s="124">
        <f t="shared" si="263"/>
        <v>0</v>
      </c>
      <c r="AE374" s="124">
        <f t="shared" si="264"/>
        <v>0</v>
      </c>
      <c r="AF374" s="124">
        <f t="shared" si="265"/>
        <v>0</v>
      </c>
      <c r="AG374" s="124">
        <f t="shared" si="266"/>
        <v>0</v>
      </c>
      <c r="AH374" s="124">
        <f t="shared" si="267"/>
        <v>0</v>
      </c>
      <c r="AI374" s="113" t="s">
        <v>60</v>
      </c>
      <c r="AJ374" s="127">
        <f t="shared" si="268"/>
        <v>0</v>
      </c>
      <c r="AK374" s="127">
        <f t="shared" si="269"/>
        <v>0</v>
      </c>
      <c r="AL374" s="127">
        <f t="shared" si="270"/>
        <v>0</v>
      </c>
      <c r="AN374" s="124">
        <v>15</v>
      </c>
      <c r="AO374" s="124">
        <f>G374*1</f>
        <v>0</v>
      </c>
      <c r="AP374" s="124">
        <f>G374*(1-1)</f>
        <v>0</v>
      </c>
      <c r="AQ374" s="128" t="s">
        <v>85</v>
      </c>
      <c r="AV374" s="124">
        <f t="shared" si="271"/>
        <v>0</v>
      </c>
      <c r="AW374" s="124">
        <f t="shared" si="272"/>
        <v>0</v>
      </c>
      <c r="AX374" s="124">
        <f t="shared" si="273"/>
        <v>0</v>
      </c>
      <c r="AY374" s="125" t="s">
        <v>1532</v>
      </c>
      <c r="AZ374" s="125" t="s">
        <v>1541</v>
      </c>
      <c r="BA374" s="113" t="s">
        <v>1542</v>
      </c>
      <c r="BC374" s="124">
        <f t="shared" si="274"/>
        <v>0</v>
      </c>
      <c r="BD374" s="124">
        <f t="shared" si="275"/>
        <v>0</v>
      </c>
      <c r="BE374" s="124">
        <v>0</v>
      </c>
      <c r="BF374" s="124">
        <f t="shared" si="276"/>
        <v>1.214998</v>
      </c>
      <c r="BH374" s="127">
        <f t="shared" si="277"/>
        <v>0</v>
      </c>
      <c r="BI374" s="127">
        <f t="shared" si="278"/>
        <v>0</v>
      </c>
      <c r="BJ374" s="127">
        <f t="shared" si="279"/>
        <v>0</v>
      </c>
    </row>
    <row r="375" spans="1:62" s="174" customFormat="1" ht="12.75">
      <c r="A375" s="121" t="s">
        <v>809</v>
      </c>
      <c r="B375" s="121" t="s">
        <v>60</v>
      </c>
      <c r="C375" s="121" t="s">
        <v>1131</v>
      </c>
      <c r="D375" s="129" t="s">
        <v>1438</v>
      </c>
      <c r="E375" s="121" t="s">
        <v>608</v>
      </c>
      <c r="F375" s="122">
        <f>'Stavební rozpočet'!F531</f>
        <v>96.72</v>
      </c>
      <c r="G375" s="172"/>
      <c r="H375" s="122">
        <f t="shared" si="256"/>
        <v>0</v>
      </c>
      <c r="I375" s="122">
        <f t="shared" si="257"/>
        <v>0</v>
      </c>
      <c r="J375" s="122">
        <f t="shared" si="258"/>
        <v>0</v>
      </c>
      <c r="K375" s="122">
        <f>'Stavební rozpočet'!K531</f>
        <v>0.00011</v>
      </c>
      <c r="L375" s="122">
        <f t="shared" si="259"/>
        <v>0.0106392</v>
      </c>
      <c r="M375" s="123" t="s">
        <v>622</v>
      </c>
      <c r="Z375" s="124">
        <f t="shared" si="260"/>
        <v>0</v>
      </c>
      <c r="AB375" s="124">
        <f t="shared" si="261"/>
        <v>0</v>
      </c>
      <c r="AC375" s="124">
        <f t="shared" si="262"/>
        <v>0</v>
      </c>
      <c r="AD375" s="124">
        <f t="shared" si="263"/>
        <v>0</v>
      </c>
      <c r="AE375" s="124">
        <f t="shared" si="264"/>
        <v>0</v>
      </c>
      <c r="AF375" s="124">
        <f t="shared" si="265"/>
        <v>0</v>
      </c>
      <c r="AG375" s="124">
        <f t="shared" si="266"/>
        <v>0</v>
      </c>
      <c r="AH375" s="124">
        <f t="shared" si="267"/>
        <v>0</v>
      </c>
      <c r="AI375" s="113" t="s">
        <v>60</v>
      </c>
      <c r="AJ375" s="122">
        <f t="shared" si="268"/>
        <v>0</v>
      </c>
      <c r="AK375" s="122">
        <f t="shared" si="269"/>
        <v>0</v>
      </c>
      <c r="AL375" s="122">
        <f t="shared" si="270"/>
        <v>0</v>
      </c>
      <c r="AN375" s="124">
        <v>15</v>
      </c>
      <c r="AO375" s="124">
        <f>G375*1.00000071536683</f>
        <v>0</v>
      </c>
      <c r="AP375" s="124">
        <f>G375*(1-1.00000071536683)</f>
        <v>0</v>
      </c>
      <c r="AQ375" s="123" t="s">
        <v>85</v>
      </c>
      <c r="AV375" s="124">
        <f t="shared" si="271"/>
        <v>0</v>
      </c>
      <c r="AW375" s="124">
        <f t="shared" si="272"/>
        <v>0</v>
      </c>
      <c r="AX375" s="124">
        <f t="shared" si="273"/>
        <v>0</v>
      </c>
      <c r="AY375" s="125" t="s">
        <v>1532</v>
      </c>
      <c r="AZ375" s="125" t="s">
        <v>1541</v>
      </c>
      <c r="BA375" s="113" t="s">
        <v>1542</v>
      </c>
      <c r="BC375" s="124">
        <f t="shared" si="274"/>
        <v>0</v>
      </c>
      <c r="BD375" s="124">
        <f t="shared" si="275"/>
        <v>0</v>
      </c>
      <c r="BE375" s="124">
        <v>0</v>
      </c>
      <c r="BF375" s="124">
        <f t="shared" si="276"/>
        <v>0.0106392</v>
      </c>
      <c r="BH375" s="122">
        <f t="shared" si="277"/>
        <v>0</v>
      </c>
      <c r="BI375" s="122">
        <f t="shared" si="278"/>
        <v>0</v>
      </c>
      <c r="BJ375" s="122">
        <f t="shared" si="279"/>
        <v>0</v>
      </c>
    </row>
    <row r="376" spans="1:62" s="174" customFormat="1" ht="12.75">
      <c r="A376" s="121" t="s">
        <v>810</v>
      </c>
      <c r="B376" s="121" t="s">
        <v>60</v>
      </c>
      <c r="C376" s="121" t="s">
        <v>1132</v>
      </c>
      <c r="D376" s="129" t="s">
        <v>1439</v>
      </c>
      <c r="E376" s="121" t="s">
        <v>608</v>
      </c>
      <c r="F376" s="122">
        <f>'Stavební rozpočet'!F532</f>
        <v>94.84</v>
      </c>
      <c r="G376" s="172"/>
      <c r="H376" s="122">
        <f t="shared" si="256"/>
        <v>0</v>
      </c>
      <c r="I376" s="122">
        <f t="shared" si="257"/>
        <v>0</v>
      </c>
      <c r="J376" s="122">
        <f t="shared" si="258"/>
        <v>0</v>
      </c>
      <c r="K376" s="122">
        <f>'Stavební rozpočet'!K532</f>
        <v>0</v>
      </c>
      <c r="L376" s="122">
        <f t="shared" si="259"/>
        <v>0</v>
      </c>
      <c r="M376" s="123" t="s">
        <v>622</v>
      </c>
      <c r="Z376" s="124">
        <f t="shared" si="260"/>
        <v>0</v>
      </c>
      <c r="AB376" s="124">
        <f t="shared" si="261"/>
        <v>0</v>
      </c>
      <c r="AC376" s="124">
        <f t="shared" si="262"/>
        <v>0</v>
      </c>
      <c r="AD376" s="124">
        <f t="shared" si="263"/>
        <v>0</v>
      </c>
      <c r="AE376" s="124">
        <f t="shared" si="264"/>
        <v>0</v>
      </c>
      <c r="AF376" s="124">
        <f t="shared" si="265"/>
        <v>0</v>
      </c>
      <c r="AG376" s="124">
        <f t="shared" si="266"/>
        <v>0</v>
      </c>
      <c r="AH376" s="124">
        <f t="shared" si="267"/>
        <v>0</v>
      </c>
      <c r="AI376" s="113" t="s">
        <v>60</v>
      </c>
      <c r="AJ376" s="122">
        <f t="shared" si="268"/>
        <v>0</v>
      </c>
      <c r="AK376" s="122">
        <f t="shared" si="269"/>
        <v>0</v>
      </c>
      <c r="AL376" s="122">
        <f t="shared" si="270"/>
        <v>0</v>
      </c>
      <c r="AN376" s="124">
        <v>15</v>
      </c>
      <c r="AO376" s="124">
        <f>G376*0</f>
        <v>0</v>
      </c>
      <c r="AP376" s="124">
        <f>G376*(1-0)</f>
        <v>0</v>
      </c>
      <c r="AQ376" s="123" t="s">
        <v>85</v>
      </c>
      <c r="AV376" s="124">
        <f t="shared" si="271"/>
        <v>0</v>
      </c>
      <c r="AW376" s="124">
        <f t="shared" si="272"/>
        <v>0</v>
      </c>
      <c r="AX376" s="124">
        <f t="shared" si="273"/>
        <v>0</v>
      </c>
      <c r="AY376" s="125" t="s">
        <v>1532</v>
      </c>
      <c r="AZ376" s="125" t="s">
        <v>1541</v>
      </c>
      <c r="BA376" s="113" t="s">
        <v>1542</v>
      </c>
      <c r="BC376" s="124">
        <f t="shared" si="274"/>
        <v>0</v>
      </c>
      <c r="BD376" s="124">
        <f t="shared" si="275"/>
        <v>0</v>
      </c>
      <c r="BE376" s="124">
        <v>0</v>
      </c>
      <c r="BF376" s="124">
        <f t="shared" si="276"/>
        <v>0</v>
      </c>
      <c r="BH376" s="122">
        <f t="shared" si="277"/>
        <v>0</v>
      </c>
      <c r="BI376" s="122">
        <f t="shared" si="278"/>
        <v>0</v>
      </c>
      <c r="BJ376" s="122">
        <f t="shared" si="279"/>
        <v>0</v>
      </c>
    </row>
    <row r="377" spans="1:62" s="174" customFormat="1" ht="12.75">
      <c r="A377" s="121" t="s">
        <v>811</v>
      </c>
      <c r="B377" s="121" t="s">
        <v>60</v>
      </c>
      <c r="C377" s="121" t="s">
        <v>1133</v>
      </c>
      <c r="D377" s="129" t="s">
        <v>1440</v>
      </c>
      <c r="E377" s="121" t="s">
        <v>609</v>
      </c>
      <c r="F377" s="122">
        <f>'Stavební rozpočet'!F533</f>
        <v>187.8</v>
      </c>
      <c r="G377" s="172"/>
      <c r="H377" s="122">
        <f t="shared" si="256"/>
        <v>0</v>
      </c>
      <c r="I377" s="122">
        <f t="shared" si="257"/>
        <v>0</v>
      </c>
      <c r="J377" s="122">
        <f t="shared" si="258"/>
        <v>0</v>
      </c>
      <c r="K377" s="122">
        <f>'Stavební rozpočet'!K533</f>
        <v>0</v>
      </c>
      <c r="L377" s="122">
        <f t="shared" si="259"/>
        <v>0</v>
      </c>
      <c r="M377" s="123" t="s">
        <v>622</v>
      </c>
      <c r="Z377" s="124">
        <f t="shared" si="260"/>
        <v>0</v>
      </c>
      <c r="AB377" s="124">
        <f t="shared" si="261"/>
        <v>0</v>
      </c>
      <c r="AC377" s="124">
        <f t="shared" si="262"/>
        <v>0</v>
      </c>
      <c r="AD377" s="124">
        <f t="shared" si="263"/>
        <v>0</v>
      </c>
      <c r="AE377" s="124">
        <f t="shared" si="264"/>
        <v>0</v>
      </c>
      <c r="AF377" s="124">
        <f t="shared" si="265"/>
        <v>0</v>
      </c>
      <c r="AG377" s="124">
        <f t="shared" si="266"/>
        <v>0</v>
      </c>
      <c r="AH377" s="124">
        <f t="shared" si="267"/>
        <v>0</v>
      </c>
      <c r="AI377" s="113" t="s">
        <v>60</v>
      </c>
      <c r="AJ377" s="122">
        <f t="shared" si="268"/>
        <v>0</v>
      </c>
      <c r="AK377" s="122">
        <f t="shared" si="269"/>
        <v>0</v>
      </c>
      <c r="AL377" s="122">
        <f t="shared" si="270"/>
        <v>0</v>
      </c>
      <c r="AN377" s="124">
        <v>15</v>
      </c>
      <c r="AO377" s="124">
        <f>G377*0</f>
        <v>0</v>
      </c>
      <c r="AP377" s="124">
        <f>G377*(1-0)</f>
        <v>0</v>
      </c>
      <c r="AQ377" s="123" t="s">
        <v>85</v>
      </c>
      <c r="AV377" s="124">
        <f t="shared" si="271"/>
        <v>0</v>
      </c>
      <c r="AW377" s="124">
        <f t="shared" si="272"/>
        <v>0</v>
      </c>
      <c r="AX377" s="124">
        <f t="shared" si="273"/>
        <v>0</v>
      </c>
      <c r="AY377" s="125" t="s">
        <v>1532</v>
      </c>
      <c r="AZ377" s="125" t="s">
        <v>1541</v>
      </c>
      <c r="BA377" s="113" t="s">
        <v>1542</v>
      </c>
      <c r="BC377" s="124">
        <f t="shared" si="274"/>
        <v>0</v>
      </c>
      <c r="BD377" s="124">
        <f t="shared" si="275"/>
        <v>0</v>
      </c>
      <c r="BE377" s="124">
        <v>0</v>
      </c>
      <c r="BF377" s="124">
        <f t="shared" si="276"/>
        <v>0</v>
      </c>
      <c r="BH377" s="122">
        <f t="shared" si="277"/>
        <v>0</v>
      </c>
      <c r="BI377" s="122">
        <f t="shared" si="278"/>
        <v>0</v>
      </c>
      <c r="BJ377" s="122">
        <f t="shared" si="279"/>
        <v>0</v>
      </c>
    </row>
    <row r="378" spans="1:62" s="174" customFormat="1" ht="12.75">
      <c r="A378" s="126" t="s">
        <v>812</v>
      </c>
      <c r="B378" s="126" t="s">
        <v>60</v>
      </c>
      <c r="C378" s="126" t="s">
        <v>1134</v>
      </c>
      <c r="D378" s="137" t="s">
        <v>1441</v>
      </c>
      <c r="E378" s="126" t="s">
        <v>609</v>
      </c>
      <c r="F378" s="127">
        <f>'Stavební rozpočet'!F534</f>
        <v>99.44</v>
      </c>
      <c r="G378" s="176"/>
      <c r="H378" s="127">
        <f t="shared" si="256"/>
        <v>0</v>
      </c>
      <c r="I378" s="127">
        <f t="shared" si="257"/>
        <v>0</v>
      </c>
      <c r="J378" s="127">
        <f t="shared" si="258"/>
        <v>0</v>
      </c>
      <c r="K378" s="127">
        <f>'Stavební rozpočet'!K534</f>
        <v>0</v>
      </c>
      <c r="L378" s="127">
        <f t="shared" si="259"/>
        <v>0</v>
      </c>
      <c r="M378" s="128" t="s">
        <v>622</v>
      </c>
      <c r="Z378" s="124">
        <f t="shared" si="260"/>
        <v>0</v>
      </c>
      <c r="AB378" s="124">
        <f t="shared" si="261"/>
        <v>0</v>
      </c>
      <c r="AC378" s="124">
        <f t="shared" si="262"/>
        <v>0</v>
      </c>
      <c r="AD378" s="124">
        <f t="shared" si="263"/>
        <v>0</v>
      </c>
      <c r="AE378" s="124">
        <f t="shared" si="264"/>
        <v>0</v>
      </c>
      <c r="AF378" s="124">
        <f t="shared" si="265"/>
        <v>0</v>
      </c>
      <c r="AG378" s="124">
        <f t="shared" si="266"/>
        <v>0</v>
      </c>
      <c r="AH378" s="124">
        <f t="shared" si="267"/>
        <v>0</v>
      </c>
      <c r="AI378" s="113" t="s">
        <v>60</v>
      </c>
      <c r="AJ378" s="127">
        <f t="shared" si="268"/>
        <v>0</v>
      </c>
      <c r="AK378" s="127">
        <f t="shared" si="269"/>
        <v>0</v>
      </c>
      <c r="AL378" s="127">
        <f t="shared" si="270"/>
        <v>0</v>
      </c>
      <c r="AN378" s="124">
        <v>15</v>
      </c>
      <c r="AO378" s="124">
        <f>G378*1</f>
        <v>0</v>
      </c>
      <c r="AP378" s="124">
        <f>G378*(1-1)</f>
        <v>0</v>
      </c>
      <c r="AQ378" s="128" t="s">
        <v>85</v>
      </c>
      <c r="AV378" s="124">
        <f t="shared" si="271"/>
        <v>0</v>
      </c>
      <c r="AW378" s="124">
        <f t="shared" si="272"/>
        <v>0</v>
      </c>
      <c r="AX378" s="124">
        <f t="shared" si="273"/>
        <v>0</v>
      </c>
      <c r="AY378" s="125" t="s">
        <v>1532</v>
      </c>
      <c r="AZ378" s="125" t="s">
        <v>1541</v>
      </c>
      <c r="BA378" s="113" t="s">
        <v>1542</v>
      </c>
      <c r="BC378" s="124">
        <f t="shared" si="274"/>
        <v>0</v>
      </c>
      <c r="BD378" s="124">
        <f t="shared" si="275"/>
        <v>0</v>
      </c>
      <c r="BE378" s="124">
        <v>0</v>
      </c>
      <c r="BF378" s="124">
        <f t="shared" si="276"/>
        <v>0</v>
      </c>
      <c r="BH378" s="127">
        <f t="shared" si="277"/>
        <v>0</v>
      </c>
      <c r="BI378" s="127">
        <f t="shared" si="278"/>
        <v>0</v>
      </c>
      <c r="BJ378" s="127">
        <f t="shared" si="279"/>
        <v>0</v>
      </c>
    </row>
    <row r="379" spans="1:62" s="174" customFormat="1" ht="12.75">
      <c r="A379" s="126" t="s">
        <v>813</v>
      </c>
      <c r="B379" s="126" t="s">
        <v>60</v>
      </c>
      <c r="C379" s="126" t="s">
        <v>1135</v>
      </c>
      <c r="D379" s="137" t="s">
        <v>1442</v>
      </c>
      <c r="E379" s="126" t="s">
        <v>609</v>
      </c>
      <c r="F379" s="127">
        <f>'Stavební rozpočet'!F535</f>
        <v>19.03</v>
      </c>
      <c r="G379" s="176"/>
      <c r="H379" s="127">
        <f t="shared" si="256"/>
        <v>0</v>
      </c>
      <c r="I379" s="127">
        <f t="shared" si="257"/>
        <v>0</v>
      </c>
      <c r="J379" s="127">
        <f t="shared" si="258"/>
        <v>0</v>
      </c>
      <c r="K379" s="127">
        <f>'Stavební rozpočet'!K535</f>
        <v>0</v>
      </c>
      <c r="L379" s="127">
        <f t="shared" si="259"/>
        <v>0</v>
      </c>
      <c r="M379" s="128" t="s">
        <v>622</v>
      </c>
      <c r="Z379" s="124">
        <f t="shared" si="260"/>
        <v>0</v>
      </c>
      <c r="AB379" s="124">
        <f t="shared" si="261"/>
        <v>0</v>
      </c>
      <c r="AC379" s="124">
        <f t="shared" si="262"/>
        <v>0</v>
      </c>
      <c r="AD379" s="124">
        <f t="shared" si="263"/>
        <v>0</v>
      </c>
      <c r="AE379" s="124">
        <f t="shared" si="264"/>
        <v>0</v>
      </c>
      <c r="AF379" s="124">
        <f t="shared" si="265"/>
        <v>0</v>
      </c>
      <c r="AG379" s="124">
        <f t="shared" si="266"/>
        <v>0</v>
      </c>
      <c r="AH379" s="124">
        <f t="shared" si="267"/>
        <v>0</v>
      </c>
      <c r="AI379" s="113" t="s">
        <v>60</v>
      </c>
      <c r="AJ379" s="127">
        <f t="shared" si="268"/>
        <v>0</v>
      </c>
      <c r="AK379" s="127">
        <f t="shared" si="269"/>
        <v>0</v>
      </c>
      <c r="AL379" s="127">
        <f t="shared" si="270"/>
        <v>0</v>
      </c>
      <c r="AN379" s="124">
        <v>15</v>
      </c>
      <c r="AO379" s="124">
        <f>G379*1</f>
        <v>0</v>
      </c>
      <c r="AP379" s="124">
        <f>G379*(1-1)</f>
        <v>0</v>
      </c>
      <c r="AQ379" s="128" t="s">
        <v>85</v>
      </c>
      <c r="AV379" s="124">
        <f t="shared" si="271"/>
        <v>0</v>
      </c>
      <c r="AW379" s="124">
        <f t="shared" si="272"/>
        <v>0</v>
      </c>
      <c r="AX379" s="124">
        <f t="shared" si="273"/>
        <v>0</v>
      </c>
      <c r="AY379" s="125" t="s">
        <v>1532</v>
      </c>
      <c r="AZ379" s="125" t="s">
        <v>1541</v>
      </c>
      <c r="BA379" s="113" t="s">
        <v>1542</v>
      </c>
      <c r="BC379" s="124">
        <f t="shared" si="274"/>
        <v>0</v>
      </c>
      <c r="BD379" s="124">
        <f t="shared" si="275"/>
        <v>0</v>
      </c>
      <c r="BE379" s="124">
        <v>0</v>
      </c>
      <c r="BF379" s="124">
        <f t="shared" si="276"/>
        <v>0</v>
      </c>
      <c r="BH379" s="127">
        <f t="shared" si="277"/>
        <v>0</v>
      </c>
      <c r="BI379" s="127">
        <f t="shared" si="278"/>
        <v>0</v>
      </c>
      <c r="BJ379" s="127">
        <f t="shared" si="279"/>
        <v>0</v>
      </c>
    </row>
    <row r="380" spans="1:62" s="174" customFormat="1" ht="12.75">
      <c r="A380" s="126" t="s">
        <v>814</v>
      </c>
      <c r="B380" s="126" t="s">
        <v>60</v>
      </c>
      <c r="C380" s="126" t="s">
        <v>1136</v>
      </c>
      <c r="D380" s="137" t="s">
        <v>1443</v>
      </c>
      <c r="E380" s="126" t="s">
        <v>609</v>
      </c>
      <c r="F380" s="127">
        <f>'Stavební rozpočet'!F536</f>
        <v>88.11</v>
      </c>
      <c r="G380" s="176"/>
      <c r="H380" s="127">
        <f t="shared" si="256"/>
        <v>0</v>
      </c>
      <c r="I380" s="127">
        <f t="shared" si="257"/>
        <v>0</v>
      </c>
      <c r="J380" s="127">
        <f t="shared" si="258"/>
        <v>0</v>
      </c>
      <c r="K380" s="127">
        <f>'Stavební rozpočet'!K536</f>
        <v>0</v>
      </c>
      <c r="L380" s="127">
        <f t="shared" si="259"/>
        <v>0</v>
      </c>
      <c r="M380" s="128" t="s">
        <v>622</v>
      </c>
      <c r="Z380" s="124">
        <f t="shared" si="260"/>
        <v>0</v>
      </c>
      <c r="AB380" s="124">
        <f t="shared" si="261"/>
        <v>0</v>
      </c>
      <c r="AC380" s="124">
        <f t="shared" si="262"/>
        <v>0</v>
      </c>
      <c r="AD380" s="124">
        <f t="shared" si="263"/>
        <v>0</v>
      </c>
      <c r="AE380" s="124">
        <f t="shared" si="264"/>
        <v>0</v>
      </c>
      <c r="AF380" s="124">
        <f t="shared" si="265"/>
        <v>0</v>
      </c>
      <c r="AG380" s="124">
        <f t="shared" si="266"/>
        <v>0</v>
      </c>
      <c r="AH380" s="124">
        <f t="shared" si="267"/>
        <v>0</v>
      </c>
      <c r="AI380" s="113" t="s">
        <v>60</v>
      </c>
      <c r="AJ380" s="127">
        <f t="shared" si="268"/>
        <v>0</v>
      </c>
      <c r="AK380" s="127">
        <f t="shared" si="269"/>
        <v>0</v>
      </c>
      <c r="AL380" s="127">
        <f t="shared" si="270"/>
        <v>0</v>
      </c>
      <c r="AN380" s="124">
        <v>15</v>
      </c>
      <c r="AO380" s="124">
        <f>G380*1</f>
        <v>0</v>
      </c>
      <c r="AP380" s="124">
        <f>G380*(1-1)</f>
        <v>0</v>
      </c>
      <c r="AQ380" s="128" t="s">
        <v>85</v>
      </c>
      <c r="AV380" s="124">
        <f t="shared" si="271"/>
        <v>0</v>
      </c>
      <c r="AW380" s="124">
        <f t="shared" si="272"/>
        <v>0</v>
      </c>
      <c r="AX380" s="124">
        <f t="shared" si="273"/>
        <v>0</v>
      </c>
      <c r="AY380" s="125" t="s">
        <v>1532</v>
      </c>
      <c r="AZ380" s="125" t="s">
        <v>1541</v>
      </c>
      <c r="BA380" s="113" t="s">
        <v>1542</v>
      </c>
      <c r="BC380" s="124">
        <f t="shared" si="274"/>
        <v>0</v>
      </c>
      <c r="BD380" s="124">
        <f t="shared" si="275"/>
        <v>0</v>
      </c>
      <c r="BE380" s="124">
        <v>0</v>
      </c>
      <c r="BF380" s="124">
        <f t="shared" si="276"/>
        <v>0</v>
      </c>
      <c r="BH380" s="127">
        <f t="shared" si="277"/>
        <v>0</v>
      </c>
      <c r="BI380" s="127">
        <f t="shared" si="278"/>
        <v>0</v>
      </c>
      <c r="BJ380" s="127">
        <f t="shared" si="279"/>
        <v>0</v>
      </c>
    </row>
    <row r="381" spans="1:62" s="174" customFormat="1" ht="12.75">
      <c r="A381" s="121" t="s">
        <v>815</v>
      </c>
      <c r="B381" s="121" t="s">
        <v>60</v>
      </c>
      <c r="C381" s="121" t="s">
        <v>1137</v>
      </c>
      <c r="D381" s="129" t="s">
        <v>1444</v>
      </c>
      <c r="E381" s="121" t="s">
        <v>612</v>
      </c>
      <c r="F381" s="122">
        <f>'Stavební rozpočet'!F537</f>
        <v>1.8</v>
      </c>
      <c r="G381" s="172"/>
      <c r="H381" s="122">
        <f t="shared" si="256"/>
        <v>0</v>
      </c>
      <c r="I381" s="122">
        <f t="shared" si="257"/>
        <v>0</v>
      </c>
      <c r="J381" s="122">
        <f t="shared" si="258"/>
        <v>0</v>
      </c>
      <c r="K381" s="122">
        <f>'Stavební rozpočet'!K537</f>
        <v>0</v>
      </c>
      <c r="L381" s="122">
        <f t="shared" si="259"/>
        <v>0</v>
      </c>
      <c r="M381" s="123" t="s">
        <v>622</v>
      </c>
      <c r="Z381" s="124">
        <f t="shared" si="260"/>
        <v>0</v>
      </c>
      <c r="AB381" s="124">
        <f t="shared" si="261"/>
        <v>0</v>
      </c>
      <c r="AC381" s="124">
        <f t="shared" si="262"/>
        <v>0</v>
      </c>
      <c r="AD381" s="124">
        <f t="shared" si="263"/>
        <v>0</v>
      </c>
      <c r="AE381" s="124">
        <f t="shared" si="264"/>
        <v>0</v>
      </c>
      <c r="AF381" s="124">
        <f t="shared" si="265"/>
        <v>0</v>
      </c>
      <c r="AG381" s="124">
        <f t="shared" si="266"/>
        <v>0</v>
      </c>
      <c r="AH381" s="124">
        <f t="shared" si="267"/>
        <v>0</v>
      </c>
      <c r="AI381" s="113" t="s">
        <v>60</v>
      </c>
      <c r="AJ381" s="122">
        <f t="shared" si="268"/>
        <v>0</v>
      </c>
      <c r="AK381" s="122">
        <f t="shared" si="269"/>
        <v>0</v>
      </c>
      <c r="AL381" s="122">
        <f t="shared" si="270"/>
        <v>0</v>
      </c>
      <c r="AN381" s="124">
        <v>15</v>
      </c>
      <c r="AO381" s="124">
        <f>G381*0</f>
        <v>0</v>
      </c>
      <c r="AP381" s="124">
        <f>G381*(1-0)</f>
        <v>0</v>
      </c>
      <c r="AQ381" s="123" t="s">
        <v>83</v>
      </c>
      <c r="AV381" s="124">
        <f t="shared" si="271"/>
        <v>0</v>
      </c>
      <c r="AW381" s="124">
        <f t="shared" si="272"/>
        <v>0</v>
      </c>
      <c r="AX381" s="124">
        <f t="shared" si="273"/>
        <v>0</v>
      </c>
      <c r="AY381" s="125" t="s">
        <v>1532</v>
      </c>
      <c r="AZ381" s="125" t="s">
        <v>1541</v>
      </c>
      <c r="BA381" s="113" t="s">
        <v>1542</v>
      </c>
      <c r="BC381" s="124">
        <f t="shared" si="274"/>
        <v>0</v>
      </c>
      <c r="BD381" s="124">
        <f t="shared" si="275"/>
        <v>0</v>
      </c>
      <c r="BE381" s="124">
        <v>0</v>
      </c>
      <c r="BF381" s="124">
        <f t="shared" si="276"/>
        <v>0</v>
      </c>
      <c r="BH381" s="122">
        <f t="shared" si="277"/>
        <v>0</v>
      </c>
      <c r="BI381" s="122">
        <f t="shared" si="278"/>
        <v>0</v>
      </c>
      <c r="BJ381" s="122">
        <f t="shared" si="279"/>
        <v>0</v>
      </c>
    </row>
    <row r="382" spans="1:47" s="174" customFormat="1" ht="12.75">
      <c r="A382" s="118"/>
      <c r="B382" s="119" t="s">
        <v>60</v>
      </c>
      <c r="C382" s="119" t="s">
        <v>378</v>
      </c>
      <c r="D382" s="136" t="s">
        <v>564</v>
      </c>
      <c r="E382" s="118" t="s">
        <v>57</v>
      </c>
      <c r="F382" s="118" t="s">
        <v>57</v>
      </c>
      <c r="G382" s="118"/>
      <c r="H382" s="120">
        <f>SUM(H383:H386)</f>
        <v>0</v>
      </c>
      <c r="I382" s="120">
        <f>SUM(I383:I386)</f>
        <v>0</v>
      </c>
      <c r="J382" s="120">
        <f>SUM(J383:J386)</f>
        <v>0</v>
      </c>
      <c r="K382" s="113"/>
      <c r="L382" s="120">
        <f>SUM(L383:L386)</f>
        <v>0.2054244</v>
      </c>
      <c r="M382" s="113"/>
      <c r="AI382" s="113" t="s">
        <v>60</v>
      </c>
      <c r="AS382" s="120">
        <f>SUM(AJ383:AJ386)</f>
        <v>0</v>
      </c>
      <c r="AT382" s="120">
        <f>SUM(AK383:AK386)</f>
        <v>0</v>
      </c>
      <c r="AU382" s="120">
        <f>SUM(AL383:AL386)</f>
        <v>0</v>
      </c>
    </row>
    <row r="383" spans="1:62" s="174" customFormat="1" ht="12.75">
      <c r="A383" s="121" t="s">
        <v>816</v>
      </c>
      <c r="B383" s="121" t="s">
        <v>60</v>
      </c>
      <c r="C383" s="121" t="s">
        <v>379</v>
      </c>
      <c r="D383" s="129" t="s">
        <v>565</v>
      </c>
      <c r="E383" s="121" t="s">
        <v>608</v>
      </c>
      <c r="F383" s="122">
        <f>'Stavební rozpočet'!F539</f>
        <v>405.91</v>
      </c>
      <c r="G383" s="172"/>
      <c r="H383" s="122">
        <f>F383*AO383</f>
        <v>0</v>
      </c>
      <c r="I383" s="122">
        <f>F383*AP383</f>
        <v>0</v>
      </c>
      <c r="J383" s="122">
        <f>F383*G383</f>
        <v>0</v>
      </c>
      <c r="K383" s="122">
        <f>'Stavební rozpočet'!K539</f>
        <v>0.0002</v>
      </c>
      <c r="L383" s="122">
        <f>F383*K383</f>
        <v>0.081182</v>
      </c>
      <c r="M383" s="123" t="s">
        <v>622</v>
      </c>
      <c r="Z383" s="124">
        <f>IF(AQ383="5",BJ383,0)</f>
        <v>0</v>
      </c>
      <c r="AB383" s="124">
        <f>IF(AQ383="1",BH383,0)</f>
        <v>0</v>
      </c>
      <c r="AC383" s="124">
        <f>IF(AQ383="1",BI383,0)</f>
        <v>0</v>
      </c>
      <c r="AD383" s="124">
        <f>IF(AQ383="7",BH383,0)</f>
        <v>0</v>
      </c>
      <c r="AE383" s="124">
        <f>IF(AQ383="7",BI383,0)</f>
        <v>0</v>
      </c>
      <c r="AF383" s="124">
        <f>IF(AQ383="2",BH383,0)</f>
        <v>0</v>
      </c>
      <c r="AG383" s="124">
        <f>IF(AQ383="2",BI383,0)</f>
        <v>0</v>
      </c>
      <c r="AH383" s="124">
        <f>IF(AQ383="0",BJ383,0)</f>
        <v>0</v>
      </c>
      <c r="AI383" s="113" t="s">
        <v>60</v>
      </c>
      <c r="AJ383" s="122">
        <f>IF(AN383=0,J383,0)</f>
        <v>0</v>
      </c>
      <c r="AK383" s="122">
        <f>IF(AN383=15,J383,0)</f>
        <v>0</v>
      </c>
      <c r="AL383" s="122">
        <f>IF(AN383=21,J383,0)</f>
        <v>0</v>
      </c>
      <c r="AN383" s="124">
        <v>15</v>
      </c>
      <c r="AO383" s="124">
        <f>G383*0.453623255598255</f>
        <v>0</v>
      </c>
      <c r="AP383" s="124">
        <f>G383*(1-0.453623255598255)</f>
        <v>0</v>
      </c>
      <c r="AQ383" s="123" t="s">
        <v>85</v>
      </c>
      <c r="AV383" s="124">
        <f>AW383+AX383</f>
        <v>0</v>
      </c>
      <c r="AW383" s="124">
        <f>F383*AO383</f>
        <v>0</v>
      </c>
      <c r="AX383" s="124">
        <f>F383*AP383</f>
        <v>0</v>
      </c>
      <c r="AY383" s="125" t="s">
        <v>648</v>
      </c>
      <c r="AZ383" s="125" t="s">
        <v>1541</v>
      </c>
      <c r="BA383" s="113" t="s">
        <v>1542</v>
      </c>
      <c r="BC383" s="124">
        <f>AW383+AX383</f>
        <v>0</v>
      </c>
      <c r="BD383" s="124">
        <f>G383/(100-BE383)*100</f>
        <v>0</v>
      </c>
      <c r="BE383" s="124">
        <v>0</v>
      </c>
      <c r="BF383" s="124">
        <f>L383</f>
        <v>0.081182</v>
      </c>
      <c r="BH383" s="122">
        <f>F383*AO383</f>
        <v>0</v>
      </c>
      <c r="BI383" s="122">
        <f>F383*AP383</f>
        <v>0</v>
      </c>
      <c r="BJ383" s="122">
        <f>F383*G383</f>
        <v>0</v>
      </c>
    </row>
    <row r="384" spans="1:62" s="174" customFormat="1" ht="12.75">
      <c r="A384" s="121" t="s">
        <v>817</v>
      </c>
      <c r="B384" s="121" t="s">
        <v>60</v>
      </c>
      <c r="C384" s="121" t="s">
        <v>380</v>
      </c>
      <c r="D384" s="129" t="s">
        <v>566</v>
      </c>
      <c r="E384" s="121" t="s">
        <v>608</v>
      </c>
      <c r="F384" s="122">
        <f>'Stavební rozpočet'!F540</f>
        <v>38.32</v>
      </c>
      <c r="G384" s="172"/>
      <c r="H384" s="122">
        <f>F384*AO384</f>
        <v>0</v>
      </c>
      <c r="I384" s="122">
        <f>F384*AP384</f>
        <v>0</v>
      </c>
      <c r="J384" s="122">
        <f>F384*G384</f>
        <v>0</v>
      </c>
      <c r="K384" s="122">
        <f>'Stavební rozpočet'!K540</f>
        <v>0.0004</v>
      </c>
      <c r="L384" s="122">
        <f>F384*K384</f>
        <v>0.015328000000000001</v>
      </c>
      <c r="M384" s="123" t="s">
        <v>622</v>
      </c>
      <c r="Z384" s="124">
        <f>IF(AQ384="5",BJ384,0)</f>
        <v>0</v>
      </c>
      <c r="AB384" s="124">
        <f>IF(AQ384="1",BH384,0)</f>
        <v>0</v>
      </c>
      <c r="AC384" s="124">
        <f>IF(AQ384="1",BI384,0)</f>
        <v>0</v>
      </c>
      <c r="AD384" s="124">
        <f>IF(AQ384="7",BH384,0)</f>
        <v>0</v>
      </c>
      <c r="AE384" s="124">
        <f>IF(AQ384="7",BI384,0)</f>
        <v>0</v>
      </c>
      <c r="AF384" s="124">
        <f>IF(AQ384="2",BH384,0)</f>
        <v>0</v>
      </c>
      <c r="AG384" s="124">
        <f>IF(AQ384="2",BI384,0)</f>
        <v>0</v>
      </c>
      <c r="AH384" s="124">
        <f>IF(AQ384="0",BJ384,0)</f>
        <v>0</v>
      </c>
      <c r="AI384" s="113" t="s">
        <v>60</v>
      </c>
      <c r="AJ384" s="122">
        <f>IF(AN384=0,J384,0)</f>
        <v>0</v>
      </c>
      <c r="AK384" s="122">
        <f>IF(AN384=15,J384,0)</f>
        <v>0</v>
      </c>
      <c r="AL384" s="122">
        <f>IF(AN384=21,J384,0)</f>
        <v>0</v>
      </c>
      <c r="AN384" s="124">
        <v>15</v>
      </c>
      <c r="AO384" s="124">
        <f>G384*0.476667118116628</f>
        <v>0</v>
      </c>
      <c r="AP384" s="124">
        <f>G384*(1-0.476667118116628)</f>
        <v>0</v>
      </c>
      <c r="AQ384" s="123" t="s">
        <v>85</v>
      </c>
      <c r="AV384" s="124">
        <f>AW384+AX384</f>
        <v>0</v>
      </c>
      <c r="AW384" s="124">
        <f>F384*AO384</f>
        <v>0</v>
      </c>
      <c r="AX384" s="124">
        <f>F384*AP384</f>
        <v>0</v>
      </c>
      <c r="AY384" s="125" t="s">
        <v>648</v>
      </c>
      <c r="AZ384" s="125" t="s">
        <v>1541</v>
      </c>
      <c r="BA384" s="113" t="s">
        <v>1542</v>
      </c>
      <c r="BC384" s="124">
        <f>AW384+AX384</f>
        <v>0</v>
      </c>
      <c r="BD384" s="124">
        <f>G384/(100-BE384)*100</f>
        <v>0</v>
      </c>
      <c r="BE384" s="124">
        <v>0</v>
      </c>
      <c r="BF384" s="124">
        <f>L384</f>
        <v>0.015328000000000001</v>
      </c>
      <c r="BH384" s="122">
        <f>F384*AO384</f>
        <v>0</v>
      </c>
      <c r="BI384" s="122">
        <f>F384*AP384</f>
        <v>0</v>
      </c>
      <c r="BJ384" s="122">
        <f>F384*G384</f>
        <v>0</v>
      </c>
    </row>
    <row r="385" spans="1:62" s="174" customFormat="1" ht="12.75">
      <c r="A385" s="121" t="s">
        <v>818</v>
      </c>
      <c r="B385" s="121" t="s">
        <v>60</v>
      </c>
      <c r="C385" s="121" t="s">
        <v>381</v>
      </c>
      <c r="D385" s="129" t="s">
        <v>567</v>
      </c>
      <c r="E385" s="121" t="s">
        <v>608</v>
      </c>
      <c r="F385" s="122">
        <f>'Stavební rozpočet'!F541</f>
        <v>405.91</v>
      </c>
      <c r="G385" s="172"/>
      <c r="H385" s="122">
        <f>F385*AO385</f>
        <v>0</v>
      </c>
      <c r="I385" s="122">
        <f>F385*AP385</f>
        <v>0</v>
      </c>
      <c r="J385" s="122">
        <f>F385*G385</f>
        <v>0</v>
      </c>
      <c r="K385" s="122">
        <f>'Stavební rozpočet'!K541</f>
        <v>0.00024</v>
      </c>
      <c r="L385" s="122">
        <f>F385*K385</f>
        <v>0.0974184</v>
      </c>
      <c r="M385" s="123" t="s">
        <v>622</v>
      </c>
      <c r="Z385" s="124">
        <f>IF(AQ385="5",BJ385,0)</f>
        <v>0</v>
      </c>
      <c r="AB385" s="124">
        <f>IF(AQ385="1",BH385,0)</f>
        <v>0</v>
      </c>
      <c r="AC385" s="124">
        <f>IF(AQ385="1",BI385,0)</f>
        <v>0</v>
      </c>
      <c r="AD385" s="124">
        <f>IF(AQ385="7",BH385,0)</f>
        <v>0</v>
      </c>
      <c r="AE385" s="124">
        <f>IF(AQ385="7",BI385,0)</f>
        <v>0</v>
      </c>
      <c r="AF385" s="124">
        <f>IF(AQ385="2",BH385,0)</f>
        <v>0</v>
      </c>
      <c r="AG385" s="124">
        <f>IF(AQ385="2",BI385,0)</f>
        <v>0</v>
      </c>
      <c r="AH385" s="124">
        <f>IF(AQ385="0",BJ385,0)</f>
        <v>0</v>
      </c>
      <c r="AI385" s="113" t="s">
        <v>60</v>
      </c>
      <c r="AJ385" s="122">
        <f>IF(AN385=0,J385,0)</f>
        <v>0</v>
      </c>
      <c r="AK385" s="122">
        <f>IF(AN385=15,J385,0)</f>
        <v>0</v>
      </c>
      <c r="AL385" s="122">
        <f>IF(AN385=21,J385,0)</f>
        <v>0</v>
      </c>
      <c r="AN385" s="124">
        <v>15</v>
      </c>
      <c r="AO385" s="124">
        <f>G385*0.200631575921448</f>
        <v>0</v>
      </c>
      <c r="AP385" s="124">
        <f>G385*(1-0.200631575921448)</f>
        <v>0</v>
      </c>
      <c r="AQ385" s="123" t="s">
        <v>85</v>
      </c>
      <c r="AV385" s="124">
        <f>AW385+AX385</f>
        <v>0</v>
      </c>
      <c r="AW385" s="124">
        <f>F385*AO385</f>
        <v>0</v>
      </c>
      <c r="AX385" s="124">
        <f>F385*AP385</f>
        <v>0</v>
      </c>
      <c r="AY385" s="125" t="s">
        <v>648</v>
      </c>
      <c r="AZ385" s="125" t="s">
        <v>1541</v>
      </c>
      <c r="BA385" s="113" t="s">
        <v>1542</v>
      </c>
      <c r="BC385" s="124">
        <f>AW385+AX385</f>
        <v>0</v>
      </c>
      <c r="BD385" s="124">
        <f>G385/(100-BE385)*100</f>
        <v>0</v>
      </c>
      <c r="BE385" s="124">
        <v>0</v>
      </c>
      <c r="BF385" s="124">
        <f>L385</f>
        <v>0.0974184</v>
      </c>
      <c r="BH385" s="122">
        <f>F385*AO385</f>
        <v>0</v>
      </c>
      <c r="BI385" s="122">
        <f>F385*AP385</f>
        <v>0</v>
      </c>
      <c r="BJ385" s="122">
        <f>F385*G385</f>
        <v>0</v>
      </c>
    </row>
    <row r="386" spans="1:62" s="174" customFormat="1" ht="12.75">
      <c r="A386" s="121" t="s">
        <v>819</v>
      </c>
      <c r="B386" s="121" t="s">
        <v>60</v>
      </c>
      <c r="C386" s="121" t="s">
        <v>382</v>
      </c>
      <c r="D386" s="129" t="s">
        <v>568</v>
      </c>
      <c r="E386" s="121" t="s">
        <v>608</v>
      </c>
      <c r="F386" s="122">
        <f>'Stavební rozpočet'!F542</f>
        <v>38.32</v>
      </c>
      <c r="G386" s="172"/>
      <c r="H386" s="122">
        <f>F386*AO386</f>
        <v>0</v>
      </c>
      <c r="I386" s="122">
        <f>F386*AP386</f>
        <v>0</v>
      </c>
      <c r="J386" s="122">
        <f>F386*G386</f>
        <v>0</v>
      </c>
      <c r="K386" s="122">
        <f>'Stavební rozpočet'!K542</f>
        <v>0.0003</v>
      </c>
      <c r="L386" s="122">
        <f>F386*K386</f>
        <v>0.011496</v>
      </c>
      <c r="M386" s="123" t="s">
        <v>622</v>
      </c>
      <c r="Z386" s="124">
        <f>IF(AQ386="5",BJ386,0)</f>
        <v>0</v>
      </c>
      <c r="AB386" s="124">
        <f>IF(AQ386="1",BH386,0)</f>
        <v>0</v>
      </c>
      <c r="AC386" s="124">
        <f>IF(AQ386="1",BI386,0)</f>
        <v>0</v>
      </c>
      <c r="AD386" s="124">
        <f>IF(AQ386="7",BH386,0)</f>
        <v>0</v>
      </c>
      <c r="AE386" s="124">
        <f>IF(AQ386="7",BI386,0)</f>
        <v>0</v>
      </c>
      <c r="AF386" s="124">
        <f>IF(AQ386="2",BH386,0)</f>
        <v>0</v>
      </c>
      <c r="AG386" s="124">
        <f>IF(AQ386="2",BI386,0)</f>
        <v>0</v>
      </c>
      <c r="AH386" s="124">
        <f>IF(AQ386="0",BJ386,0)</f>
        <v>0</v>
      </c>
      <c r="AI386" s="113" t="s">
        <v>60</v>
      </c>
      <c r="AJ386" s="122">
        <f>IF(AN386=0,J386,0)</f>
        <v>0</v>
      </c>
      <c r="AK386" s="122">
        <f>IF(AN386=15,J386,0)</f>
        <v>0</v>
      </c>
      <c r="AL386" s="122">
        <f>IF(AN386=21,J386,0)</f>
        <v>0</v>
      </c>
      <c r="AN386" s="124">
        <v>15</v>
      </c>
      <c r="AO386" s="124">
        <f>G386*0.290457934336525</f>
        <v>0</v>
      </c>
      <c r="AP386" s="124">
        <f>G386*(1-0.290457934336525)</f>
        <v>0</v>
      </c>
      <c r="AQ386" s="123" t="s">
        <v>85</v>
      </c>
      <c r="AV386" s="124">
        <f>AW386+AX386</f>
        <v>0</v>
      </c>
      <c r="AW386" s="124">
        <f>F386*AO386</f>
        <v>0</v>
      </c>
      <c r="AX386" s="124">
        <f>F386*AP386</f>
        <v>0</v>
      </c>
      <c r="AY386" s="125" t="s">
        <v>648</v>
      </c>
      <c r="AZ386" s="125" t="s">
        <v>1541</v>
      </c>
      <c r="BA386" s="113" t="s">
        <v>1542</v>
      </c>
      <c r="BC386" s="124">
        <f>AW386+AX386</f>
        <v>0</v>
      </c>
      <c r="BD386" s="124">
        <f>G386/(100-BE386)*100</f>
        <v>0</v>
      </c>
      <c r="BE386" s="124">
        <v>0</v>
      </c>
      <c r="BF386" s="124">
        <f>L386</f>
        <v>0.011496</v>
      </c>
      <c r="BH386" s="122">
        <f>F386*AO386</f>
        <v>0</v>
      </c>
      <c r="BI386" s="122">
        <f>F386*AP386</f>
        <v>0</v>
      </c>
      <c r="BJ386" s="122">
        <f>F386*G386</f>
        <v>0</v>
      </c>
    </row>
    <row r="387" spans="1:47" s="174" customFormat="1" ht="12.75">
      <c r="A387" s="118"/>
      <c r="B387" s="119" t="s">
        <v>60</v>
      </c>
      <c r="C387" s="119" t="s">
        <v>383</v>
      </c>
      <c r="D387" s="136" t="s">
        <v>569</v>
      </c>
      <c r="E387" s="118" t="s">
        <v>57</v>
      </c>
      <c r="F387" s="118" t="s">
        <v>57</v>
      </c>
      <c r="G387" s="118" t="s">
        <v>57</v>
      </c>
      <c r="H387" s="120">
        <f>SUM(H388:H511)</f>
        <v>0</v>
      </c>
      <c r="I387" s="120">
        <f>SUM(I388:I511)</f>
        <v>0</v>
      </c>
      <c r="J387" s="120">
        <f>SUM(J388:J511)</f>
        <v>0</v>
      </c>
      <c r="K387" s="113"/>
      <c r="L387" s="120">
        <f>SUM(L388:L511)</f>
        <v>0</v>
      </c>
      <c r="M387" s="113"/>
      <c r="AI387" s="113" t="s">
        <v>60</v>
      </c>
      <c r="AS387" s="120">
        <f>SUM(AJ388:AJ511)</f>
        <v>0</v>
      </c>
      <c r="AT387" s="120">
        <f>SUM(AK388:AK511)</f>
        <v>0</v>
      </c>
      <c r="AU387" s="120">
        <f>SUM(AL388:AL511)</f>
        <v>0</v>
      </c>
    </row>
    <row r="388" spans="1:62" s="174" customFormat="1" ht="12.75">
      <c r="A388" s="121" t="s">
        <v>820</v>
      </c>
      <c r="B388" s="121" t="s">
        <v>60</v>
      </c>
      <c r="C388" s="121" t="s">
        <v>384</v>
      </c>
      <c r="D388" s="129" t="s">
        <v>570</v>
      </c>
      <c r="E388" s="121" t="s">
        <v>606</v>
      </c>
      <c r="F388" s="122">
        <f>'Stavební rozpočet'!F544</f>
        <v>36</v>
      </c>
      <c r="G388" s="172"/>
      <c r="H388" s="122">
        <f aca="true" t="shared" si="280" ref="H388:H419">F388*AO388</f>
        <v>0</v>
      </c>
      <c r="I388" s="122">
        <f aca="true" t="shared" si="281" ref="I388:I419">F388*AP388</f>
        <v>0</v>
      </c>
      <c r="J388" s="122">
        <f aca="true" t="shared" si="282" ref="J388:J419">F388*G388</f>
        <v>0</v>
      </c>
      <c r="K388" s="122">
        <f>'Stavební rozpočet'!K544</f>
        <v>0</v>
      </c>
      <c r="L388" s="122">
        <f aca="true" t="shared" si="283" ref="L388:L419">F388*K388</f>
        <v>0</v>
      </c>
      <c r="M388" s="123" t="s">
        <v>622</v>
      </c>
      <c r="Z388" s="124">
        <f aca="true" t="shared" si="284" ref="Z388:Z419">IF(AQ388="5",BJ388,0)</f>
        <v>0</v>
      </c>
      <c r="AB388" s="124">
        <f aca="true" t="shared" si="285" ref="AB388:AB419">IF(AQ388="1",BH388,0)</f>
        <v>0</v>
      </c>
      <c r="AC388" s="124">
        <f aca="true" t="shared" si="286" ref="AC388:AC419">IF(AQ388="1",BI388,0)</f>
        <v>0</v>
      </c>
      <c r="AD388" s="124">
        <f aca="true" t="shared" si="287" ref="AD388:AD419">IF(AQ388="7",BH388,0)</f>
        <v>0</v>
      </c>
      <c r="AE388" s="124">
        <f aca="true" t="shared" si="288" ref="AE388:AE419">IF(AQ388="7",BI388,0)</f>
        <v>0</v>
      </c>
      <c r="AF388" s="124">
        <f aca="true" t="shared" si="289" ref="AF388:AF419">IF(AQ388="2",BH388,0)</f>
        <v>0</v>
      </c>
      <c r="AG388" s="124">
        <f aca="true" t="shared" si="290" ref="AG388:AG419">IF(AQ388="2",BI388,0)</f>
        <v>0</v>
      </c>
      <c r="AH388" s="124">
        <f aca="true" t="shared" si="291" ref="AH388:AH419">IF(AQ388="0",BJ388,0)</f>
        <v>0</v>
      </c>
      <c r="AI388" s="113" t="s">
        <v>60</v>
      </c>
      <c r="AJ388" s="122">
        <f aca="true" t="shared" si="292" ref="AJ388:AJ419">IF(AN388=0,J388,0)</f>
        <v>0</v>
      </c>
      <c r="AK388" s="122">
        <f aca="true" t="shared" si="293" ref="AK388:AK419">IF(AN388=15,J388,0)</f>
        <v>0</v>
      </c>
      <c r="AL388" s="122">
        <f aca="true" t="shared" si="294" ref="AL388:AL419">IF(AN388=21,J388,0)</f>
        <v>0</v>
      </c>
      <c r="AN388" s="124">
        <v>15</v>
      </c>
      <c r="AO388" s="124">
        <f aca="true" t="shared" si="295" ref="AO388:AO419">G388*0</f>
        <v>0</v>
      </c>
      <c r="AP388" s="124">
        <f aca="true" t="shared" si="296" ref="AP388:AP419">G388*(1-0)</f>
        <v>0</v>
      </c>
      <c r="AQ388" s="123" t="s">
        <v>79</v>
      </c>
      <c r="AV388" s="124">
        <f aca="true" t="shared" si="297" ref="AV388:AV419">AW388+AX388</f>
        <v>0</v>
      </c>
      <c r="AW388" s="124">
        <f aca="true" t="shared" si="298" ref="AW388:AW419">F388*AO388</f>
        <v>0</v>
      </c>
      <c r="AX388" s="124">
        <f aca="true" t="shared" si="299" ref="AX388:AX419">F388*AP388</f>
        <v>0</v>
      </c>
      <c r="AY388" s="125" t="s">
        <v>649</v>
      </c>
      <c r="AZ388" s="125" t="s">
        <v>1536</v>
      </c>
      <c r="BA388" s="113" t="s">
        <v>1542</v>
      </c>
      <c r="BC388" s="124">
        <f aca="true" t="shared" si="300" ref="BC388:BC419">AW388+AX388</f>
        <v>0</v>
      </c>
      <c r="BD388" s="124">
        <f aca="true" t="shared" si="301" ref="BD388:BD419">G388/(100-BE388)*100</f>
        <v>0</v>
      </c>
      <c r="BE388" s="124">
        <v>0</v>
      </c>
      <c r="BF388" s="124">
        <f aca="true" t="shared" si="302" ref="BF388:BF419">L388</f>
        <v>0</v>
      </c>
      <c r="BH388" s="122">
        <f aca="true" t="shared" si="303" ref="BH388:BH419">F388*AO388</f>
        <v>0</v>
      </c>
      <c r="BI388" s="122">
        <f aca="true" t="shared" si="304" ref="BI388:BI419">F388*AP388</f>
        <v>0</v>
      </c>
      <c r="BJ388" s="122">
        <f aca="true" t="shared" si="305" ref="BJ388:BJ419">F388*G388</f>
        <v>0</v>
      </c>
    </row>
    <row r="389" spans="1:62" s="174" customFormat="1" ht="12.75">
      <c r="A389" s="121" t="s">
        <v>821</v>
      </c>
      <c r="B389" s="121" t="s">
        <v>60</v>
      </c>
      <c r="C389" s="121" t="s">
        <v>385</v>
      </c>
      <c r="D389" s="129" t="s">
        <v>571</v>
      </c>
      <c r="E389" s="121" t="s">
        <v>606</v>
      </c>
      <c r="F389" s="122">
        <f>'Stavební rozpočet'!F545</f>
        <v>45</v>
      </c>
      <c r="G389" s="172"/>
      <c r="H389" s="122">
        <f t="shared" si="280"/>
        <v>0</v>
      </c>
      <c r="I389" s="122">
        <f t="shared" si="281"/>
        <v>0</v>
      </c>
      <c r="J389" s="122">
        <f t="shared" si="282"/>
        <v>0</v>
      </c>
      <c r="K389" s="122">
        <f>'Stavební rozpočet'!K545</f>
        <v>0</v>
      </c>
      <c r="L389" s="122">
        <f t="shared" si="283"/>
        <v>0</v>
      </c>
      <c r="M389" s="123" t="s">
        <v>622</v>
      </c>
      <c r="Z389" s="124">
        <f t="shared" si="284"/>
        <v>0</v>
      </c>
      <c r="AB389" s="124">
        <f t="shared" si="285"/>
        <v>0</v>
      </c>
      <c r="AC389" s="124">
        <f t="shared" si="286"/>
        <v>0</v>
      </c>
      <c r="AD389" s="124">
        <f t="shared" si="287"/>
        <v>0</v>
      </c>
      <c r="AE389" s="124">
        <f t="shared" si="288"/>
        <v>0</v>
      </c>
      <c r="AF389" s="124">
        <f t="shared" si="289"/>
        <v>0</v>
      </c>
      <c r="AG389" s="124">
        <f t="shared" si="290"/>
        <v>0</v>
      </c>
      <c r="AH389" s="124">
        <f t="shared" si="291"/>
        <v>0</v>
      </c>
      <c r="AI389" s="113" t="s">
        <v>60</v>
      </c>
      <c r="AJ389" s="122">
        <f t="shared" si="292"/>
        <v>0</v>
      </c>
      <c r="AK389" s="122">
        <f t="shared" si="293"/>
        <v>0</v>
      </c>
      <c r="AL389" s="122">
        <f t="shared" si="294"/>
        <v>0</v>
      </c>
      <c r="AN389" s="124">
        <v>15</v>
      </c>
      <c r="AO389" s="124">
        <f t="shared" si="295"/>
        <v>0</v>
      </c>
      <c r="AP389" s="124">
        <f t="shared" si="296"/>
        <v>0</v>
      </c>
      <c r="AQ389" s="123" t="s">
        <v>79</v>
      </c>
      <c r="AV389" s="124">
        <f t="shared" si="297"/>
        <v>0</v>
      </c>
      <c r="AW389" s="124">
        <f t="shared" si="298"/>
        <v>0</v>
      </c>
      <c r="AX389" s="124">
        <f t="shared" si="299"/>
        <v>0</v>
      </c>
      <c r="AY389" s="125" t="s">
        <v>649</v>
      </c>
      <c r="AZ389" s="125" t="s">
        <v>1536</v>
      </c>
      <c r="BA389" s="113" t="s">
        <v>1542</v>
      </c>
      <c r="BC389" s="124">
        <f t="shared" si="300"/>
        <v>0</v>
      </c>
      <c r="BD389" s="124">
        <f t="shared" si="301"/>
        <v>0</v>
      </c>
      <c r="BE389" s="124">
        <v>0</v>
      </c>
      <c r="BF389" s="124">
        <f t="shared" si="302"/>
        <v>0</v>
      </c>
      <c r="BH389" s="122">
        <f t="shared" si="303"/>
        <v>0</v>
      </c>
      <c r="BI389" s="122">
        <f t="shared" si="304"/>
        <v>0</v>
      </c>
      <c r="BJ389" s="122">
        <f t="shared" si="305"/>
        <v>0</v>
      </c>
    </row>
    <row r="390" spans="1:62" s="174" customFormat="1" ht="12.75">
      <c r="A390" s="121" t="s">
        <v>822</v>
      </c>
      <c r="B390" s="121" t="s">
        <v>60</v>
      </c>
      <c r="C390" s="121" t="s">
        <v>386</v>
      </c>
      <c r="D390" s="129" t="s">
        <v>572</v>
      </c>
      <c r="E390" s="121" t="s">
        <v>609</v>
      </c>
      <c r="F390" s="122">
        <f>'Stavební rozpočet'!F546</f>
        <v>250</v>
      </c>
      <c r="G390" s="172"/>
      <c r="H390" s="122">
        <f t="shared" si="280"/>
        <v>0</v>
      </c>
      <c r="I390" s="122">
        <f t="shared" si="281"/>
        <v>0</v>
      </c>
      <c r="J390" s="122">
        <f t="shared" si="282"/>
        <v>0</v>
      </c>
      <c r="K390" s="122">
        <f>'Stavební rozpočet'!K546</f>
        <v>0</v>
      </c>
      <c r="L390" s="122">
        <f t="shared" si="283"/>
        <v>0</v>
      </c>
      <c r="M390" s="123" t="s">
        <v>622</v>
      </c>
      <c r="Z390" s="124">
        <f t="shared" si="284"/>
        <v>0</v>
      </c>
      <c r="AB390" s="124">
        <f t="shared" si="285"/>
        <v>0</v>
      </c>
      <c r="AC390" s="124">
        <f t="shared" si="286"/>
        <v>0</v>
      </c>
      <c r="AD390" s="124">
        <f t="shared" si="287"/>
        <v>0</v>
      </c>
      <c r="AE390" s="124">
        <f t="shared" si="288"/>
        <v>0</v>
      </c>
      <c r="AF390" s="124">
        <f t="shared" si="289"/>
        <v>0</v>
      </c>
      <c r="AG390" s="124">
        <f t="shared" si="290"/>
        <v>0</v>
      </c>
      <c r="AH390" s="124">
        <f t="shared" si="291"/>
        <v>0</v>
      </c>
      <c r="AI390" s="113" t="s">
        <v>60</v>
      </c>
      <c r="AJ390" s="122">
        <f t="shared" si="292"/>
        <v>0</v>
      </c>
      <c r="AK390" s="122">
        <f t="shared" si="293"/>
        <v>0</v>
      </c>
      <c r="AL390" s="122">
        <f t="shared" si="294"/>
        <v>0</v>
      </c>
      <c r="AN390" s="124">
        <v>15</v>
      </c>
      <c r="AO390" s="124">
        <f t="shared" si="295"/>
        <v>0</v>
      </c>
      <c r="AP390" s="124">
        <f t="shared" si="296"/>
        <v>0</v>
      </c>
      <c r="AQ390" s="123" t="s">
        <v>79</v>
      </c>
      <c r="AV390" s="124">
        <f t="shared" si="297"/>
        <v>0</v>
      </c>
      <c r="AW390" s="124">
        <f t="shared" si="298"/>
        <v>0</v>
      </c>
      <c r="AX390" s="124">
        <f t="shared" si="299"/>
        <v>0</v>
      </c>
      <c r="AY390" s="125" t="s">
        <v>649</v>
      </c>
      <c r="AZ390" s="125" t="s">
        <v>1536</v>
      </c>
      <c r="BA390" s="113" t="s">
        <v>1542</v>
      </c>
      <c r="BC390" s="124">
        <f t="shared" si="300"/>
        <v>0</v>
      </c>
      <c r="BD390" s="124">
        <f t="shared" si="301"/>
        <v>0</v>
      </c>
      <c r="BE390" s="124">
        <v>0</v>
      </c>
      <c r="BF390" s="124">
        <f t="shared" si="302"/>
        <v>0</v>
      </c>
      <c r="BH390" s="122">
        <f t="shared" si="303"/>
        <v>0</v>
      </c>
      <c r="BI390" s="122">
        <f t="shared" si="304"/>
        <v>0</v>
      </c>
      <c r="BJ390" s="122">
        <f t="shared" si="305"/>
        <v>0</v>
      </c>
    </row>
    <row r="391" spans="1:62" s="174" customFormat="1" ht="12.75">
      <c r="A391" s="121" t="s">
        <v>823</v>
      </c>
      <c r="B391" s="121" t="s">
        <v>60</v>
      </c>
      <c r="C391" s="121" t="s">
        <v>387</v>
      </c>
      <c r="D391" s="129" t="s">
        <v>573</v>
      </c>
      <c r="E391" s="121" t="s">
        <v>609</v>
      </c>
      <c r="F391" s="122">
        <f>'Stavební rozpočet'!F547</f>
        <v>40</v>
      </c>
      <c r="G391" s="172"/>
      <c r="H391" s="122">
        <f t="shared" si="280"/>
        <v>0</v>
      </c>
      <c r="I391" s="122">
        <f t="shared" si="281"/>
        <v>0</v>
      </c>
      <c r="J391" s="122">
        <f t="shared" si="282"/>
        <v>0</v>
      </c>
      <c r="K391" s="122">
        <f>'Stavební rozpočet'!K547</f>
        <v>0</v>
      </c>
      <c r="L391" s="122">
        <f t="shared" si="283"/>
        <v>0</v>
      </c>
      <c r="M391" s="123" t="s">
        <v>622</v>
      </c>
      <c r="Z391" s="124">
        <f t="shared" si="284"/>
        <v>0</v>
      </c>
      <c r="AB391" s="124">
        <f t="shared" si="285"/>
        <v>0</v>
      </c>
      <c r="AC391" s="124">
        <f t="shared" si="286"/>
        <v>0</v>
      </c>
      <c r="AD391" s="124">
        <f t="shared" si="287"/>
        <v>0</v>
      </c>
      <c r="AE391" s="124">
        <f t="shared" si="288"/>
        <v>0</v>
      </c>
      <c r="AF391" s="124">
        <f t="shared" si="289"/>
        <v>0</v>
      </c>
      <c r="AG391" s="124">
        <f t="shared" si="290"/>
        <v>0</v>
      </c>
      <c r="AH391" s="124">
        <f t="shared" si="291"/>
        <v>0</v>
      </c>
      <c r="AI391" s="113" t="s">
        <v>60</v>
      </c>
      <c r="AJ391" s="122">
        <f t="shared" si="292"/>
        <v>0</v>
      </c>
      <c r="AK391" s="122">
        <f t="shared" si="293"/>
        <v>0</v>
      </c>
      <c r="AL391" s="122">
        <f t="shared" si="294"/>
        <v>0</v>
      </c>
      <c r="AN391" s="124">
        <v>15</v>
      </c>
      <c r="AO391" s="124">
        <f t="shared" si="295"/>
        <v>0</v>
      </c>
      <c r="AP391" s="124">
        <f t="shared" si="296"/>
        <v>0</v>
      </c>
      <c r="AQ391" s="123" t="s">
        <v>79</v>
      </c>
      <c r="AV391" s="124">
        <f t="shared" si="297"/>
        <v>0</v>
      </c>
      <c r="AW391" s="124">
        <f t="shared" si="298"/>
        <v>0</v>
      </c>
      <c r="AX391" s="124">
        <f t="shared" si="299"/>
        <v>0</v>
      </c>
      <c r="AY391" s="125" t="s">
        <v>649</v>
      </c>
      <c r="AZ391" s="125" t="s">
        <v>1536</v>
      </c>
      <c r="BA391" s="113" t="s">
        <v>1542</v>
      </c>
      <c r="BC391" s="124">
        <f t="shared" si="300"/>
        <v>0</v>
      </c>
      <c r="BD391" s="124">
        <f t="shared" si="301"/>
        <v>0</v>
      </c>
      <c r="BE391" s="124">
        <v>0</v>
      </c>
      <c r="BF391" s="124">
        <f t="shared" si="302"/>
        <v>0</v>
      </c>
      <c r="BH391" s="122">
        <f t="shared" si="303"/>
        <v>0</v>
      </c>
      <c r="BI391" s="122">
        <f t="shared" si="304"/>
        <v>0</v>
      </c>
      <c r="BJ391" s="122">
        <f t="shared" si="305"/>
        <v>0</v>
      </c>
    </row>
    <row r="392" spans="1:62" s="174" customFormat="1" ht="12.75">
      <c r="A392" s="121" t="s">
        <v>824</v>
      </c>
      <c r="B392" s="121" t="s">
        <v>60</v>
      </c>
      <c r="C392" s="121" t="s">
        <v>388</v>
      </c>
      <c r="D392" s="129" t="s">
        <v>1445</v>
      </c>
      <c r="E392" s="121" t="s">
        <v>606</v>
      </c>
      <c r="F392" s="122">
        <f>'Stavební rozpočet'!F548</f>
        <v>1</v>
      </c>
      <c r="G392" s="172"/>
      <c r="H392" s="122">
        <f t="shared" si="280"/>
        <v>0</v>
      </c>
      <c r="I392" s="122">
        <f t="shared" si="281"/>
        <v>0</v>
      </c>
      <c r="J392" s="122">
        <f t="shared" si="282"/>
        <v>0</v>
      </c>
      <c r="K392" s="122">
        <f>'Stavební rozpočet'!K548</f>
        <v>0</v>
      </c>
      <c r="L392" s="122">
        <f t="shared" si="283"/>
        <v>0</v>
      </c>
      <c r="M392" s="123" t="s">
        <v>622</v>
      </c>
      <c r="Z392" s="124">
        <f t="shared" si="284"/>
        <v>0</v>
      </c>
      <c r="AB392" s="124">
        <f t="shared" si="285"/>
        <v>0</v>
      </c>
      <c r="AC392" s="124">
        <f t="shared" si="286"/>
        <v>0</v>
      </c>
      <c r="AD392" s="124">
        <f t="shared" si="287"/>
        <v>0</v>
      </c>
      <c r="AE392" s="124">
        <f t="shared" si="288"/>
        <v>0</v>
      </c>
      <c r="AF392" s="124">
        <f t="shared" si="289"/>
        <v>0</v>
      </c>
      <c r="AG392" s="124">
        <f t="shared" si="290"/>
        <v>0</v>
      </c>
      <c r="AH392" s="124">
        <f t="shared" si="291"/>
        <v>0</v>
      </c>
      <c r="AI392" s="113" t="s">
        <v>60</v>
      </c>
      <c r="AJ392" s="122">
        <f t="shared" si="292"/>
        <v>0</v>
      </c>
      <c r="AK392" s="122">
        <f t="shared" si="293"/>
        <v>0</v>
      </c>
      <c r="AL392" s="122">
        <f t="shared" si="294"/>
        <v>0</v>
      </c>
      <c r="AN392" s="124">
        <v>15</v>
      </c>
      <c r="AO392" s="124">
        <f t="shared" si="295"/>
        <v>0</v>
      </c>
      <c r="AP392" s="124">
        <f t="shared" si="296"/>
        <v>0</v>
      </c>
      <c r="AQ392" s="123" t="s">
        <v>79</v>
      </c>
      <c r="AV392" s="124">
        <f t="shared" si="297"/>
        <v>0</v>
      </c>
      <c r="AW392" s="124">
        <f t="shared" si="298"/>
        <v>0</v>
      </c>
      <c r="AX392" s="124">
        <f t="shared" si="299"/>
        <v>0</v>
      </c>
      <c r="AY392" s="125" t="s">
        <v>649</v>
      </c>
      <c r="AZ392" s="125" t="s">
        <v>1536</v>
      </c>
      <c r="BA392" s="113" t="s">
        <v>1542</v>
      </c>
      <c r="BC392" s="124">
        <f t="shared" si="300"/>
        <v>0</v>
      </c>
      <c r="BD392" s="124">
        <f t="shared" si="301"/>
        <v>0</v>
      </c>
      <c r="BE392" s="124">
        <v>0</v>
      </c>
      <c r="BF392" s="124">
        <f t="shared" si="302"/>
        <v>0</v>
      </c>
      <c r="BH392" s="122">
        <f t="shared" si="303"/>
        <v>0</v>
      </c>
      <c r="BI392" s="122">
        <f t="shared" si="304"/>
        <v>0</v>
      </c>
      <c r="BJ392" s="122">
        <f t="shared" si="305"/>
        <v>0</v>
      </c>
    </row>
    <row r="393" spans="1:62" s="174" customFormat="1" ht="12.75">
      <c r="A393" s="121" t="s">
        <v>825</v>
      </c>
      <c r="B393" s="121" t="s">
        <v>60</v>
      </c>
      <c r="C393" s="121" t="s">
        <v>1138</v>
      </c>
      <c r="D393" s="129" t="s">
        <v>1446</v>
      </c>
      <c r="E393" s="121" t="s">
        <v>606</v>
      </c>
      <c r="F393" s="122">
        <f>'Stavební rozpočet'!F549</f>
        <v>2</v>
      </c>
      <c r="G393" s="172"/>
      <c r="H393" s="122">
        <f t="shared" si="280"/>
        <v>0</v>
      </c>
      <c r="I393" s="122">
        <f t="shared" si="281"/>
        <v>0</v>
      </c>
      <c r="J393" s="122">
        <f t="shared" si="282"/>
        <v>0</v>
      </c>
      <c r="K393" s="122">
        <f>'Stavební rozpočet'!K549</f>
        <v>0</v>
      </c>
      <c r="L393" s="122">
        <f t="shared" si="283"/>
        <v>0</v>
      </c>
      <c r="M393" s="123" t="s">
        <v>622</v>
      </c>
      <c r="Z393" s="124">
        <f t="shared" si="284"/>
        <v>0</v>
      </c>
      <c r="AB393" s="124">
        <f t="shared" si="285"/>
        <v>0</v>
      </c>
      <c r="AC393" s="124">
        <f t="shared" si="286"/>
        <v>0</v>
      </c>
      <c r="AD393" s="124">
        <f t="shared" si="287"/>
        <v>0</v>
      </c>
      <c r="AE393" s="124">
        <f t="shared" si="288"/>
        <v>0</v>
      </c>
      <c r="AF393" s="124">
        <f t="shared" si="289"/>
        <v>0</v>
      </c>
      <c r="AG393" s="124">
        <f t="shared" si="290"/>
        <v>0</v>
      </c>
      <c r="AH393" s="124">
        <f t="shared" si="291"/>
        <v>0</v>
      </c>
      <c r="AI393" s="113" t="s">
        <v>60</v>
      </c>
      <c r="AJ393" s="122">
        <f t="shared" si="292"/>
        <v>0</v>
      </c>
      <c r="AK393" s="122">
        <f t="shared" si="293"/>
        <v>0</v>
      </c>
      <c r="AL393" s="122">
        <f t="shared" si="294"/>
        <v>0</v>
      </c>
      <c r="AN393" s="124">
        <v>15</v>
      </c>
      <c r="AO393" s="124">
        <f t="shared" si="295"/>
        <v>0</v>
      </c>
      <c r="AP393" s="124">
        <f t="shared" si="296"/>
        <v>0</v>
      </c>
      <c r="AQ393" s="123" t="s">
        <v>79</v>
      </c>
      <c r="AV393" s="124">
        <f t="shared" si="297"/>
        <v>0</v>
      </c>
      <c r="AW393" s="124">
        <f t="shared" si="298"/>
        <v>0</v>
      </c>
      <c r="AX393" s="124">
        <f t="shared" si="299"/>
        <v>0</v>
      </c>
      <c r="AY393" s="125" t="s">
        <v>649</v>
      </c>
      <c r="AZ393" s="125" t="s">
        <v>1536</v>
      </c>
      <c r="BA393" s="113" t="s">
        <v>1542</v>
      </c>
      <c r="BC393" s="124">
        <f t="shared" si="300"/>
        <v>0</v>
      </c>
      <c r="BD393" s="124">
        <f t="shared" si="301"/>
        <v>0</v>
      </c>
      <c r="BE393" s="124">
        <v>0</v>
      </c>
      <c r="BF393" s="124">
        <f t="shared" si="302"/>
        <v>0</v>
      </c>
      <c r="BH393" s="122">
        <f t="shared" si="303"/>
        <v>0</v>
      </c>
      <c r="BI393" s="122">
        <f t="shared" si="304"/>
        <v>0</v>
      </c>
      <c r="BJ393" s="122">
        <f t="shared" si="305"/>
        <v>0</v>
      </c>
    </row>
    <row r="394" spans="1:62" s="174" customFormat="1" ht="12.75">
      <c r="A394" s="121" t="s">
        <v>826</v>
      </c>
      <c r="B394" s="121" t="s">
        <v>60</v>
      </c>
      <c r="C394" s="121" t="s">
        <v>1139</v>
      </c>
      <c r="D394" s="129" t="s">
        <v>2228</v>
      </c>
      <c r="E394" s="121" t="s">
        <v>606</v>
      </c>
      <c r="F394" s="122">
        <f>'Stavební rozpočet'!F550</f>
        <v>1</v>
      </c>
      <c r="G394" s="172"/>
      <c r="H394" s="122">
        <f t="shared" si="280"/>
        <v>0</v>
      </c>
      <c r="I394" s="122">
        <f t="shared" si="281"/>
        <v>0</v>
      </c>
      <c r="J394" s="122">
        <f t="shared" si="282"/>
        <v>0</v>
      </c>
      <c r="K394" s="122">
        <f>'Stavební rozpočet'!K550</f>
        <v>0</v>
      </c>
      <c r="L394" s="122">
        <f t="shared" si="283"/>
        <v>0</v>
      </c>
      <c r="M394" s="123" t="s">
        <v>622</v>
      </c>
      <c r="Z394" s="124">
        <f t="shared" si="284"/>
        <v>0</v>
      </c>
      <c r="AB394" s="124">
        <f t="shared" si="285"/>
        <v>0</v>
      </c>
      <c r="AC394" s="124">
        <f t="shared" si="286"/>
        <v>0</v>
      </c>
      <c r="AD394" s="124">
        <f t="shared" si="287"/>
        <v>0</v>
      </c>
      <c r="AE394" s="124">
        <f t="shared" si="288"/>
        <v>0</v>
      </c>
      <c r="AF394" s="124">
        <f t="shared" si="289"/>
        <v>0</v>
      </c>
      <c r="AG394" s="124">
        <f t="shared" si="290"/>
        <v>0</v>
      </c>
      <c r="AH394" s="124">
        <f t="shared" si="291"/>
        <v>0</v>
      </c>
      <c r="AI394" s="113" t="s">
        <v>60</v>
      </c>
      <c r="AJ394" s="122">
        <f t="shared" si="292"/>
        <v>0</v>
      </c>
      <c r="AK394" s="122">
        <f t="shared" si="293"/>
        <v>0</v>
      </c>
      <c r="AL394" s="122">
        <f t="shared" si="294"/>
        <v>0</v>
      </c>
      <c r="AN394" s="124">
        <v>15</v>
      </c>
      <c r="AO394" s="124">
        <f t="shared" si="295"/>
        <v>0</v>
      </c>
      <c r="AP394" s="124">
        <f t="shared" si="296"/>
        <v>0</v>
      </c>
      <c r="AQ394" s="123" t="s">
        <v>79</v>
      </c>
      <c r="AV394" s="124">
        <f t="shared" si="297"/>
        <v>0</v>
      </c>
      <c r="AW394" s="124">
        <f t="shared" si="298"/>
        <v>0</v>
      </c>
      <c r="AX394" s="124">
        <f t="shared" si="299"/>
        <v>0</v>
      </c>
      <c r="AY394" s="125" t="s">
        <v>649</v>
      </c>
      <c r="AZ394" s="125" t="s">
        <v>1536</v>
      </c>
      <c r="BA394" s="113" t="s">
        <v>1542</v>
      </c>
      <c r="BC394" s="124">
        <f t="shared" si="300"/>
        <v>0</v>
      </c>
      <c r="BD394" s="124">
        <f t="shared" si="301"/>
        <v>0</v>
      </c>
      <c r="BE394" s="124">
        <v>0</v>
      </c>
      <c r="BF394" s="124">
        <f t="shared" si="302"/>
        <v>0</v>
      </c>
      <c r="BH394" s="122">
        <f t="shared" si="303"/>
        <v>0</v>
      </c>
      <c r="BI394" s="122">
        <f t="shared" si="304"/>
        <v>0</v>
      </c>
      <c r="BJ394" s="122">
        <f t="shared" si="305"/>
        <v>0</v>
      </c>
    </row>
    <row r="395" spans="1:62" s="174" customFormat="1" ht="12.75" hidden="1">
      <c r="A395" s="121" t="s">
        <v>827</v>
      </c>
      <c r="B395" s="121" t="s">
        <v>60</v>
      </c>
      <c r="C395" s="121" t="s">
        <v>1140</v>
      </c>
      <c r="D395" s="129" t="s">
        <v>1448</v>
      </c>
      <c r="E395" s="121" t="s">
        <v>606</v>
      </c>
      <c r="F395" s="122">
        <f>'Stavební rozpočet'!F551</f>
        <v>0</v>
      </c>
      <c r="G395" s="172"/>
      <c r="H395" s="122">
        <f t="shared" si="280"/>
        <v>0</v>
      </c>
      <c r="I395" s="122">
        <f t="shared" si="281"/>
        <v>0</v>
      </c>
      <c r="J395" s="122">
        <f t="shared" si="282"/>
        <v>0</v>
      </c>
      <c r="K395" s="122">
        <f>'Stavební rozpočet'!K551</f>
        <v>0</v>
      </c>
      <c r="L395" s="122">
        <f t="shared" si="283"/>
        <v>0</v>
      </c>
      <c r="M395" s="123" t="s">
        <v>622</v>
      </c>
      <c r="Z395" s="124">
        <f t="shared" si="284"/>
        <v>0</v>
      </c>
      <c r="AB395" s="124">
        <f t="shared" si="285"/>
        <v>0</v>
      </c>
      <c r="AC395" s="124">
        <f t="shared" si="286"/>
        <v>0</v>
      </c>
      <c r="AD395" s="124">
        <f t="shared" si="287"/>
        <v>0</v>
      </c>
      <c r="AE395" s="124">
        <f t="shared" si="288"/>
        <v>0</v>
      </c>
      <c r="AF395" s="124">
        <f t="shared" si="289"/>
        <v>0</v>
      </c>
      <c r="AG395" s="124">
        <f t="shared" si="290"/>
        <v>0</v>
      </c>
      <c r="AH395" s="124">
        <f t="shared" si="291"/>
        <v>0</v>
      </c>
      <c r="AI395" s="113" t="s">
        <v>60</v>
      </c>
      <c r="AJ395" s="122">
        <f t="shared" si="292"/>
        <v>0</v>
      </c>
      <c r="AK395" s="122">
        <f t="shared" si="293"/>
        <v>0</v>
      </c>
      <c r="AL395" s="122">
        <f t="shared" si="294"/>
        <v>0</v>
      </c>
      <c r="AN395" s="124">
        <v>15</v>
      </c>
      <c r="AO395" s="124">
        <f t="shared" si="295"/>
        <v>0</v>
      </c>
      <c r="AP395" s="124">
        <f t="shared" si="296"/>
        <v>0</v>
      </c>
      <c r="AQ395" s="123" t="s">
        <v>79</v>
      </c>
      <c r="AV395" s="124">
        <f t="shared" si="297"/>
        <v>0</v>
      </c>
      <c r="AW395" s="124">
        <f t="shared" si="298"/>
        <v>0</v>
      </c>
      <c r="AX395" s="124">
        <f t="shared" si="299"/>
        <v>0</v>
      </c>
      <c r="AY395" s="125" t="s">
        <v>649</v>
      </c>
      <c r="AZ395" s="125" t="s">
        <v>1536</v>
      </c>
      <c r="BA395" s="113" t="s">
        <v>1542</v>
      </c>
      <c r="BC395" s="124">
        <f t="shared" si="300"/>
        <v>0</v>
      </c>
      <c r="BD395" s="124">
        <f t="shared" si="301"/>
        <v>0</v>
      </c>
      <c r="BE395" s="124">
        <v>0</v>
      </c>
      <c r="BF395" s="124">
        <f t="shared" si="302"/>
        <v>0</v>
      </c>
      <c r="BH395" s="122">
        <f t="shared" si="303"/>
        <v>0</v>
      </c>
      <c r="BI395" s="122">
        <f t="shared" si="304"/>
        <v>0</v>
      </c>
      <c r="BJ395" s="122">
        <f t="shared" si="305"/>
        <v>0</v>
      </c>
    </row>
    <row r="396" spans="1:62" s="174" customFormat="1" ht="12.75">
      <c r="A396" s="121" t="s">
        <v>828</v>
      </c>
      <c r="B396" s="121" t="s">
        <v>60</v>
      </c>
      <c r="C396" s="121" t="s">
        <v>1141</v>
      </c>
      <c r="D396" s="129" t="s">
        <v>1449</v>
      </c>
      <c r="E396" s="121" t="s">
        <v>606</v>
      </c>
      <c r="F396" s="122">
        <f>'Stavební rozpočet'!F552</f>
        <v>1</v>
      </c>
      <c r="G396" s="172"/>
      <c r="H396" s="122">
        <f t="shared" si="280"/>
        <v>0</v>
      </c>
      <c r="I396" s="122">
        <f t="shared" si="281"/>
        <v>0</v>
      </c>
      <c r="J396" s="122">
        <f t="shared" si="282"/>
        <v>0</v>
      </c>
      <c r="K396" s="122">
        <f>'Stavební rozpočet'!K552</f>
        <v>0</v>
      </c>
      <c r="L396" s="122">
        <f t="shared" si="283"/>
        <v>0</v>
      </c>
      <c r="M396" s="123" t="s">
        <v>622</v>
      </c>
      <c r="Z396" s="124">
        <f t="shared" si="284"/>
        <v>0</v>
      </c>
      <c r="AB396" s="124">
        <f t="shared" si="285"/>
        <v>0</v>
      </c>
      <c r="AC396" s="124">
        <f t="shared" si="286"/>
        <v>0</v>
      </c>
      <c r="AD396" s="124">
        <f t="shared" si="287"/>
        <v>0</v>
      </c>
      <c r="AE396" s="124">
        <f t="shared" si="288"/>
        <v>0</v>
      </c>
      <c r="AF396" s="124">
        <f t="shared" si="289"/>
        <v>0</v>
      </c>
      <c r="AG396" s="124">
        <f t="shared" si="290"/>
        <v>0</v>
      </c>
      <c r="AH396" s="124">
        <f t="shared" si="291"/>
        <v>0</v>
      </c>
      <c r="AI396" s="113" t="s">
        <v>60</v>
      </c>
      <c r="AJ396" s="122">
        <f t="shared" si="292"/>
        <v>0</v>
      </c>
      <c r="AK396" s="122">
        <f t="shared" si="293"/>
        <v>0</v>
      </c>
      <c r="AL396" s="122">
        <f t="shared" si="294"/>
        <v>0</v>
      </c>
      <c r="AN396" s="124">
        <v>15</v>
      </c>
      <c r="AO396" s="124">
        <f t="shared" si="295"/>
        <v>0</v>
      </c>
      <c r="AP396" s="124">
        <f t="shared" si="296"/>
        <v>0</v>
      </c>
      <c r="AQ396" s="123" t="s">
        <v>79</v>
      </c>
      <c r="AV396" s="124">
        <f t="shared" si="297"/>
        <v>0</v>
      </c>
      <c r="AW396" s="124">
        <f t="shared" si="298"/>
        <v>0</v>
      </c>
      <c r="AX396" s="124">
        <f t="shared" si="299"/>
        <v>0</v>
      </c>
      <c r="AY396" s="125" t="s">
        <v>649</v>
      </c>
      <c r="AZ396" s="125" t="s">
        <v>1536</v>
      </c>
      <c r="BA396" s="113" t="s">
        <v>1542</v>
      </c>
      <c r="BC396" s="124">
        <f t="shared" si="300"/>
        <v>0</v>
      </c>
      <c r="BD396" s="124">
        <f t="shared" si="301"/>
        <v>0</v>
      </c>
      <c r="BE396" s="124">
        <v>0</v>
      </c>
      <c r="BF396" s="124">
        <f t="shared" si="302"/>
        <v>0</v>
      </c>
      <c r="BH396" s="122">
        <f t="shared" si="303"/>
        <v>0</v>
      </c>
      <c r="BI396" s="122">
        <f t="shared" si="304"/>
        <v>0</v>
      </c>
      <c r="BJ396" s="122">
        <f t="shared" si="305"/>
        <v>0</v>
      </c>
    </row>
    <row r="397" spans="1:62" s="174" customFormat="1" ht="12.75">
      <c r="A397" s="121" t="s">
        <v>829</v>
      </c>
      <c r="B397" s="121" t="s">
        <v>60</v>
      </c>
      <c r="C397" s="121" t="s">
        <v>389</v>
      </c>
      <c r="D397" s="129" t="s">
        <v>575</v>
      </c>
      <c r="E397" s="121" t="s">
        <v>611</v>
      </c>
      <c r="F397" s="122">
        <f>'Stavební rozpočet'!F553</f>
        <v>4</v>
      </c>
      <c r="G397" s="172"/>
      <c r="H397" s="122">
        <f t="shared" si="280"/>
        <v>0</v>
      </c>
      <c r="I397" s="122">
        <f t="shared" si="281"/>
        <v>0</v>
      </c>
      <c r="J397" s="122">
        <f t="shared" si="282"/>
        <v>0</v>
      </c>
      <c r="K397" s="122">
        <f>'Stavební rozpočet'!K553</f>
        <v>0</v>
      </c>
      <c r="L397" s="122">
        <f t="shared" si="283"/>
        <v>0</v>
      </c>
      <c r="M397" s="123" t="s">
        <v>622</v>
      </c>
      <c r="Z397" s="124">
        <f t="shared" si="284"/>
        <v>0</v>
      </c>
      <c r="AB397" s="124">
        <f t="shared" si="285"/>
        <v>0</v>
      </c>
      <c r="AC397" s="124">
        <f t="shared" si="286"/>
        <v>0</v>
      </c>
      <c r="AD397" s="124">
        <f t="shared" si="287"/>
        <v>0</v>
      </c>
      <c r="AE397" s="124">
        <f t="shared" si="288"/>
        <v>0</v>
      </c>
      <c r="AF397" s="124">
        <f t="shared" si="289"/>
        <v>0</v>
      </c>
      <c r="AG397" s="124">
        <f t="shared" si="290"/>
        <v>0</v>
      </c>
      <c r="AH397" s="124">
        <f t="shared" si="291"/>
        <v>0</v>
      </c>
      <c r="AI397" s="113" t="s">
        <v>60</v>
      </c>
      <c r="AJ397" s="122">
        <f t="shared" si="292"/>
        <v>0</v>
      </c>
      <c r="AK397" s="122">
        <f t="shared" si="293"/>
        <v>0</v>
      </c>
      <c r="AL397" s="122">
        <f t="shared" si="294"/>
        <v>0</v>
      </c>
      <c r="AN397" s="124">
        <v>15</v>
      </c>
      <c r="AO397" s="124">
        <f t="shared" si="295"/>
        <v>0</v>
      </c>
      <c r="AP397" s="124">
        <f t="shared" si="296"/>
        <v>0</v>
      </c>
      <c r="AQ397" s="123" t="s">
        <v>79</v>
      </c>
      <c r="AV397" s="124">
        <f t="shared" si="297"/>
        <v>0</v>
      </c>
      <c r="AW397" s="124">
        <f t="shared" si="298"/>
        <v>0</v>
      </c>
      <c r="AX397" s="124">
        <f t="shared" si="299"/>
        <v>0</v>
      </c>
      <c r="AY397" s="125" t="s">
        <v>649</v>
      </c>
      <c r="AZ397" s="125" t="s">
        <v>1536</v>
      </c>
      <c r="BA397" s="113" t="s">
        <v>1542</v>
      </c>
      <c r="BC397" s="124">
        <f t="shared" si="300"/>
        <v>0</v>
      </c>
      <c r="BD397" s="124">
        <f t="shared" si="301"/>
        <v>0</v>
      </c>
      <c r="BE397" s="124">
        <v>0</v>
      </c>
      <c r="BF397" s="124">
        <f t="shared" si="302"/>
        <v>0</v>
      </c>
      <c r="BH397" s="122">
        <f t="shared" si="303"/>
        <v>0</v>
      </c>
      <c r="BI397" s="122">
        <f t="shared" si="304"/>
        <v>0</v>
      </c>
      <c r="BJ397" s="122">
        <f t="shared" si="305"/>
        <v>0</v>
      </c>
    </row>
    <row r="398" spans="1:62" s="174" customFormat="1" ht="12.75" hidden="1">
      <c r="A398" s="121" t="s">
        <v>830</v>
      </c>
      <c r="B398" s="121" t="s">
        <v>60</v>
      </c>
      <c r="C398" s="121" t="s">
        <v>1142</v>
      </c>
      <c r="D398" s="129" t="s">
        <v>1450</v>
      </c>
      <c r="E398" s="121" t="s">
        <v>613</v>
      </c>
      <c r="F398" s="122">
        <f>'Stavební rozpočet'!F554</f>
        <v>0</v>
      </c>
      <c r="G398" s="172"/>
      <c r="H398" s="122">
        <f t="shared" si="280"/>
        <v>0</v>
      </c>
      <c r="I398" s="122">
        <f t="shared" si="281"/>
        <v>0</v>
      </c>
      <c r="J398" s="122">
        <f t="shared" si="282"/>
        <v>0</v>
      </c>
      <c r="K398" s="122">
        <f>'Stavební rozpočet'!K554</f>
        <v>0</v>
      </c>
      <c r="L398" s="122">
        <f t="shared" si="283"/>
        <v>0</v>
      </c>
      <c r="M398" s="123" t="s">
        <v>622</v>
      </c>
      <c r="Z398" s="124">
        <f t="shared" si="284"/>
        <v>0</v>
      </c>
      <c r="AB398" s="124">
        <f t="shared" si="285"/>
        <v>0</v>
      </c>
      <c r="AC398" s="124">
        <f t="shared" si="286"/>
        <v>0</v>
      </c>
      <c r="AD398" s="124">
        <f t="shared" si="287"/>
        <v>0</v>
      </c>
      <c r="AE398" s="124">
        <f t="shared" si="288"/>
        <v>0</v>
      </c>
      <c r="AF398" s="124">
        <f t="shared" si="289"/>
        <v>0</v>
      </c>
      <c r="AG398" s="124">
        <f t="shared" si="290"/>
        <v>0</v>
      </c>
      <c r="AH398" s="124">
        <f t="shared" si="291"/>
        <v>0</v>
      </c>
      <c r="AI398" s="113" t="s">
        <v>60</v>
      </c>
      <c r="AJ398" s="122">
        <f t="shared" si="292"/>
        <v>0</v>
      </c>
      <c r="AK398" s="122">
        <f t="shared" si="293"/>
        <v>0</v>
      </c>
      <c r="AL398" s="122">
        <f t="shared" si="294"/>
        <v>0</v>
      </c>
      <c r="AN398" s="124">
        <v>15</v>
      </c>
      <c r="AO398" s="124">
        <f t="shared" si="295"/>
        <v>0</v>
      </c>
      <c r="AP398" s="124">
        <f t="shared" si="296"/>
        <v>0</v>
      </c>
      <c r="AQ398" s="123" t="s">
        <v>79</v>
      </c>
      <c r="AV398" s="124">
        <f t="shared" si="297"/>
        <v>0</v>
      </c>
      <c r="AW398" s="124">
        <f t="shared" si="298"/>
        <v>0</v>
      </c>
      <c r="AX398" s="124">
        <f t="shared" si="299"/>
        <v>0</v>
      </c>
      <c r="AY398" s="125" t="s">
        <v>649</v>
      </c>
      <c r="AZ398" s="125" t="s">
        <v>1536</v>
      </c>
      <c r="BA398" s="113" t="s">
        <v>1542</v>
      </c>
      <c r="BC398" s="124">
        <f t="shared" si="300"/>
        <v>0</v>
      </c>
      <c r="BD398" s="124">
        <f t="shared" si="301"/>
        <v>0</v>
      </c>
      <c r="BE398" s="124">
        <v>0</v>
      </c>
      <c r="BF398" s="124">
        <f t="shared" si="302"/>
        <v>0</v>
      </c>
      <c r="BH398" s="122">
        <f t="shared" si="303"/>
        <v>0</v>
      </c>
      <c r="BI398" s="122">
        <f t="shared" si="304"/>
        <v>0</v>
      </c>
      <c r="BJ398" s="122">
        <f t="shared" si="305"/>
        <v>0</v>
      </c>
    </row>
    <row r="399" spans="1:62" s="174" customFormat="1" ht="12.75">
      <c r="A399" s="121" t="s">
        <v>831</v>
      </c>
      <c r="B399" s="121" t="s">
        <v>60</v>
      </c>
      <c r="C399" s="121" t="s">
        <v>1143</v>
      </c>
      <c r="D399" s="129" t="s">
        <v>1451</v>
      </c>
      <c r="E399" s="121" t="s">
        <v>613</v>
      </c>
      <c r="F399" s="122">
        <f>'Stavební rozpočet'!F555</f>
        <v>1</v>
      </c>
      <c r="G399" s="172"/>
      <c r="H399" s="122">
        <f t="shared" si="280"/>
        <v>0</v>
      </c>
      <c r="I399" s="122">
        <f t="shared" si="281"/>
        <v>0</v>
      </c>
      <c r="J399" s="122">
        <f t="shared" si="282"/>
        <v>0</v>
      </c>
      <c r="K399" s="122">
        <f>'Stavební rozpočet'!K555</f>
        <v>0</v>
      </c>
      <c r="L399" s="122">
        <f t="shared" si="283"/>
        <v>0</v>
      </c>
      <c r="M399" s="123" t="s">
        <v>622</v>
      </c>
      <c r="Z399" s="124">
        <f t="shared" si="284"/>
        <v>0</v>
      </c>
      <c r="AB399" s="124">
        <f t="shared" si="285"/>
        <v>0</v>
      </c>
      <c r="AC399" s="124">
        <f t="shared" si="286"/>
        <v>0</v>
      </c>
      <c r="AD399" s="124">
        <f t="shared" si="287"/>
        <v>0</v>
      </c>
      <c r="AE399" s="124">
        <f t="shared" si="288"/>
        <v>0</v>
      </c>
      <c r="AF399" s="124">
        <f t="shared" si="289"/>
        <v>0</v>
      </c>
      <c r="AG399" s="124">
        <f t="shared" si="290"/>
        <v>0</v>
      </c>
      <c r="AH399" s="124">
        <f t="shared" si="291"/>
        <v>0</v>
      </c>
      <c r="AI399" s="113" t="s">
        <v>60</v>
      </c>
      <c r="AJ399" s="122">
        <f t="shared" si="292"/>
        <v>0</v>
      </c>
      <c r="AK399" s="122">
        <f t="shared" si="293"/>
        <v>0</v>
      </c>
      <c r="AL399" s="122">
        <f t="shared" si="294"/>
        <v>0</v>
      </c>
      <c r="AN399" s="124">
        <v>15</v>
      </c>
      <c r="AO399" s="124">
        <f t="shared" si="295"/>
        <v>0</v>
      </c>
      <c r="AP399" s="124">
        <f t="shared" si="296"/>
        <v>0</v>
      </c>
      <c r="AQ399" s="123" t="s">
        <v>79</v>
      </c>
      <c r="AV399" s="124">
        <f t="shared" si="297"/>
        <v>0</v>
      </c>
      <c r="AW399" s="124">
        <f t="shared" si="298"/>
        <v>0</v>
      </c>
      <c r="AX399" s="124">
        <f t="shared" si="299"/>
        <v>0</v>
      </c>
      <c r="AY399" s="125" t="s">
        <v>649</v>
      </c>
      <c r="AZ399" s="125" t="s">
        <v>1536</v>
      </c>
      <c r="BA399" s="113" t="s">
        <v>1542</v>
      </c>
      <c r="BC399" s="124">
        <f t="shared" si="300"/>
        <v>0</v>
      </c>
      <c r="BD399" s="124">
        <f t="shared" si="301"/>
        <v>0</v>
      </c>
      <c r="BE399" s="124">
        <v>0</v>
      </c>
      <c r="BF399" s="124">
        <f t="shared" si="302"/>
        <v>0</v>
      </c>
      <c r="BH399" s="122">
        <f t="shared" si="303"/>
        <v>0</v>
      </c>
      <c r="BI399" s="122">
        <f t="shared" si="304"/>
        <v>0</v>
      </c>
      <c r="BJ399" s="122">
        <f t="shared" si="305"/>
        <v>0</v>
      </c>
    </row>
    <row r="400" spans="1:62" s="174" customFormat="1" ht="12.75" hidden="1">
      <c r="A400" s="121" t="s">
        <v>832</v>
      </c>
      <c r="B400" s="121" t="s">
        <v>60</v>
      </c>
      <c r="C400" s="121" t="s">
        <v>390</v>
      </c>
      <c r="D400" s="129" t="s">
        <v>1452</v>
      </c>
      <c r="E400" s="121" t="s">
        <v>613</v>
      </c>
      <c r="F400" s="122">
        <f>'Stavební rozpočet'!F556</f>
        <v>0</v>
      </c>
      <c r="G400" s="172"/>
      <c r="H400" s="122">
        <f t="shared" si="280"/>
        <v>0</v>
      </c>
      <c r="I400" s="122">
        <f t="shared" si="281"/>
        <v>0</v>
      </c>
      <c r="J400" s="122">
        <f t="shared" si="282"/>
        <v>0</v>
      </c>
      <c r="K400" s="122">
        <f>'Stavební rozpočet'!K556</f>
        <v>0</v>
      </c>
      <c r="L400" s="122">
        <f t="shared" si="283"/>
        <v>0</v>
      </c>
      <c r="M400" s="123" t="s">
        <v>622</v>
      </c>
      <c r="Z400" s="124">
        <f t="shared" si="284"/>
        <v>0</v>
      </c>
      <c r="AB400" s="124">
        <f t="shared" si="285"/>
        <v>0</v>
      </c>
      <c r="AC400" s="124">
        <f t="shared" si="286"/>
        <v>0</v>
      </c>
      <c r="AD400" s="124">
        <f t="shared" si="287"/>
        <v>0</v>
      </c>
      <c r="AE400" s="124">
        <f t="shared" si="288"/>
        <v>0</v>
      </c>
      <c r="AF400" s="124">
        <f t="shared" si="289"/>
        <v>0</v>
      </c>
      <c r="AG400" s="124">
        <f t="shared" si="290"/>
        <v>0</v>
      </c>
      <c r="AH400" s="124">
        <f t="shared" si="291"/>
        <v>0</v>
      </c>
      <c r="AI400" s="113" t="s">
        <v>60</v>
      </c>
      <c r="AJ400" s="122">
        <f t="shared" si="292"/>
        <v>0</v>
      </c>
      <c r="AK400" s="122">
        <f t="shared" si="293"/>
        <v>0</v>
      </c>
      <c r="AL400" s="122">
        <f t="shared" si="294"/>
        <v>0</v>
      </c>
      <c r="AN400" s="124">
        <v>15</v>
      </c>
      <c r="AO400" s="124">
        <f t="shared" si="295"/>
        <v>0</v>
      </c>
      <c r="AP400" s="124">
        <f t="shared" si="296"/>
        <v>0</v>
      </c>
      <c r="AQ400" s="123" t="s">
        <v>79</v>
      </c>
      <c r="AV400" s="124">
        <f t="shared" si="297"/>
        <v>0</v>
      </c>
      <c r="AW400" s="124">
        <f t="shared" si="298"/>
        <v>0</v>
      </c>
      <c r="AX400" s="124">
        <f t="shared" si="299"/>
        <v>0</v>
      </c>
      <c r="AY400" s="125" t="s">
        <v>649</v>
      </c>
      <c r="AZ400" s="125" t="s">
        <v>1536</v>
      </c>
      <c r="BA400" s="113" t="s">
        <v>1542</v>
      </c>
      <c r="BC400" s="124">
        <f t="shared" si="300"/>
        <v>0</v>
      </c>
      <c r="BD400" s="124">
        <f t="shared" si="301"/>
        <v>0</v>
      </c>
      <c r="BE400" s="124">
        <v>0</v>
      </c>
      <c r="BF400" s="124">
        <f t="shared" si="302"/>
        <v>0</v>
      </c>
      <c r="BH400" s="122">
        <f t="shared" si="303"/>
        <v>0</v>
      </c>
      <c r="BI400" s="122">
        <f t="shared" si="304"/>
        <v>0</v>
      </c>
      <c r="BJ400" s="122">
        <f t="shared" si="305"/>
        <v>0</v>
      </c>
    </row>
    <row r="401" spans="1:62" s="174" customFormat="1" ht="12.75">
      <c r="A401" s="121" t="s">
        <v>833</v>
      </c>
      <c r="B401" s="121" t="s">
        <v>60</v>
      </c>
      <c r="C401" s="121" t="s">
        <v>391</v>
      </c>
      <c r="D401" s="129" t="s">
        <v>577</v>
      </c>
      <c r="E401" s="121" t="s">
        <v>614</v>
      </c>
      <c r="F401" s="122">
        <f>'Stavební rozpočet'!F557</f>
        <v>1</v>
      </c>
      <c r="G401" s="172"/>
      <c r="H401" s="122">
        <f t="shared" si="280"/>
        <v>0</v>
      </c>
      <c r="I401" s="122">
        <f t="shared" si="281"/>
        <v>0</v>
      </c>
      <c r="J401" s="122">
        <f t="shared" si="282"/>
        <v>0</v>
      </c>
      <c r="K401" s="122">
        <f>'Stavební rozpočet'!K557</f>
        <v>0</v>
      </c>
      <c r="L401" s="122">
        <f t="shared" si="283"/>
        <v>0</v>
      </c>
      <c r="M401" s="123" t="s">
        <v>622</v>
      </c>
      <c r="Z401" s="124">
        <f t="shared" si="284"/>
        <v>0</v>
      </c>
      <c r="AB401" s="124">
        <f t="shared" si="285"/>
        <v>0</v>
      </c>
      <c r="AC401" s="124">
        <f t="shared" si="286"/>
        <v>0</v>
      </c>
      <c r="AD401" s="124">
        <f t="shared" si="287"/>
        <v>0</v>
      </c>
      <c r="AE401" s="124">
        <f t="shared" si="288"/>
        <v>0</v>
      </c>
      <c r="AF401" s="124">
        <f t="shared" si="289"/>
        <v>0</v>
      </c>
      <c r="AG401" s="124">
        <f t="shared" si="290"/>
        <v>0</v>
      </c>
      <c r="AH401" s="124">
        <f t="shared" si="291"/>
        <v>0</v>
      </c>
      <c r="AI401" s="113" t="s">
        <v>60</v>
      </c>
      <c r="AJ401" s="122">
        <f t="shared" si="292"/>
        <v>0</v>
      </c>
      <c r="AK401" s="122">
        <f t="shared" si="293"/>
        <v>0</v>
      </c>
      <c r="AL401" s="122">
        <f t="shared" si="294"/>
        <v>0</v>
      </c>
      <c r="AN401" s="124">
        <v>15</v>
      </c>
      <c r="AO401" s="124">
        <f t="shared" si="295"/>
        <v>0</v>
      </c>
      <c r="AP401" s="124">
        <f t="shared" si="296"/>
        <v>0</v>
      </c>
      <c r="AQ401" s="123" t="s">
        <v>79</v>
      </c>
      <c r="AV401" s="124">
        <f t="shared" si="297"/>
        <v>0</v>
      </c>
      <c r="AW401" s="124">
        <f t="shared" si="298"/>
        <v>0</v>
      </c>
      <c r="AX401" s="124">
        <f t="shared" si="299"/>
        <v>0</v>
      </c>
      <c r="AY401" s="125" t="s">
        <v>649</v>
      </c>
      <c r="AZ401" s="125" t="s">
        <v>1536</v>
      </c>
      <c r="BA401" s="113" t="s">
        <v>1542</v>
      </c>
      <c r="BC401" s="124">
        <f t="shared" si="300"/>
        <v>0</v>
      </c>
      <c r="BD401" s="124">
        <f t="shared" si="301"/>
        <v>0</v>
      </c>
      <c r="BE401" s="124">
        <v>0</v>
      </c>
      <c r="BF401" s="124">
        <f t="shared" si="302"/>
        <v>0</v>
      </c>
      <c r="BH401" s="122">
        <f t="shared" si="303"/>
        <v>0</v>
      </c>
      <c r="BI401" s="122">
        <f t="shared" si="304"/>
        <v>0</v>
      </c>
      <c r="BJ401" s="122">
        <f t="shared" si="305"/>
        <v>0</v>
      </c>
    </row>
    <row r="402" spans="1:62" s="174" customFormat="1" ht="12.75">
      <c r="A402" s="121" t="s">
        <v>834</v>
      </c>
      <c r="B402" s="121" t="s">
        <v>60</v>
      </c>
      <c r="C402" s="121" t="s">
        <v>392</v>
      </c>
      <c r="D402" s="129" t="s">
        <v>578</v>
      </c>
      <c r="E402" s="121" t="s">
        <v>611</v>
      </c>
      <c r="F402" s="122">
        <f>'Stavební rozpočet'!F558</f>
        <v>2</v>
      </c>
      <c r="G402" s="172"/>
      <c r="H402" s="122">
        <f t="shared" si="280"/>
        <v>0</v>
      </c>
      <c r="I402" s="122">
        <f t="shared" si="281"/>
        <v>0</v>
      </c>
      <c r="J402" s="122">
        <f t="shared" si="282"/>
        <v>0</v>
      </c>
      <c r="K402" s="122">
        <f>'Stavební rozpočet'!K558</f>
        <v>0</v>
      </c>
      <c r="L402" s="122">
        <f t="shared" si="283"/>
        <v>0</v>
      </c>
      <c r="M402" s="123" t="s">
        <v>622</v>
      </c>
      <c r="Z402" s="124">
        <f t="shared" si="284"/>
        <v>0</v>
      </c>
      <c r="AB402" s="124">
        <f t="shared" si="285"/>
        <v>0</v>
      </c>
      <c r="AC402" s="124">
        <f t="shared" si="286"/>
        <v>0</v>
      </c>
      <c r="AD402" s="124">
        <f t="shared" si="287"/>
        <v>0</v>
      </c>
      <c r="AE402" s="124">
        <f t="shared" si="288"/>
        <v>0</v>
      </c>
      <c r="AF402" s="124">
        <f t="shared" si="289"/>
        <v>0</v>
      </c>
      <c r="AG402" s="124">
        <f t="shared" si="290"/>
        <v>0</v>
      </c>
      <c r="AH402" s="124">
        <f t="shared" si="291"/>
        <v>0</v>
      </c>
      <c r="AI402" s="113" t="s">
        <v>60</v>
      </c>
      <c r="AJ402" s="122">
        <f t="shared" si="292"/>
        <v>0</v>
      </c>
      <c r="AK402" s="122">
        <f t="shared" si="293"/>
        <v>0</v>
      </c>
      <c r="AL402" s="122">
        <f t="shared" si="294"/>
        <v>0</v>
      </c>
      <c r="AN402" s="124">
        <v>15</v>
      </c>
      <c r="AO402" s="124">
        <f t="shared" si="295"/>
        <v>0</v>
      </c>
      <c r="AP402" s="124">
        <f t="shared" si="296"/>
        <v>0</v>
      </c>
      <c r="AQ402" s="123" t="s">
        <v>79</v>
      </c>
      <c r="AV402" s="124">
        <f t="shared" si="297"/>
        <v>0</v>
      </c>
      <c r="AW402" s="124">
        <f t="shared" si="298"/>
        <v>0</v>
      </c>
      <c r="AX402" s="124">
        <f t="shared" si="299"/>
        <v>0</v>
      </c>
      <c r="AY402" s="125" t="s">
        <v>649</v>
      </c>
      <c r="AZ402" s="125" t="s">
        <v>1536</v>
      </c>
      <c r="BA402" s="113" t="s">
        <v>1542</v>
      </c>
      <c r="BC402" s="124">
        <f t="shared" si="300"/>
        <v>0</v>
      </c>
      <c r="BD402" s="124">
        <f t="shared" si="301"/>
        <v>0</v>
      </c>
      <c r="BE402" s="124">
        <v>0</v>
      </c>
      <c r="BF402" s="124">
        <f t="shared" si="302"/>
        <v>0</v>
      </c>
      <c r="BH402" s="122">
        <f t="shared" si="303"/>
        <v>0</v>
      </c>
      <c r="BI402" s="122">
        <f t="shared" si="304"/>
        <v>0</v>
      </c>
      <c r="BJ402" s="122">
        <f t="shared" si="305"/>
        <v>0</v>
      </c>
    </row>
    <row r="403" spans="1:62" s="174" customFormat="1" ht="12.75">
      <c r="A403" s="121" t="s">
        <v>835</v>
      </c>
      <c r="B403" s="121" t="s">
        <v>60</v>
      </c>
      <c r="C403" s="121" t="s">
        <v>393</v>
      </c>
      <c r="D403" s="129" t="s">
        <v>579</v>
      </c>
      <c r="E403" s="121" t="s">
        <v>609</v>
      </c>
      <c r="F403" s="122">
        <f>'Stavební rozpočet'!F559</f>
        <v>1050</v>
      </c>
      <c r="G403" s="172"/>
      <c r="H403" s="122">
        <f t="shared" si="280"/>
        <v>0</v>
      </c>
      <c r="I403" s="122">
        <f t="shared" si="281"/>
        <v>0</v>
      </c>
      <c r="J403" s="122">
        <f t="shared" si="282"/>
        <v>0</v>
      </c>
      <c r="K403" s="122">
        <f>'Stavební rozpočet'!K559</f>
        <v>0</v>
      </c>
      <c r="L403" s="122">
        <f t="shared" si="283"/>
        <v>0</v>
      </c>
      <c r="M403" s="123" t="s">
        <v>622</v>
      </c>
      <c r="Z403" s="124">
        <f t="shared" si="284"/>
        <v>0</v>
      </c>
      <c r="AB403" s="124">
        <f t="shared" si="285"/>
        <v>0</v>
      </c>
      <c r="AC403" s="124">
        <f t="shared" si="286"/>
        <v>0</v>
      </c>
      <c r="AD403" s="124">
        <f t="shared" si="287"/>
        <v>0</v>
      </c>
      <c r="AE403" s="124">
        <f t="shared" si="288"/>
        <v>0</v>
      </c>
      <c r="AF403" s="124">
        <f t="shared" si="289"/>
        <v>0</v>
      </c>
      <c r="AG403" s="124">
        <f t="shared" si="290"/>
        <v>0</v>
      </c>
      <c r="AH403" s="124">
        <f t="shared" si="291"/>
        <v>0</v>
      </c>
      <c r="AI403" s="113" t="s">
        <v>60</v>
      </c>
      <c r="AJ403" s="122">
        <f t="shared" si="292"/>
        <v>0</v>
      </c>
      <c r="AK403" s="122">
        <f t="shared" si="293"/>
        <v>0</v>
      </c>
      <c r="AL403" s="122">
        <f t="shared" si="294"/>
        <v>0</v>
      </c>
      <c r="AN403" s="124">
        <v>15</v>
      </c>
      <c r="AO403" s="124">
        <f t="shared" si="295"/>
        <v>0</v>
      </c>
      <c r="AP403" s="124">
        <f t="shared" si="296"/>
        <v>0</v>
      </c>
      <c r="AQ403" s="123" t="s">
        <v>79</v>
      </c>
      <c r="AV403" s="124">
        <f t="shared" si="297"/>
        <v>0</v>
      </c>
      <c r="AW403" s="124">
        <f t="shared" si="298"/>
        <v>0</v>
      </c>
      <c r="AX403" s="124">
        <f t="shared" si="299"/>
        <v>0</v>
      </c>
      <c r="AY403" s="125" t="s">
        <v>649</v>
      </c>
      <c r="AZ403" s="125" t="s">
        <v>1536</v>
      </c>
      <c r="BA403" s="113" t="s">
        <v>1542</v>
      </c>
      <c r="BC403" s="124">
        <f t="shared" si="300"/>
        <v>0</v>
      </c>
      <c r="BD403" s="124">
        <f t="shared" si="301"/>
        <v>0</v>
      </c>
      <c r="BE403" s="124">
        <v>0</v>
      </c>
      <c r="BF403" s="124">
        <f t="shared" si="302"/>
        <v>0</v>
      </c>
      <c r="BH403" s="122">
        <f t="shared" si="303"/>
        <v>0</v>
      </c>
      <c r="BI403" s="122">
        <f t="shared" si="304"/>
        <v>0</v>
      </c>
      <c r="BJ403" s="122">
        <f t="shared" si="305"/>
        <v>0</v>
      </c>
    </row>
    <row r="404" spans="1:62" s="174" customFormat="1" ht="12.75">
      <c r="A404" s="121" t="s">
        <v>836</v>
      </c>
      <c r="B404" s="121" t="s">
        <v>60</v>
      </c>
      <c r="C404" s="121" t="s">
        <v>394</v>
      </c>
      <c r="D404" s="129" t="s">
        <v>580</v>
      </c>
      <c r="E404" s="121" t="s">
        <v>609</v>
      </c>
      <c r="F404" s="122">
        <f>'Stavební rozpočet'!F560</f>
        <v>1050</v>
      </c>
      <c r="G404" s="172"/>
      <c r="H404" s="122">
        <f t="shared" si="280"/>
        <v>0</v>
      </c>
      <c r="I404" s="122">
        <f t="shared" si="281"/>
        <v>0</v>
      </c>
      <c r="J404" s="122">
        <f t="shared" si="282"/>
        <v>0</v>
      </c>
      <c r="K404" s="122">
        <f>'Stavební rozpočet'!K560</f>
        <v>0</v>
      </c>
      <c r="L404" s="122">
        <f t="shared" si="283"/>
        <v>0</v>
      </c>
      <c r="M404" s="123" t="s">
        <v>622</v>
      </c>
      <c r="Z404" s="124">
        <f t="shared" si="284"/>
        <v>0</v>
      </c>
      <c r="AB404" s="124">
        <f t="shared" si="285"/>
        <v>0</v>
      </c>
      <c r="AC404" s="124">
        <f t="shared" si="286"/>
        <v>0</v>
      </c>
      <c r="AD404" s="124">
        <f t="shared" si="287"/>
        <v>0</v>
      </c>
      <c r="AE404" s="124">
        <f t="shared" si="288"/>
        <v>0</v>
      </c>
      <c r="AF404" s="124">
        <f t="shared" si="289"/>
        <v>0</v>
      </c>
      <c r="AG404" s="124">
        <f t="shared" si="290"/>
        <v>0</v>
      </c>
      <c r="AH404" s="124">
        <f t="shared" si="291"/>
        <v>0</v>
      </c>
      <c r="AI404" s="113" t="s">
        <v>60</v>
      </c>
      <c r="AJ404" s="122">
        <f t="shared" si="292"/>
        <v>0</v>
      </c>
      <c r="AK404" s="122">
        <f t="shared" si="293"/>
        <v>0</v>
      </c>
      <c r="AL404" s="122">
        <f t="shared" si="294"/>
        <v>0</v>
      </c>
      <c r="AN404" s="124">
        <v>15</v>
      </c>
      <c r="AO404" s="124">
        <f t="shared" si="295"/>
        <v>0</v>
      </c>
      <c r="AP404" s="124">
        <f t="shared" si="296"/>
        <v>0</v>
      </c>
      <c r="AQ404" s="123" t="s">
        <v>79</v>
      </c>
      <c r="AV404" s="124">
        <f t="shared" si="297"/>
        <v>0</v>
      </c>
      <c r="AW404" s="124">
        <f t="shared" si="298"/>
        <v>0</v>
      </c>
      <c r="AX404" s="124">
        <f t="shared" si="299"/>
        <v>0</v>
      </c>
      <c r="AY404" s="125" t="s">
        <v>649</v>
      </c>
      <c r="AZ404" s="125" t="s">
        <v>1536</v>
      </c>
      <c r="BA404" s="113" t="s">
        <v>1542</v>
      </c>
      <c r="BC404" s="124">
        <f t="shared" si="300"/>
        <v>0</v>
      </c>
      <c r="BD404" s="124">
        <f t="shared" si="301"/>
        <v>0</v>
      </c>
      <c r="BE404" s="124">
        <v>0</v>
      </c>
      <c r="BF404" s="124">
        <f t="shared" si="302"/>
        <v>0</v>
      </c>
      <c r="BH404" s="122">
        <f t="shared" si="303"/>
        <v>0</v>
      </c>
      <c r="BI404" s="122">
        <f t="shared" si="304"/>
        <v>0</v>
      </c>
      <c r="BJ404" s="122">
        <f t="shared" si="305"/>
        <v>0</v>
      </c>
    </row>
    <row r="405" spans="1:62" s="174" customFormat="1" ht="12.75">
      <c r="A405" s="121" t="s">
        <v>837</v>
      </c>
      <c r="B405" s="121" t="s">
        <v>60</v>
      </c>
      <c r="C405" s="121" t="s">
        <v>395</v>
      </c>
      <c r="D405" s="129" t="s">
        <v>581</v>
      </c>
      <c r="E405" s="121" t="s">
        <v>613</v>
      </c>
      <c r="F405" s="122">
        <f>'Stavební rozpočet'!F561</f>
        <v>81</v>
      </c>
      <c r="G405" s="172"/>
      <c r="H405" s="122">
        <f t="shared" si="280"/>
        <v>0</v>
      </c>
      <c r="I405" s="122">
        <f t="shared" si="281"/>
        <v>0</v>
      </c>
      <c r="J405" s="122">
        <f t="shared" si="282"/>
        <v>0</v>
      </c>
      <c r="K405" s="122">
        <f>'Stavební rozpočet'!K561</f>
        <v>0</v>
      </c>
      <c r="L405" s="122">
        <f t="shared" si="283"/>
        <v>0</v>
      </c>
      <c r="M405" s="123" t="s">
        <v>622</v>
      </c>
      <c r="Z405" s="124">
        <f t="shared" si="284"/>
        <v>0</v>
      </c>
      <c r="AB405" s="124">
        <f t="shared" si="285"/>
        <v>0</v>
      </c>
      <c r="AC405" s="124">
        <f t="shared" si="286"/>
        <v>0</v>
      </c>
      <c r="AD405" s="124">
        <f t="shared" si="287"/>
        <v>0</v>
      </c>
      <c r="AE405" s="124">
        <f t="shared" si="288"/>
        <v>0</v>
      </c>
      <c r="AF405" s="124">
        <f t="shared" si="289"/>
        <v>0</v>
      </c>
      <c r="AG405" s="124">
        <f t="shared" si="290"/>
        <v>0</v>
      </c>
      <c r="AH405" s="124">
        <f t="shared" si="291"/>
        <v>0</v>
      </c>
      <c r="AI405" s="113" t="s">
        <v>60</v>
      </c>
      <c r="AJ405" s="122">
        <f t="shared" si="292"/>
        <v>0</v>
      </c>
      <c r="AK405" s="122">
        <f t="shared" si="293"/>
        <v>0</v>
      </c>
      <c r="AL405" s="122">
        <f t="shared" si="294"/>
        <v>0</v>
      </c>
      <c r="AN405" s="124">
        <v>15</v>
      </c>
      <c r="AO405" s="124">
        <f t="shared" si="295"/>
        <v>0</v>
      </c>
      <c r="AP405" s="124">
        <f t="shared" si="296"/>
        <v>0</v>
      </c>
      <c r="AQ405" s="123" t="s">
        <v>79</v>
      </c>
      <c r="AV405" s="124">
        <f t="shared" si="297"/>
        <v>0</v>
      </c>
      <c r="AW405" s="124">
        <f t="shared" si="298"/>
        <v>0</v>
      </c>
      <c r="AX405" s="124">
        <f t="shared" si="299"/>
        <v>0</v>
      </c>
      <c r="AY405" s="125" t="s">
        <v>649</v>
      </c>
      <c r="AZ405" s="125" t="s">
        <v>1536</v>
      </c>
      <c r="BA405" s="113" t="s">
        <v>1542</v>
      </c>
      <c r="BC405" s="124">
        <f t="shared" si="300"/>
        <v>0</v>
      </c>
      <c r="BD405" s="124">
        <f t="shared" si="301"/>
        <v>0</v>
      </c>
      <c r="BE405" s="124">
        <v>0</v>
      </c>
      <c r="BF405" s="124">
        <f t="shared" si="302"/>
        <v>0</v>
      </c>
      <c r="BH405" s="122">
        <f t="shared" si="303"/>
        <v>0</v>
      </c>
      <c r="BI405" s="122">
        <f t="shared" si="304"/>
        <v>0</v>
      </c>
      <c r="BJ405" s="122">
        <f t="shared" si="305"/>
        <v>0</v>
      </c>
    </row>
    <row r="406" spans="1:62" s="174" customFormat="1" ht="12.75">
      <c r="A406" s="121" t="s">
        <v>838</v>
      </c>
      <c r="B406" s="121" t="s">
        <v>60</v>
      </c>
      <c r="C406" s="121" t="s">
        <v>396</v>
      </c>
      <c r="D406" s="129" t="s">
        <v>582</v>
      </c>
      <c r="E406" s="121" t="s">
        <v>606</v>
      </c>
      <c r="F406" s="122">
        <f>'Stavební rozpočet'!F562</f>
        <v>15</v>
      </c>
      <c r="G406" s="172"/>
      <c r="H406" s="122">
        <f t="shared" si="280"/>
        <v>0</v>
      </c>
      <c r="I406" s="122">
        <f t="shared" si="281"/>
        <v>0</v>
      </c>
      <c r="J406" s="122">
        <f t="shared" si="282"/>
        <v>0</v>
      </c>
      <c r="K406" s="122">
        <f>'Stavební rozpočet'!K562</f>
        <v>0</v>
      </c>
      <c r="L406" s="122">
        <f t="shared" si="283"/>
        <v>0</v>
      </c>
      <c r="M406" s="123" t="s">
        <v>622</v>
      </c>
      <c r="Z406" s="124">
        <f t="shared" si="284"/>
        <v>0</v>
      </c>
      <c r="AB406" s="124">
        <f t="shared" si="285"/>
        <v>0</v>
      </c>
      <c r="AC406" s="124">
        <f t="shared" si="286"/>
        <v>0</v>
      </c>
      <c r="AD406" s="124">
        <f t="shared" si="287"/>
        <v>0</v>
      </c>
      <c r="AE406" s="124">
        <f t="shared" si="288"/>
        <v>0</v>
      </c>
      <c r="AF406" s="124">
        <f t="shared" si="289"/>
        <v>0</v>
      </c>
      <c r="AG406" s="124">
        <f t="shared" si="290"/>
        <v>0</v>
      </c>
      <c r="AH406" s="124">
        <f t="shared" si="291"/>
        <v>0</v>
      </c>
      <c r="AI406" s="113" t="s">
        <v>60</v>
      </c>
      <c r="AJ406" s="122">
        <f t="shared" si="292"/>
        <v>0</v>
      </c>
      <c r="AK406" s="122">
        <f t="shared" si="293"/>
        <v>0</v>
      </c>
      <c r="AL406" s="122">
        <f t="shared" si="294"/>
        <v>0</v>
      </c>
      <c r="AN406" s="124">
        <v>15</v>
      </c>
      <c r="AO406" s="124">
        <f t="shared" si="295"/>
        <v>0</v>
      </c>
      <c r="AP406" s="124">
        <f t="shared" si="296"/>
        <v>0</v>
      </c>
      <c r="AQ406" s="123" t="s">
        <v>79</v>
      </c>
      <c r="AV406" s="124">
        <f t="shared" si="297"/>
        <v>0</v>
      </c>
      <c r="AW406" s="124">
        <f t="shared" si="298"/>
        <v>0</v>
      </c>
      <c r="AX406" s="124">
        <f t="shared" si="299"/>
        <v>0</v>
      </c>
      <c r="AY406" s="125" t="s">
        <v>649</v>
      </c>
      <c r="AZ406" s="125" t="s">
        <v>1536</v>
      </c>
      <c r="BA406" s="113" t="s">
        <v>1542</v>
      </c>
      <c r="BC406" s="124">
        <f t="shared" si="300"/>
        <v>0</v>
      </c>
      <c r="BD406" s="124">
        <f t="shared" si="301"/>
        <v>0</v>
      </c>
      <c r="BE406" s="124">
        <v>0</v>
      </c>
      <c r="BF406" s="124">
        <f t="shared" si="302"/>
        <v>0</v>
      </c>
      <c r="BH406" s="122">
        <f t="shared" si="303"/>
        <v>0</v>
      </c>
      <c r="BI406" s="122">
        <f t="shared" si="304"/>
        <v>0</v>
      </c>
      <c r="BJ406" s="122">
        <f t="shared" si="305"/>
        <v>0</v>
      </c>
    </row>
    <row r="407" spans="1:62" s="174" customFormat="1" ht="12.75">
      <c r="A407" s="121" t="s">
        <v>839</v>
      </c>
      <c r="B407" s="121" t="s">
        <v>60</v>
      </c>
      <c r="C407" s="121" t="s">
        <v>1144</v>
      </c>
      <c r="D407" s="129" t="s">
        <v>1453</v>
      </c>
      <c r="E407" s="121" t="s">
        <v>606</v>
      </c>
      <c r="F407" s="122">
        <f>'Stavební rozpočet'!F563</f>
        <v>5</v>
      </c>
      <c r="G407" s="172"/>
      <c r="H407" s="122">
        <f t="shared" si="280"/>
        <v>0</v>
      </c>
      <c r="I407" s="122">
        <f t="shared" si="281"/>
        <v>0</v>
      </c>
      <c r="J407" s="122">
        <f t="shared" si="282"/>
        <v>0</v>
      </c>
      <c r="K407" s="122">
        <f>'Stavební rozpočet'!K563</f>
        <v>0</v>
      </c>
      <c r="L407" s="122">
        <f t="shared" si="283"/>
        <v>0</v>
      </c>
      <c r="M407" s="123" t="s">
        <v>622</v>
      </c>
      <c r="Z407" s="124">
        <f t="shared" si="284"/>
        <v>0</v>
      </c>
      <c r="AB407" s="124">
        <f t="shared" si="285"/>
        <v>0</v>
      </c>
      <c r="AC407" s="124">
        <f t="shared" si="286"/>
        <v>0</v>
      </c>
      <c r="AD407" s="124">
        <f t="shared" si="287"/>
        <v>0</v>
      </c>
      <c r="AE407" s="124">
        <f t="shared" si="288"/>
        <v>0</v>
      </c>
      <c r="AF407" s="124">
        <f t="shared" si="289"/>
        <v>0</v>
      </c>
      <c r="AG407" s="124">
        <f t="shared" si="290"/>
        <v>0</v>
      </c>
      <c r="AH407" s="124">
        <f t="shared" si="291"/>
        <v>0</v>
      </c>
      <c r="AI407" s="113" t="s">
        <v>60</v>
      </c>
      <c r="AJ407" s="122">
        <f t="shared" si="292"/>
        <v>0</v>
      </c>
      <c r="AK407" s="122">
        <f t="shared" si="293"/>
        <v>0</v>
      </c>
      <c r="AL407" s="122">
        <f t="shared" si="294"/>
        <v>0</v>
      </c>
      <c r="AN407" s="124">
        <v>15</v>
      </c>
      <c r="AO407" s="124">
        <f t="shared" si="295"/>
        <v>0</v>
      </c>
      <c r="AP407" s="124">
        <f t="shared" si="296"/>
        <v>0</v>
      </c>
      <c r="AQ407" s="123" t="s">
        <v>79</v>
      </c>
      <c r="AV407" s="124">
        <f t="shared" si="297"/>
        <v>0</v>
      </c>
      <c r="AW407" s="124">
        <f t="shared" si="298"/>
        <v>0</v>
      </c>
      <c r="AX407" s="124">
        <f t="shared" si="299"/>
        <v>0</v>
      </c>
      <c r="AY407" s="125" t="s">
        <v>649</v>
      </c>
      <c r="AZ407" s="125" t="s">
        <v>1536</v>
      </c>
      <c r="BA407" s="113" t="s">
        <v>1542</v>
      </c>
      <c r="BC407" s="124">
        <f t="shared" si="300"/>
        <v>0</v>
      </c>
      <c r="BD407" s="124">
        <f t="shared" si="301"/>
        <v>0</v>
      </c>
      <c r="BE407" s="124">
        <v>0</v>
      </c>
      <c r="BF407" s="124">
        <f t="shared" si="302"/>
        <v>0</v>
      </c>
      <c r="BH407" s="122">
        <f t="shared" si="303"/>
        <v>0</v>
      </c>
      <c r="BI407" s="122">
        <f t="shared" si="304"/>
        <v>0</v>
      </c>
      <c r="BJ407" s="122">
        <f t="shared" si="305"/>
        <v>0</v>
      </c>
    </row>
    <row r="408" spans="1:62" s="174" customFormat="1" ht="12.75">
      <c r="A408" s="121" t="s">
        <v>840</v>
      </c>
      <c r="B408" s="121" t="s">
        <v>60</v>
      </c>
      <c r="C408" s="121" t="s">
        <v>1145</v>
      </c>
      <c r="D408" s="129" t="s">
        <v>1454</v>
      </c>
      <c r="E408" s="121" t="s">
        <v>606</v>
      </c>
      <c r="F408" s="122">
        <f>'Stavební rozpočet'!F564</f>
        <v>5</v>
      </c>
      <c r="G408" s="172"/>
      <c r="H408" s="122">
        <f t="shared" si="280"/>
        <v>0</v>
      </c>
      <c r="I408" s="122">
        <f t="shared" si="281"/>
        <v>0</v>
      </c>
      <c r="J408" s="122">
        <f t="shared" si="282"/>
        <v>0</v>
      </c>
      <c r="K408" s="122">
        <f>'Stavební rozpočet'!K564</f>
        <v>0</v>
      </c>
      <c r="L408" s="122">
        <f t="shared" si="283"/>
        <v>0</v>
      </c>
      <c r="M408" s="123" t="s">
        <v>622</v>
      </c>
      <c r="Z408" s="124">
        <f t="shared" si="284"/>
        <v>0</v>
      </c>
      <c r="AB408" s="124">
        <f t="shared" si="285"/>
        <v>0</v>
      </c>
      <c r="AC408" s="124">
        <f t="shared" si="286"/>
        <v>0</v>
      </c>
      <c r="AD408" s="124">
        <f t="shared" si="287"/>
        <v>0</v>
      </c>
      <c r="AE408" s="124">
        <f t="shared" si="288"/>
        <v>0</v>
      </c>
      <c r="AF408" s="124">
        <f t="shared" si="289"/>
        <v>0</v>
      </c>
      <c r="AG408" s="124">
        <f t="shared" si="290"/>
        <v>0</v>
      </c>
      <c r="AH408" s="124">
        <f t="shared" si="291"/>
        <v>0</v>
      </c>
      <c r="AI408" s="113" t="s">
        <v>60</v>
      </c>
      <c r="AJ408" s="122">
        <f t="shared" si="292"/>
        <v>0</v>
      </c>
      <c r="AK408" s="122">
        <f t="shared" si="293"/>
        <v>0</v>
      </c>
      <c r="AL408" s="122">
        <f t="shared" si="294"/>
        <v>0</v>
      </c>
      <c r="AN408" s="124">
        <v>15</v>
      </c>
      <c r="AO408" s="124">
        <f t="shared" si="295"/>
        <v>0</v>
      </c>
      <c r="AP408" s="124">
        <f t="shared" si="296"/>
        <v>0</v>
      </c>
      <c r="AQ408" s="123" t="s">
        <v>79</v>
      </c>
      <c r="AV408" s="124">
        <f t="shared" si="297"/>
        <v>0</v>
      </c>
      <c r="AW408" s="124">
        <f t="shared" si="298"/>
        <v>0</v>
      </c>
      <c r="AX408" s="124">
        <f t="shared" si="299"/>
        <v>0</v>
      </c>
      <c r="AY408" s="125" t="s">
        <v>649</v>
      </c>
      <c r="AZ408" s="125" t="s">
        <v>1536</v>
      </c>
      <c r="BA408" s="113" t="s">
        <v>1542</v>
      </c>
      <c r="BC408" s="124">
        <f t="shared" si="300"/>
        <v>0</v>
      </c>
      <c r="BD408" s="124">
        <f t="shared" si="301"/>
        <v>0</v>
      </c>
      <c r="BE408" s="124">
        <v>0</v>
      </c>
      <c r="BF408" s="124">
        <f t="shared" si="302"/>
        <v>0</v>
      </c>
      <c r="BH408" s="122">
        <f t="shared" si="303"/>
        <v>0</v>
      </c>
      <c r="BI408" s="122">
        <f t="shared" si="304"/>
        <v>0</v>
      </c>
      <c r="BJ408" s="122">
        <f t="shared" si="305"/>
        <v>0</v>
      </c>
    </row>
    <row r="409" spans="1:62" s="174" customFormat="1" ht="12.75">
      <c r="A409" s="121" t="s">
        <v>841</v>
      </c>
      <c r="B409" s="121" t="s">
        <v>60</v>
      </c>
      <c r="C409" s="121" t="s">
        <v>1146</v>
      </c>
      <c r="D409" s="129" t="s">
        <v>1455</v>
      </c>
      <c r="E409" s="121" t="s">
        <v>609</v>
      </c>
      <c r="F409" s="122">
        <f>'Stavební rozpočet'!F565</f>
        <v>20</v>
      </c>
      <c r="G409" s="172"/>
      <c r="H409" s="122">
        <f t="shared" si="280"/>
        <v>0</v>
      </c>
      <c r="I409" s="122">
        <f t="shared" si="281"/>
        <v>0</v>
      </c>
      <c r="J409" s="122">
        <f t="shared" si="282"/>
        <v>0</v>
      </c>
      <c r="K409" s="122">
        <f>'Stavební rozpočet'!K565</f>
        <v>0</v>
      </c>
      <c r="L409" s="122">
        <f t="shared" si="283"/>
        <v>0</v>
      </c>
      <c r="M409" s="123" t="s">
        <v>622</v>
      </c>
      <c r="Z409" s="124">
        <f t="shared" si="284"/>
        <v>0</v>
      </c>
      <c r="AB409" s="124">
        <f t="shared" si="285"/>
        <v>0</v>
      </c>
      <c r="AC409" s="124">
        <f t="shared" si="286"/>
        <v>0</v>
      </c>
      <c r="AD409" s="124">
        <f t="shared" si="287"/>
        <v>0</v>
      </c>
      <c r="AE409" s="124">
        <f t="shared" si="288"/>
        <v>0</v>
      </c>
      <c r="AF409" s="124">
        <f t="shared" si="289"/>
        <v>0</v>
      </c>
      <c r="AG409" s="124">
        <f t="shared" si="290"/>
        <v>0</v>
      </c>
      <c r="AH409" s="124">
        <f t="shared" si="291"/>
        <v>0</v>
      </c>
      <c r="AI409" s="113" t="s">
        <v>60</v>
      </c>
      <c r="AJ409" s="122">
        <f t="shared" si="292"/>
        <v>0</v>
      </c>
      <c r="AK409" s="122">
        <f t="shared" si="293"/>
        <v>0</v>
      </c>
      <c r="AL409" s="122">
        <f t="shared" si="294"/>
        <v>0</v>
      </c>
      <c r="AN409" s="124">
        <v>15</v>
      </c>
      <c r="AO409" s="124">
        <f t="shared" si="295"/>
        <v>0</v>
      </c>
      <c r="AP409" s="124">
        <f t="shared" si="296"/>
        <v>0</v>
      </c>
      <c r="AQ409" s="123" t="s">
        <v>79</v>
      </c>
      <c r="AV409" s="124">
        <f t="shared" si="297"/>
        <v>0</v>
      </c>
      <c r="AW409" s="124">
        <f t="shared" si="298"/>
        <v>0</v>
      </c>
      <c r="AX409" s="124">
        <f t="shared" si="299"/>
        <v>0</v>
      </c>
      <c r="AY409" s="125" t="s">
        <v>649</v>
      </c>
      <c r="AZ409" s="125" t="s">
        <v>1536</v>
      </c>
      <c r="BA409" s="113" t="s">
        <v>1542</v>
      </c>
      <c r="BC409" s="124">
        <f t="shared" si="300"/>
        <v>0</v>
      </c>
      <c r="BD409" s="124">
        <f t="shared" si="301"/>
        <v>0</v>
      </c>
      <c r="BE409" s="124">
        <v>0</v>
      </c>
      <c r="BF409" s="124">
        <f t="shared" si="302"/>
        <v>0</v>
      </c>
      <c r="BH409" s="122">
        <f t="shared" si="303"/>
        <v>0</v>
      </c>
      <c r="BI409" s="122">
        <f t="shared" si="304"/>
        <v>0</v>
      </c>
      <c r="BJ409" s="122">
        <f t="shared" si="305"/>
        <v>0</v>
      </c>
    </row>
    <row r="410" spans="1:62" s="174" customFormat="1" ht="12.75">
      <c r="A410" s="121" t="s">
        <v>842</v>
      </c>
      <c r="B410" s="121" t="s">
        <v>60</v>
      </c>
      <c r="C410" s="121" t="s">
        <v>1147</v>
      </c>
      <c r="D410" s="129" t="s">
        <v>1456</v>
      </c>
      <c r="E410" s="121" t="s">
        <v>609</v>
      </c>
      <c r="F410" s="122">
        <f>'Stavební rozpočet'!F566</f>
        <v>20</v>
      </c>
      <c r="G410" s="172"/>
      <c r="H410" s="122">
        <f t="shared" si="280"/>
        <v>0</v>
      </c>
      <c r="I410" s="122">
        <f t="shared" si="281"/>
        <v>0</v>
      </c>
      <c r="J410" s="122">
        <f t="shared" si="282"/>
        <v>0</v>
      </c>
      <c r="K410" s="122">
        <f>'Stavební rozpočet'!K566</f>
        <v>0</v>
      </c>
      <c r="L410" s="122">
        <f t="shared" si="283"/>
        <v>0</v>
      </c>
      <c r="M410" s="123" t="s">
        <v>622</v>
      </c>
      <c r="Z410" s="124">
        <f t="shared" si="284"/>
        <v>0</v>
      </c>
      <c r="AB410" s="124">
        <f t="shared" si="285"/>
        <v>0</v>
      </c>
      <c r="AC410" s="124">
        <f t="shared" si="286"/>
        <v>0</v>
      </c>
      <c r="AD410" s="124">
        <f t="shared" si="287"/>
        <v>0</v>
      </c>
      <c r="AE410" s="124">
        <f t="shared" si="288"/>
        <v>0</v>
      </c>
      <c r="AF410" s="124">
        <f t="shared" si="289"/>
        <v>0</v>
      </c>
      <c r="AG410" s="124">
        <f t="shared" si="290"/>
        <v>0</v>
      </c>
      <c r="AH410" s="124">
        <f t="shared" si="291"/>
        <v>0</v>
      </c>
      <c r="AI410" s="113" t="s">
        <v>60</v>
      </c>
      <c r="AJ410" s="122">
        <f t="shared" si="292"/>
        <v>0</v>
      </c>
      <c r="AK410" s="122">
        <f t="shared" si="293"/>
        <v>0</v>
      </c>
      <c r="AL410" s="122">
        <f t="shared" si="294"/>
        <v>0</v>
      </c>
      <c r="AN410" s="124">
        <v>15</v>
      </c>
      <c r="AO410" s="124">
        <f t="shared" si="295"/>
        <v>0</v>
      </c>
      <c r="AP410" s="124">
        <f t="shared" si="296"/>
        <v>0</v>
      </c>
      <c r="AQ410" s="123" t="s">
        <v>79</v>
      </c>
      <c r="AV410" s="124">
        <f t="shared" si="297"/>
        <v>0</v>
      </c>
      <c r="AW410" s="124">
        <f t="shared" si="298"/>
        <v>0</v>
      </c>
      <c r="AX410" s="124">
        <f t="shared" si="299"/>
        <v>0</v>
      </c>
      <c r="AY410" s="125" t="s">
        <v>649</v>
      </c>
      <c r="AZ410" s="125" t="s">
        <v>1536</v>
      </c>
      <c r="BA410" s="113" t="s">
        <v>1542</v>
      </c>
      <c r="BC410" s="124">
        <f t="shared" si="300"/>
        <v>0</v>
      </c>
      <c r="BD410" s="124">
        <f t="shared" si="301"/>
        <v>0</v>
      </c>
      <c r="BE410" s="124">
        <v>0</v>
      </c>
      <c r="BF410" s="124">
        <f t="shared" si="302"/>
        <v>0</v>
      </c>
      <c r="BH410" s="122">
        <f t="shared" si="303"/>
        <v>0</v>
      </c>
      <c r="BI410" s="122">
        <f t="shared" si="304"/>
        <v>0</v>
      </c>
      <c r="BJ410" s="122">
        <f t="shared" si="305"/>
        <v>0</v>
      </c>
    </row>
    <row r="411" spans="1:62" s="174" customFormat="1" ht="12.75">
      <c r="A411" s="121" t="s">
        <v>843</v>
      </c>
      <c r="B411" s="121" t="s">
        <v>60</v>
      </c>
      <c r="C411" s="121" t="s">
        <v>1148</v>
      </c>
      <c r="D411" s="129" t="s">
        <v>1457</v>
      </c>
      <c r="E411" s="121" t="s">
        <v>606</v>
      </c>
      <c r="F411" s="122">
        <f>'Stavební rozpočet'!F567</f>
        <v>3</v>
      </c>
      <c r="G411" s="172"/>
      <c r="H411" s="122">
        <f t="shared" si="280"/>
        <v>0</v>
      </c>
      <c r="I411" s="122">
        <f t="shared" si="281"/>
        <v>0</v>
      </c>
      <c r="J411" s="122">
        <f t="shared" si="282"/>
        <v>0</v>
      </c>
      <c r="K411" s="122">
        <f>'Stavební rozpočet'!K567</f>
        <v>0</v>
      </c>
      <c r="L411" s="122">
        <f t="shared" si="283"/>
        <v>0</v>
      </c>
      <c r="M411" s="123" t="s">
        <v>622</v>
      </c>
      <c r="Z411" s="124">
        <f t="shared" si="284"/>
        <v>0</v>
      </c>
      <c r="AB411" s="124">
        <f t="shared" si="285"/>
        <v>0</v>
      </c>
      <c r="AC411" s="124">
        <f t="shared" si="286"/>
        <v>0</v>
      </c>
      <c r="AD411" s="124">
        <f t="shared" si="287"/>
        <v>0</v>
      </c>
      <c r="AE411" s="124">
        <f t="shared" si="288"/>
        <v>0</v>
      </c>
      <c r="AF411" s="124">
        <f t="shared" si="289"/>
        <v>0</v>
      </c>
      <c r="AG411" s="124">
        <f t="shared" si="290"/>
        <v>0</v>
      </c>
      <c r="AH411" s="124">
        <f t="shared" si="291"/>
        <v>0</v>
      </c>
      <c r="AI411" s="113" t="s">
        <v>60</v>
      </c>
      <c r="AJ411" s="122">
        <f t="shared" si="292"/>
        <v>0</v>
      </c>
      <c r="AK411" s="122">
        <f t="shared" si="293"/>
        <v>0</v>
      </c>
      <c r="AL411" s="122">
        <f t="shared" si="294"/>
        <v>0</v>
      </c>
      <c r="AN411" s="124">
        <v>15</v>
      </c>
      <c r="AO411" s="124">
        <f t="shared" si="295"/>
        <v>0</v>
      </c>
      <c r="AP411" s="124">
        <f t="shared" si="296"/>
        <v>0</v>
      </c>
      <c r="AQ411" s="123" t="s">
        <v>79</v>
      </c>
      <c r="AV411" s="124">
        <f t="shared" si="297"/>
        <v>0</v>
      </c>
      <c r="AW411" s="124">
        <f t="shared" si="298"/>
        <v>0</v>
      </c>
      <c r="AX411" s="124">
        <f t="shared" si="299"/>
        <v>0</v>
      </c>
      <c r="AY411" s="125" t="s">
        <v>649</v>
      </c>
      <c r="AZ411" s="125" t="s">
        <v>1536</v>
      </c>
      <c r="BA411" s="113" t="s">
        <v>1542</v>
      </c>
      <c r="BC411" s="124">
        <f t="shared" si="300"/>
        <v>0</v>
      </c>
      <c r="BD411" s="124">
        <f t="shared" si="301"/>
        <v>0</v>
      </c>
      <c r="BE411" s="124">
        <v>0</v>
      </c>
      <c r="BF411" s="124">
        <f t="shared" si="302"/>
        <v>0</v>
      </c>
      <c r="BH411" s="122">
        <f t="shared" si="303"/>
        <v>0</v>
      </c>
      <c r="BI411" s="122">
        <f t="shared" si="304"/>
        <v>0</v>
      </c>
      <c r="BJ411" s="122">
        <f t="shared" si="305"/>
        <v>0</v>
      </c>
    </row>
    <row r="412" spans="1:62" s="174" customFormat="1" ht="12.75">
      <c r="A412" s="121" t="s">
        <v>844</v>
      </c>
      <c r="B412" s="121" t="s">
        <v>60</v>
      </c>
      <c r="C412" s="121" t="s">
        <v>1149</v>
      </c>
      <c r="D412" s="129" t="s">
        <v>1457</v>
      </c>
      <c r="E412" s="121" t="s">
        <v>606</v>
      </c>
      <c r="F412" s="122">
        <f>'Stavební rozpočet'!F568</f>
        <v>3</v>
      </c>
      <c r="G412" s="172"/>
      <c r="H412" s="122">
        <f t="shared" si="280"/>
        <v>0</v>
      </c>
      <c r="I412" s="122">
        <f t="shared" si="281"/>
        <v>0</v>
      </c>
      <c r="J412" s="122">
        <f t="shared" si="282"/>
        <v>0</v>
      </c>
      <c r="K412" s="122">
        <f>'Stavební rozpočet'!K568</f>
        <v>0</v>
      </c>
      <c r="L412" s="122">
        <f t="shared" si="283"/>
        <v>0</v>
      </c>
      <c r="M412" s="123" t="s">
        <v>622</v>
      </c>
      <c r="Z412" s="124">
        <f t="shared" si="284"/>
        <v>0</v>
      </c>
      <c r="AB412" s="124">
        <f t="shared" si="285"/>
        <v>0</v>
      </c>
      <c r="AC412" s="124">
        <f t="shared" si="286"/>
        <v>0</v>
      </c>
      <c r="AD412" s="124">
        <f t="shared" si="287"/>
        <v>0</v>
      </c>
      <c r="AE412" s="124">
        <f t="shared" si="288"/>
        <v>0</v>
      </c>
      <c r="AF412" s="124">
        <f t="shared" si="289"/>
        <v>0</v>
      </c>
      <c r="AG412" s="124">
        <f t="shared" si="290"/>
        <v>0</v>
      </c>
      <c r="AH412" s="124">
        <f t="shared" si="291"/>
        <v>0</v>
      </c>
      <c r="AI412" s="113" t="s">
        <v>60</v>
      </c>
      <c r="AJ412" s="122">
        <f t="shared" si="292"/>
        <v>0</v>
      </c>
      <c r="AK412" s="122">
        <f t="shared" si="293"/>
        <v>0</v>
      </c>
      <c r="AL412" s="122">
        <f t="shared" si="294"/>
        <v>0</v>
      </c>
      <c r="AN412" s="124">
        <v>15</v>
      </c>
      <c r="AO412" s="124">
        <f t="shared" si="295"/>
        <v>0</v>
      </c>
      <c r="AP412" s="124">
        <f t="shared" si="296"/>
        <v>0</v>
      </c>
      <c r="AQ412" s="123" t="s">
        <v>79</v>
      </c>
      <c r="AV412" s="124">
        <f t="shared" si="297"/>
        <v>0</v>
      </c>
      <c r="AW412" s="124">
        <f t="shared" si="298"/>
        <v>0</v>
      </c>
      <c r="AX412" s="124">
        <f t="shared" si="299"/>
        <v>0</v>
      </c>
      <c r="AY412" s="125" t="s">
        <v>649</v>
      </c>
      <c r="AZ412" s="125" t="s">
        <v>1536</v>
      </c>
      <c r="BA412" s="113" t="s">
        <v>1542</v>
      </c>
      <c r="BC412" s="124">
        <f t="shared" si="300"/>
        <v>0</v>
      </c>
      <c r="BD412" s="124">
        <f t="shared" si="301"/>
        <v>0</v>
      </c>
      <c r="BE412" s="124">
        <v>0</v>
      </c>
      <c r="BF412" s="124">
        <f t="shared" si="302"/>
        <v>0</v>
      </c>
      <c r="BH412" s="122">
        <f t="shared" si="303"/>
        <v>0</v>
      </c>
      <c r="BI412" s="122">
        <f t="shared" si="304"/>
        <v>0</v>
      </c>
      <c r="BJ412" s="122">
        <f t="shared" si="305"/>
        <v>0</v>
      </c>
    </row>
    <row r="413" spans="1:62" s="174" customFormat="1" ht="12.75">
      <c r="A413" s="121" t="s">
        <v>845</v>
      </c>
      <c r="B413" s="121" t="s">
        <v>60</v>
      </c>
      <c r="C413" s="121" t="s">
        <v>1150</v>
      </c>
      <c r="D413" s="129" t="s">
        <v>1458</v>
      </c>
      <c r="E413" s="121" t="s">
        <v>609</v>
      </c>
      <c r="F413" s="122">
        <f>'Stavební rozpočet'!F569</f>
        <v>2</v>
      </c>
      <c r="G413" s="172"/>
      <c r="H413" s="122">
        <f t="shared" si="280"/>
        <v>0</v>
      </c>
      <c r="I413" s="122">
        <f t="shared" si="281"/>
        <v>0</v>
      </c>
      <c r="J413" s="122">
        <f t="shared" si="282"/>
        <v>0</v>
      </c>
      <c r="K413" s="122">
        <f>'Stavební rozpočet'!K569</f>
        <v>0</v>
      </c>
      <c r="L413" s="122">
        <f t="shared" si="283"/>
        <v>0</v>
      </c>
      <c r="M413" s="123" t="s">
        <v>622</v>
      </c>
      <c r="Z413" s="124">
        <f t="shared" si="284"/>
        <v>0</v>
      </c>
      <c r="AB413" s="124">
        <f t="shared" si="285"/>
        <v>0</v>
      </c>
      <c r="AC413" s="124">
        <f t="shared" si="286"/>
        <v>0</v>
      </c>
      <c r="AD413" s="124">
        <f t="shared" si="287"/>
        <v>0</v>
      </c>
      <c r="AE413" s="124">
        <f t="shared" si="288"/>
        <v>0</v>
      </c>
      <c r="AF413" s="124">
        <f t="shared" si="289"/>
        <v>0</v>
      </c>
      <c r="AG413" s="124">
        <f t="shared" si="290"/>
        <v>0</v>
      </c>
      <c r="AH413" s="124">
        <f t="shared" si="291"/>
        <v>0</v>
      </c>
      <c r="AI413" s="113" t="s">
        <v>60</v>
      </c>
      <c r="AJ413" s="122">
        <f t="shared" si="292"/>
        <v>0</v>
      </c>
      <c r="AK413" s="122">
        <f t="shared" si="293"/>
        <v>0</v>
      </c>
      <c r="AL413" s="122">
        <f t="shared" si="294"/>
        <v>0</v>
      </c>
      <c r="AN413" s="124">
        <v>15</v>
      </c>
      <c r="AO413" s="124">
        <f t="shared" si="295"/>
        <v>0</v>
      </c>
      <c r="AP413" s="124">
        <f t="shared" si="296"/>
        <v>0</v>
      </c>
      <c r="AQ413" s="123" t="s">
        <v>79</v>
      </c>
      <c r="AV413" s="124">
        <f t="shared" si="297"/>
        <v>0</v>
      </c>
      <c r="AW413" s="124">
        <f t="shared" si="298"/>
        <v>0</v>
      </c>
      <c r="AX413" s="124">
        <f t="shared" si="299"/>
        <v>0</v>
      </c>
      <c r="AY413" s="125" t="s">
        <v>649</v>
      </c>
      <c r="AZ413" s="125" t="s">
        <v>1536</v>
      </c>
      <c r="BA413" s="113" t="s">
        <v>1542</v>
      </c>
      <c r="BC413" s="124">
        <f t="shared" si="300"/>
        <v>0</v>
      </c>
      <c r="BD413" s="124">
        <f t="shared" si="301"/>
        <v>0</v>
      </c>
      <c r="BE413" s="124">
        <v>0</v>
      </c>
      <c r="BF413" s="124">
        <f t="shared" si="302"/>
        <v>0</v>
      </c>
      <c r="BH413" s="122">
        <f t="shared" si="303"/>
        <v>0</v>
      </c>
      <c r="BI413" s="122">
        <f t="shared" si="304"/>
        <v>0</v>
      </c>
      <c r="BJ413" s="122">
        <f t="shared" si="305"/>
        <v>0</v>
      </c>
    </row>
    <row r="414" spans="1:62" s="174" customFormat="1" ht="12.75">
      <c r="A414" s="121" t="s">
        <v>846</v>
      </c>
      <c r="B414" s="121" t="s">
        <v>60</v>
      </c>
      <c r="C414" s="121" t="s">
        <v>1151</v>
      </c>
      <c r="D414" s="129" t="s">
        <v>1459</v>
      </c>
      <c r="E414" s="121" t="s">
        <v>609</v>
      </c>
      <c r="F414" s="122">
        <f>'Stavební rozpočet'!F570</f>
        <v>2</v>
      </c>
      <c r="G414" s="172"/>
      <c r="H414" s="122">
        <f t="shared" si="280"/>
        <v>0</v>
      </c>
      <c r="I414" s="122">
        <f t="shared" si="281"/>
        <v>0</v>
      </c>
      <c r="J414" s="122">
        <f t="shared" si="282"/>
        <v>0</v>
      </c>
      <c r="K414" s="122">
        <f>'Stavební rozpočet'!K570</f>
        <v>0</v>
      </c>
      <c r="L414" s="122">
        <f t="shared" si="283"/>
        <v>0</v>
      </c>
      <c r="M414" s="123" t="s">
        <v>622</v>
      </c>
      <c r="Z414" s="124">
        <f t="shared" si="284"/>
        <v>0</v>
      </c>
      <c r="AB414" s="124">
        <f t="shared" si="285"/>
        <v>0</v>
      </c>
      <c r="AC414" s="124">
        <f t="shared" si="286"/>
        <v>0</v>
      </c>
      <c r="AD414" s="124">
        <f t="shared" si="287"/>
        <v>0</v>
      </c>
      <c r="AE414" s="124">
        <f t="shared" si="288"/>
        <v>0</v>
      </c>
      <c r="AF414" s="124">
        <f t="shared" si="289"/>
        <v>0</v>
      </c>
      <c r="AG414" s="124">
        <f t="shared" si="290"/>
        <v>0</v>
      </c>
      <c r="AH414" s="124">
        <f t="shared" si="291"/>
        <v>0</v>
      </c>
      <c r="AI414" s="113" t="s">
        <v>60</v>
      </c>
      <c r="AJ414" s="122">
        <f t="shared" si="292"/>
        <v>0</v>
      </c>
      <c r="AK414" s="122">
        <f t="shared" si="293"/>
        <v>0</v>
      </c>
      <c r="AL414" s="122">
        <f t="shared" si="294"/>
        <v>0</v>
      </c>
      <c r="AN414" s="124">
        <v>15</v>
      </c>
      <c r="AO414" s="124">
        <f t="shared" si="295"/>
        <v>0</v>
      </c>
      <c r="AP414" s="124">
        <f t="shared" si="296"/>
        <v>0</v>
      </c>
      <c r="AQ414" s="123" t="s">
        <v>79</v>
      </c>
      <c r="AV414" s="124">
        <f t="shared" si="297"/>
        <v>0</v>
      </c>
      <c r="AW414" s="124">
        <f t="shared" si="298"/>
        <v>0</v>
      </c>
      <c r="AX414" s="124">
        <f t="shared" si="299"/>
        <v>0</v>
      </c>
      <c r="AY414" s="125" t="s">
        <v>649</v>
      </c>
      <c r="AZ414" s="125" t="s">
        <v>1536</v>
      </c>
      <c r="BA414" s="113" t="s">
        <v>1542</v>
      </c>
      <c r="BC414" s="124">
        <f t="shared" si="300"/>
        <v>0</v>
      </c>
      <c r="BD414" s="124">
        <f t="shared" si="301"/>
        <v>0</v>
      </c>
      <c r="BE414" s="124">
        <v>0</v>
      </c>
      <c r="BF414" s="124">
        <f t="shared" si="302"/>
        <v>0</v>
      </c>
      <c r="BH414" s="122">
        <f t="shared" si="303"/>
        <v>0</v>
      </c>
      <c r="BI414" s="122">
        <f t="shared" si="304"/>
        <v>0</v>
      </c>
      <c r="BJ414" s="122">
        <f t="shared" si="305"/>
        <v>0</v>
      </c>
    </row>
    <row r="415" spans="1:62" s="174" customFormat="1" ht="12.75">
      <c r="A415" s="121" t="s">
        <v>847</v>
      </c>
      <c r="B415" s="121" t="s">
        <v>60</v>
      </c>
      <c r="C415" s="121" t="s">
        <v>1152</v>
      </c>
      <c r="D415" s="129" t="s">
        <v>1460</v>
      </c>
      <c r="E415" s="121" t="s">
        <v>609</v>
      </c>
      <c r="F415" s="122">
        <f>'Stavební rozpočet'!F571</f>
        <v>55</v>
      </c>
      <c r="G415" s="172"/>
      <c r="H415" s="122">
        <f t="shared" si="280"/>
        <v>0</v>
      </c>
      <c r="I415" s="122">
        <f t="shared" si="281"/>
        <v>0</v>
      </c>
      <c r="J415" s="122">
        <f t="shared" si="282"/>
        <v>0</v>
      </c>
      <c r="K415" s="122">
        <f>'Stavební rozpočet'!K571</f>
        <v>0</v>
      </c>
      <c r="L415" s="122">
        <f t="shared" si="283"/>
        <v>0</v>
      </c>
      <c r="M415" s="123" t="s">
        <v>622</v>
      </c>
      <c r="Z415" s="124">
        <f t="shared" si="284"/>
        <v>0</v>
      </c>
      <c r="AB415" s="124">
        <f t="shared" si="285"/>
        <v>0</v>
      </c>
      <c r="AC415" s="124">
        <f t="shared" si="286"/>
        <v>0</v>
      </c>
      <c r="AD415" s="124">
        <f t="shared" si="287"/>
        <v>0</v>
      </c>
      <c r="AE415" s="124">
        <f t="shared" si="288"/>
        <v>0</v>
      </c>
      <c r="AF415" s="124">
        <f t="shared" si="289"/>
        <v>0</v>
      </c>
      <c r="AG415" s="124">
        <f t="shared" si="290"/>
        <v>0</v>
      </c>
      <c r="AH415" s="124">
        <f t="shared" si="291"/>
        <v>0</v>
      </c>
      <c r="AI415" s="113" t="s">
        <v>60</v>
      </c>
      <c r="AJ415" s="122">
        <f t="shared" si="292"/>
        <v>0</v>
      </c>
      <c r="AK415" s="122">
        <f t="shared" si="293"/>
        <v>0</v>
      </c>
      <c r="AL415" s="122">
        <f t="shared" si="294"/>
        <v>0</v>
      </c>
      <c r="AN415" s="124">
        <v>15</v>
      </c>
      <c r="AO415" s="124">
        <f t="shared" si="295"/>
        <v>0</v>
      </c>
      <c r="AP415" s="124">
        <f t="shared" si="296"/>
        <v>0</v>
      </c>
      <c r="AQ415" s="123" t="s">
        <v>79</v>
      </c>
      <c r="AV415" s="124">
        <f t="shared" si="297"/>
        <v>0</v>
      </c>
      <c r="AW415" s="124">
        <f t="shared" si="298"/>
        <v>0</v>
      </c>
      <c r="AX415" s="124">
        <f t="shared" si="299"/>
        <v>0</v>
      </c>
      <c r="AY415" s="125" t="s">
        <v>649</v>
      </c>
      <c r="AZ415" s="125" t="s">
        <v>1536</v>
      </c>
      <c r="BA415" s="113" t="s">
        <v>1542</v>
      </c>
      <c r="BC415" s="124">
        <f t="shared" si="300"/>
        <v>0</v>
      </c>
      <c r="BD415" s="124">
        <f t="shared" si="301"/>
        <v>0</v>
      </c>
      <c r="BE415" s="124">
        <v>0</v>
      </c>
      <c r="BF415" s="124">
        <f t="shared" si="302"/>
        <v>0</v>
      </c>
      <c r="BH415" s="122">
        <f t="shared" si="303"/>
        <v>0</v>
      </c>
      <c r="BI415" s="122">
        <f t="shared" si="304"/>
        <v>0</v>
      </c>
      <c r="BJ415" s="122">
        <f t="shared" si="305"/>
        <v>0</v>
      </c>
    </row>
    <row r="416" spans="1:62" s="174" customFormat="1" ht="12.75">
      <c r="A416" s="121" t="s">
        <v>848</v>
      </c>
      <c r="B416" s="121" t="s">
        <v>60</v>
      </c>
      <c r="C416" s="121" t="s">
        <v>1153</v>
      </c>
      <c r="D416" s="129" t="s">
        <v>1461</v>
      </c>
      <c r="E416" s="121" t="s">
        <v>609</v>
      </c>
      <c r="F416" s="122">
        <f>'Stavební rozpočet'!F572</f>
        <v>55</v>
      </c>
      <c r="G416" s="172"/>
      <c r="H416" s="122">
        <f t="shared" si="280"/>
        <v>0</v>
      </c>
      <c r="I416" s="122">
        <f t="shared" si="281"/>
        <v>0</v>
      </c>
      <c r="J416" s="122">
        <f t="shared" si="282"/>
        <v>0</v>
      </c>
      <c r="K416" s="122">
        <f>'Stavební rozpočet'!K572</f>
        <v>0</v>
      </c>
      <c r="L416" s="122">
        <f t="shared" si="283"/>
        <v>0</v>
      </c>
      <c r="M416" s="123" t="s">
        <v>622</v>
      </c>
      <c r="Z416" s="124">
        <f t="shared" si="284"/>
        <v>0</v>
      </c>
      <c r="AB416" s="124">
        <f t="shared" si="285"/>
        <v>0</v>
      </c>
      <c r="AC416" s="124">
        <f t="shared" si="286"/>
        <v>0</v>
      </c>
      <c r="AD416" s="124">
        <f t="shared" si="287"/>
        <v>0</v>
      </c>
      <c r="AE416" s="124">
        <f t="shared" si="288"/>
        <v>0</v>
      </c>
      <c r="AF416" s="124">
        <f t="shared" si="289"/>
        <v>0</v>
      </c>
      <c r="AG416" s="124">
        <f t="shared" si="290"/>
        <v>0</v>
      </c>
      <c r="AH416" s="124">
        <f t="shared" si="291"/>
        <v>0</v>
      </c>
      <c r="AI416" s="113" t="s">
        <v>60</v>
      </c>
      <c r="AJ416" s="122">
        <f t="shared" si="292"/>
        <v>0</v>
      </c>
      <c r="AK416" s="122">
        <f t="shared" si="293"/>
        <v>0</v>
      </c>
      <c r="AL416" s="122">
        <f t="shared" si="294"/>
        <v>0</v>
      </c>
      <c r="AN416" s="124">
        <v>15</v>
      </c>
      <c r="AO416" s="124">
        <f t="shared" si="295"/>
        <v>0</v>
      </c>
      <c r="AP416" s="124">
        <f t="shared" si="296"/>
        <v>0</v>
      </c>
      <c r="AQ416" s="123" t="s">
        <v>79</v>
      </c>
      <c r="AV416" s="124">
        <f t="shared" si="297"/>
        <v>0</v>
      </c>
      <c r="AW416" s="124">
        <f t="shared" si="298"/>
        <v>0</v>
      </c>
      <c r="AX416" s="124">
        <f t="shared" si="299"/>
        <v>0</v>
      </c>
      <c r="AY416" s="125" t="s">
        <v>649</v>
      </c>
      <c r="AZ416" s="125" t="s">
        <v>1536</v>
      </c>
      <c r="BA416" s="113" t="s">
        <v>1542</v>
      </c>
      <c r="BC416" s="124">
        <f t="shared" si="300"/>
        <v>0</v>
      </c>
      <c r="BD416" s="124">
        <f t="shared" si="301"/>
        <v>0</v>
      </c>
      <c r="BE416" s="124">
        <v>0</v>
      </c>
      <c r="BF416" s="124">
        <f t="shared" si="302"/>
        <v>0</v>
      </c>
      <c r="BH416" s="122">
        <f t="shared" si="303"/>
        <v>0</v>
      </c>
      <c r="BI416" s="122">
        <f t="shared" si="304"/>
        <v>0</v>
      </c>
      <c r="BJ416" s="122">
        <f t="shared" si="305"/>
        <v>0</v>
      </c>
    </row>
    <row r="417" spans="1:62" s="174" customFormat="1" ht="12.75">
      <c r="A417" s="121" t="s">
        <v>849</v>
      </c>
      <c r="B417" s="121" t="s">
        <v>60</v>
      </c>
      <c r="C417" s="121" t="s">
        <v>1154</v>
      </c>
      <c r="D417" s="129" t="s">
        <v>1462</v>
      </c>
      <c r="E417" s="121" t="s">
        <v>609</v>
      </c>
      <c r="F417" s="122">
        <f>'Stavební rozpočet'!F573</f>
        <v>40</v>
      </c>
      <c r="G417" s="172"/>
      <c r="H417" s="122">
        <f t="shared" si="280"/>
        <v>0</v>
      </c>
      <c r="I417" s="122">
        <f t="shared" si="281"/>
        <v>0</v>
      </c>
      <c r="J417" s="122">
        <f t="shared" si="282"/>
        <v>0</v>
      </c>
      <c r="K417" s="122">
        <f>'Stavební rozpočet'!K573</f>
        <v>0</v>
      </c>
      <c r="L417" s="122">
        <f t="shared" si="283"/>
        <v>0</v>
      </c>
      <c r="M417" s="123" t="s">
        <v>622</v>
      </c>
      <c r="Z417" s="124">
        <f t="shared" si="284"/>
        <v>0</v>
      </c>
      <c r="AB417" s="124">
        <f t="shared" si="285"/>
        <v>0</v>
      </c>
      <c r="AC417" s="124">
        <f t="shared" si="286"/>
        <v>0</v>
      </c>
      <c r="AD417" s="124">
        <f t="shared" si="287"/>
        <v>0</v>
      </c>
      <c r="AE417" s="124">
        <f t="shared" si="288"/>
        <v>0</v>
      </c>
      <c r="AF417" s="124">
        <f t="shared" si="289"/>
        <v>0</v>
      </c>
      <c r="AG417" s="124">
        <f t="shared" si="290"/>
        <v>0</v>
      </c>
      <c r="AH417" s="124">
        <f t="shared" si="291"/>
        <v>0</v>
      </c>
      <c r="AI417" s="113" t="s">
        <v>60</v>
      </c>
      <c r="AJ417" s="122">
        <f t="shared" si="292"/>
        <v>0</v>
      </c>
      <c r="AK417" s="122">
        <f t="shared" si="293"/>
        <v>0</v>
      </c>
      <c r="AL417" s="122">
        <f t="shared" si="294"/>
        <v>0</v>
      </c>
      <c r="AN417" s="124">
        <v>15</v>
      </c>
      <c r="AO417" s="124">
        <f t="shared" si="295"/>
        <v>0</v>
      </c>
      <c r="AP417" s="124">
        <f t="shared" si="296"/>
        <v>0</v>
      </c>
      <c r="AQ417" s="123" t="s">
        <v>79</v>
      </c>
      <c r="AV417" s="124">
        <f t="shared" si="297"/>
        <v>0</v>
      </c>
      <c r="AW417" s="124">
        <f t="shared" si="298"/>
        <v>0</v>
      </c>
      <c r="AX417" s="124">
        <f t="shared" si="299"/>
        <v>0</v>
      </c>
      <c r="AY417" s="125" t="s">
        <v>649</v>
      </c>
      <c r="AZ417" s="125" t="s">
        <v>1536</v>
      </c>
      <c r="BA417" s="113" t="s">
        <v>1542</v>
      </c>
      <c r="BC417" s="124">
        <f t="shared" si="300"/>
        <v>0</v>
      </c>
      <c r="BD417" s="124">
        <f t="shared" si="301"/>
        <v>0</v>
      </c>
      <c r="BE417" s="124">
        <v>0</v>
      </c>
      <c r="BF417" s="124">
        <f t="shared" si="302"/>
        <v>0</v>
      </c>
      <c r="BH417" s="122">
        <f t="shared" si="303"/>
        <v>0</v>
      </c>
      <c r="BI417" s="122">
        <f t="shared" si="304"/>
        <v>0</v>
      </c>
      <c r="BJ417" s="122">
        <f t="shared" si="305"/>
        <v>0</v>
      </c>
    </row>
    <row r="418" spans="1:62" s="174" customFormat="1" ht="12.75">
      <c r="A418" s="121" t="s">
        <v>850</v>
      </c>
      <c r="B418" s="121" t="s">
        <v>60</v>
      </c>
      <c r="C418" s="121" t="s">
        <v>1155</v>
      </c>
      <c r="D418" s="129" t="s">
        <v>1463</v>
      </c>
      <c r="E418" s="121" t="s">
        <v>609</v>
      </c>
      <c r="F418" s="122">
        <f>'Stavební rozpočet'!F574</f>
        <v>40</v>
      </c>
      <c r="G418" s="172"/>
      <c r="H418" s="122">
        <f t="shared" si="280"/>
        <v>0</v>
      </c>
      <c r="I418" s="122">
        <f t="shared" si="281"/>
        <v>0</v>
      </c>
      <c r="J418" s="122">
        <f t="shared" si="282"/>
        <v>0</v>
      </c>
      <c r="K418" s="122">
        <f>'Stavební rozpočet'!K574</f>
        <v>0</v>
      </c>
      <c r="L418" s="122">
        <f t="shared" si="283"/>
        <v>0</v>
      </c>
      <c r="M418" s="123" t="s">
        <v>622</v>
      </c>
      <c r="Z418" s="124">
        <f t="shared" si="284"/>
        <v>0</v>
      </c>
      <c r="AB418" s="124">
        <f t="shared" si="285"/>
        <v>0</v>
      </c>
      <c r="AC418" s="124">
        <f t="shared" si="286"/>
        <v>0</v>
      </c>
      <c r="AD418" s="124">
        <f t="shared" si="287"/>
        <v>0</v>
      </c>
      <c r="AE418" s="124">
        <f t="shared" si="288"/>
        <v>0</v>
      </c>
      <c r="AF418" s="124">
        <f t="shared" si="289"/>
        <v>0</v>
      </c>
      <c r="AG418" s="124">
        <f t="shared" si="290"/>
        <v>0</v>
      </c>
      <c r="AH418" s="124">
        <f t="shared" si="291"/>
        <v>0</v>
      </c>
      <c r="AI418" s="113" t="s">
        <v>60</v>
      </c>
      <c r="AJ418" s="122">
        <f t="shared" si="292"/>
        <v>0</v>
      </c>
      <c r="AK418" s="122">
        <f t="shared" si="293"/>
        <v>0</v>
      </c>
      <c r="AL418" s="122">
        <f t="shared" si="294"/>
        <v>0</v>
      </c>
      <c r="AN418" s="124">
        <v>15</v>
      </c>
      <c r="AO418" s="124">
        <f t="shared" si="295"/>
        <v>0</v>
      </c>
      <c r="AP418" s="124">
        <f t="shared" si="296"/>
        <v>0</v>
      </c>
      <c r="AQ418" s="123" t="s">
        <v>79</v>
      </c>
      <c r="AV418" s="124">
        <f t="shared" si="297"/>
        <v>0</v>
      </c>
      <c r="AW418" s="124">
        <f t="shared" si="298"/>
        <v>0</v>
      </c>
      <c r="AX418" s="124">
        <f t="shared" si="299"/>
        <v>0</v>
      </c>
      <c r="AY418" s="125" t="s">
        <v>649</v>
      </c>
      <c r="AZ418" s="125" t="s">
        <v>1536</v>
      </c>
      <c r="BA418" s="113" t="s">
        <v>1542</v>
      </c>
      <c r="BC418" s="124">
        <f t="shared" si="300"/>
        <v>0</v>
      </c>
      <c r="BD418" s="124">
        <f t="shared" si="301"/>
        <v>0</v>
      </c>
      <c r="BE418" s="124">
        <v>0</v>
      </c>
      <c r="BF418" s="124">
        <f t="shared" si="302"/>
        <v>0</v>
      </c>
      <c r="BH418" s="122">
        <f t="shared" si="303"/>
        <v>0</v>
      </c>
      <c r="BI418" s="122">
        <f t="shared" si="304"/>
        <v>0</v>
      </c>
      <c r="BJ418" s="122">
        <f t="shared" si="305"/>
        <v>0</v>
      </c>
    </row>
    <row r="419" spans="1:62" s="174" customFormat="1" ht="12.75">
      <c r="A419" s="121" t="s">
        <v>851</v>
      </c>
      <c r="B419" s="121" t="s">
        <v>60</v>
      </c>
      <c r="C419" s="121" t="s">
        <v>397</v>
      </c>
      <c r="D419" s="129" t="s">
        <v>583</v>
      </c>
      <c r="E419" s="121" t="s">
        <v>609</v>
      </c>
      <c r="F419" s="122">
        <f>'Stavební rozpočet'!F575</f>
        <v>2069</v>
      </c>
      <c r="G419" s="172"/>
      <c r="H419" s="122">
        <f t="shared" si="280"/>
        <v>0</v>
      </c>
      <c r="I419" s="122">
        <f t="shared" si="281"/>
        <v>0</v>
      </c>
      <c r="J419" s="122">
        <f t="shared" si="282"/>
        <v>0</v>
      </c>
      <c r="K419" s="122">
        <f>'Stavební rozpočet'!K575</f>
        <v>0</v>
      </c>
      <c r="L419" s="122">
        <f t="shared" si="283"/>
        <v>0</v>
      </c>
      <c r="M419" s="123" t="s">
        <v>622</v>
      </c>
      <c r="Z419" s="124">
        <f t="shared" si="284"/>
        <v>0</v>
      </c>
      <c r="AB419" s="124">
        <f t="shared" si="285"/>
        <v>0</v>
      </c>
      <c r="AC419" s="124">
        <f t="shared" si="286"/>
        <v>0</v>
      </c>
      <c r="AD419" s="124">
        <f t="shared" si="287"/>
        <v>0</v>
      </c>
      <c r="AE419" s="124">
        <f t="shared" si="288"/>
        <v>0</v>
      </c>
      <c r="AF419" s="124">
        <f t="shared" si="289"/>
        <v>0</v>
      </c>
      <c r="AG419" s="124">
        <f t="shared" si="290"/>
        <v>0</v>
      </c>
      <c r="AH419" s="124">
        <f t="shared" si="291"/>
        <v>0</v>
      </c>
      <c r="AI419" s="113" t="s">
        <v>60</v>
      </c>
      <c r="AJ419" s="122">
        <f t="shared" si="292"/>
        <v>0</v>
      </c>
      <c r="AK419" s="122">
        <f t="shared" si="293"/>
        <v>0</v>
      </c>
      <c r="AL419" s="122">
        <f t="shared" si="294"/>
        <v>0</v>
      </c>
      <c r="AN419" s="124">
        <v>15</v>
      </c>
      <c r="AO419" s="124">
        <f t="shared" si="295"/>
        <v>0</v>
      </c>
      <c r="AP419" s="124">
        <f t="shared" si="296"/>
        <v>0</v>
      </c>
      <c r="AQ419" s="123" t="s">
        <v>79</v>
      </c>
      <c r="AV419" s="124">
        <f t="shared" si="297"/>
        <v>0</v>
      </c>
      <c r="AW419" s="124">
        <f t="shared" si="298"/>
        <v>0</v>
      </c>
      <c r="AX419" s="124">
        <f t="shared" si="299"/>
        <v>0</v>
      </c>
      <c r="AY419" s="125" t="s">
        <v>649</v>
      </c>
      <c r="AZ419" s="125" t="s">
        <v>1536</v>
      </c>
      <c r="BA419" s="113" t="s">
        <v>1542</v>
      </c>
      <c r="BC419" s="124">
        <f t="shared" si="300"/>
        <v>0</v>
      </c>
      <c r="BD419" s="124">
        <f t="shared" si="301"/>
        <v>0</v>
      </c>
      <c r="BE419" s="124">
        <v>0</v>
      </c>
      <c r="BF419" s="124">
        <f t="shared" si="302"/>
        <v>0</v>
      </c>
      <c r="BH419" s="122">
        <f t="shared" si="303"/>
        <v>0</v>
      </c>
      <c r="BI419" s="122">
        <f t="shared" si="304"/>
        <v>0</v>
      </c>
      <c r="BJ419" s="122">
        <f t="shared" si="305"/>
        <v>0</v>
      </c>
    </row>
    <row r="420" spans="1:62" s="174" customFormat="1" ht="12.75">
      <c r="A420" s="121" t="s">
        <v>852</v>
      </c>
      <c r="B420" s="121" t="s">
        <v>60</v>
      </c>
      <c r="C420" s="121" t="s">
        <v>398</v>
      </c>
      <c r="D420" s="129" t="s">
        <v>584</v>
      </c>
      <c r="E420" s="121" t="s">
        <v>609</v>
      </c>
      <c r="F420" s="122">
        <f>'Stavební rozpočet'!F576</f>
        <v>570</v>
      </c>
      <c r="G420" s="172"/>
      <c r="H420" s="122">
        <f aca="true" t="shared" si="306" ref="H420:H451">F420*AO420</f>
        <v>0</v>
      </c>
      <c r="I420" s="122">
        <f aca="true" t="shared" si="307" ref="I420:I451">F420*AP420</f>
        <v>0</v>
      </c>
      <c r="J420" s="122">
        <f aca="true" t="shared" si="308" ref="J420:J451">F420*G420</f>
        <v>0</v>
      </c>
      <c r="K420" s="122">
        <f>'Stavební rozpočet'!K576</f>
        <v>0</v>
      </c>
      <c r="L420" s="122">
        <f aca="true" t="shared" si="309" ref="L420:L451">F420*K420</f>
        <v>0</v>
      </c>
      <c r="M420" s="123" t="s">
        <v>622</v>
      </c>
      <c r="Z420" s="124">
        <f aca="true" t="shared" si="310" ref="Z420:Z451">IF(AQ420="5",BJ420,0)</f>
        <v>0</v>
      </c>
      <c r="AB420" s="124">
        <f aca="true" t="shared" si="311" ref="AB420:AB451">IF(AQ420="1",BH420,0)</f>
        <v>0</v>
      </c>
      <c r="AC420" s="124">
        <f aca="true" t="shared" si="312" ref="AC420:AC451">IF(AQ420="1",BI420,0)</f>
        <v>0</v>
      </c>
      <c r="AD420" s="124">
        <f aca="true" t="shared" si="313" ref="AD420:AD451">IF(AQ420="7",BH420,0)</f>
        <v>0</v>
      </c>
      <c r="AE420" s="124">
        <f aca="true" t="shared" si="314" ref="AE420:AE451">IF(AQ420="7",BI420,0)</f>
        <v>0</v>
      </c>
      <c r="AF420" s="124">
        <f aca="true" t="shared" si="315" ref="AF420:AF451">IF(AQ420="2",BH420,0)</f>
        <v>0</v>
      </c>
      <c r="AG420" s="124">
        <f aca="true" t="shared" si="316" ref="AG420:AG451">IF(AQ420="2",BI420,0)</f>
        <v>0</v>
      </c>
      <c r="AH420" s="124">
        <f aca="true" t="shared" si="317" ref="AH420:AH451">IF(AQ420="0",BJ420,0)</f>
        <v>0</v>
      </c>
      <c r="AI420" s="113" t="s">
        <v>60</v>
      </c>
      <c r="AJ420" s="122">
        <f aca="true" t="shared" si="318" ref="AJ420:AJ451">IF(AN420=0,J420,0)</f>
        <v>0</v>
      </c>
      <c r="AK420" s="122">
        <f aca="true" t="shared" si="319" ref="AK420:AK451">IF(AN420=15,J420,0)</f>
        <v>0</v>
      </c>
      <c r="AL420" s="122">
        <f aca="true" t="shared" si="320" ref="AL420:AL451">IF(AN420=21,J420,0)</f>
        <v>0</v>
      </c>
      <c r="AN420" s="124">
        <v>15</v>
      </c>
      <c r="AO420" s="124">
        <f aca="true" t="shared" si="321" ref="AO420:AO451">G420*0</f>
        <v>0</v>
      </c>
      <c r="AP420" s="124">
        <f aca="true" t="shared" si="322" ref="AP420:AP451">G420*(1-0)</f>
        <v>0</v>
      </c>
      <c r="AQ420" s="123" t="s">
        <v>79</v>
      </c>
      <c r="AV420" s="124">
        <f aca="true" t="shared" si="323" ref="AV420:AV451">AW420+AX420</f>
        <v>0</v>
      </c>
      <c r="AW420" s="124">
        <f aca="true" t="shared" si="324" ref="AW420:AW451">F420*AO420</f>
        <v>0</v>
      </c>
      <c r="AX420" s="124">
        <f aca="true" t="shared" si="325" ref="AX420:AX451">F420*AP420</f>
        <v>0</v>
      </c>
      <c r="AY420" s="125" t="s">
        <v>649</v>
      </c>
      <c r="AZ420" s="125" t="s">
        <v>1536</v>
      </c>
      <c r="BA420" s="113" t="s">
        <v>1542</v>
      </c>
      <c r="BC420" s="124">
        <f aca="true" t="shared" si="326" ref="BC420:BC451">AW420+AX420</f>
        <v>0</v>
      </c>
      <c r="BD420" s="124">
        <f aca="true" t="shared" si="327" ref="BD420:BD451">G420/(100-BE420)*100</f>
        <v>0</v>
      </c>
      <c r="BE420" s="124">
        <v>0</v>
      </c>
      <c r="BF420" s="124">
        <f aca="true" t="shared" si="328" ref="BF420:BF451">L420</f>
        <v>0</v>
      </c>
      <c r="BH420" s="122">
        <f aca="true" t="shared" si="329" ref="BH420:BH451">F420*AO420</f>
        <v>0</v>
      </c>
      <c r="BI420" s="122">
        <f aca="true" t="shared" si="330" ref="BI420:BI451">F420*AP420</f>
        <v>0</v>
      </c>
      <c r="BJ420" s="122">
        <f aca="true" t="shared" si="331" ref="BJ420:BJ451">F420*G420</f>
        <v>0</v>
      </c>
    </row>
    <row r="421" spans="1:62" s="174" customFormat="1" ht="12.75">
      <c r="A421" s="121" t="s">
        <v>853</v>
      </c>
      <c r="B421" s="121" t="s">
        <v>60</v>
      </c>
      <c r="C421" s="121" t="s">
        <v>1156</v>
      </c>
      <c r="D421" s="129" t="s">
        <v>1464</v>
      </c>
      <c r="E421" s="121" t="s">
        <v>609</v>
      </c>
      <c r="F421" s="122">
        <f>'Stavební rozpočet'!F577</f>
        <v>24</v>
      </c>
      <c r="G421" s="172"/>
      <c r="H421" s="122">
        <f t="shared" si="306"/>
        <v>0</v>
      </c>
      <c r="I421" s="122">
        <f t="shared" si="307"/>
        <v>0</v>
      </c>
      <c r="J421" s="122">
        <f t="shared" si="308"/>
        <v>0</v>
      </c>
      <c r="K421" s="122">
        <f>'Stavební rozpočet'!K577</f>
        <v>0</v>
      </c>
      <c r="L421" s="122">
        <f t="shared" si="309"/>
        <v>0</v>
      </c>
      <c r="M421" s="123" t="s">
        <v>622</v>
      </c>
      <c r="Z421" s="124">
        <f t="shared" si="310"/>
        <v>0</v>
      </c>
      <c r="AB421" s="124">
        <f t="shared" si="311"/>
        <v>0</v>
      </c>
      <c r="AC421" s="124">
        <f t="shared" si="312"/>
        <v>0</v>
      </c>
      <c r="AD421" s="124">
        <f t="shared" si="313"/>
        <v>0</v>
      </c>
      <c r="AE421" s="124">
        <f t="shared" si="314"/>
        <v>0</v>
      </c>
      <c r="AF421" s="124">
        <f t="shared" si="315"/>
        <v>0</v>
      </c>
      <c r="AG421" s="124">
        <f t="shared" si="316"/>
        <v>0</v>
      </c>
      <c r="AH421" s="124">
        <f t="shared" si="317"/>
        <v>0</v>
      </c>
      <c r="AI421" s="113" t="s">
        <v>60</v>
      </c>
      <c r="AJ421" s="122">
        <f t="shared" si="318"/>
        <v>0</v>
      </c>
      <c r="AK421" s="122">
        <f t="shared" si="319"/>
        <v>0</v>
      </c>
      <c r="AL421" s="122">
        <f t="shared" si="320"/>
        <v>0</v>
      </c>
      <c r="AN421" s="124">
        <v>15</v>
      </c>
      <c r="AO421" s="124">
        <f t="shared" si="321"/>
        <v>0</v>
      </c>
      <c r="AP421" s="124">
        <f t="shared" si="322"/>
        <v>0</v>
      </c>
      <c r="AQ421" s="123" t="s">
        <v>79</v>
      </c>
      <c r="AV421" s="124">
        <f t="shared" si="323"/>
        <v>0</v>
      </c>
      <c r="AW421" s="124">
        <f t="shared" si="324"/>
        <v>0</v>
      </c>
      <c r="AX421" s="124">
        <f t="shared" si="325"/>
        <v>0</v>
      </c>
      <c r="AY421" s="125" t="s">
        <v>649</v>
      </c>
      <c r="AZ421" s="125" t="s">
        <v>1536</v>
      </c>
      <c r="BA421" s="113" t="s">
        <v>1542</v>
      </c>
      <c r="BC421" s="124">
        <f t="shared" si="326"/>
        <v>0</v>
      </c>
      <c r="BD421" s="124">
        <f t="shared" si="327"/>
        <v>0</v>
      </c>
      <c r="BE421" s="124">
        <v>0</v>
      </c>
      <c r="BF421" s="124">
        <f t="shared" si="328"/>
        <v>0</v>
      </c>
      <c r="BH421" s="122">
        <f t="shared" si="329"/>
        <v>0</v>
      </c>
      <c r="BI421" s="122">
        <f t="shared" si="330"/>
        <v>0</v>
      </c>
      <c r="BJ421" s="122">
        <f t="shared" si="331"/>
        <v>0</v>
      </c>
    </row>
    <row r="422" spans="1:62" s="174" customFormat="1" ht="12.75">
      <c r="A422" s="121" t="s">
        <v>854</v>
      </c>
      <c r="B422" s="121" t="s">
        <v>60</v>
      </c>
      <c r="C422" s="121" t="s">
        <v>1156</v>
      </c>
      <c r="D422" s="129" t="s">
        <v>1465</v>
      </c>
      <c r="E422" s="121" t="s">
        <v>609</v>
      </c>
      <c r="F422" s="122">
        <f>'Stavební rozpočet'!F578</f>
        <v>710</v>
      </c>
      <c r="G422" s="172"/>
      <c r="H422" s="122">
        <f t="shared" si="306"/>
        <v>0</v>
      </c>
      <c r="I422" s="122">
        <f t="shared" si="307"/>
        <v>0</v>
      </c>
      <c r="J422" s="122">
        <f t="shared" si="308"/>
        <v>0</v>
      </c>
      <c r="K422" s="122">
        <f>'Stavební rozpočet'!K578</f>
        <v>0</v>
      </c>
      <c r="L422" s="122">
        <f t="shared" si="309"/>
        <v>0</v>
      </c>
      <c r="M422" s="123" t="s">
        <v>622</v>
      </c>
      <c r="Z422" s="124">
        <f t="shared" si="310"/>
        <v>0</v>
      </c>
      <c r="AB422" s="124">
        <f t="shared" si="311"/>
        <v>0</v>
      </c>
      <c r="AC422" s="124">
        <f t="shared" si="312"/>
        <v>0</v>
      </c>
      <c r="AD422" s="124">
        <f t="shared" si="313"/>
        <v>0</v>
      </c>
      <c r="AE422" s="124">
        <f t="shared" si="314"/>
        <v>0</v>
      </c>
      <c r="AF422" s="124">
        <f t="shared" si="315"/>
        <v>0</v>
      </c>
      <c r="AG422" s="124">
        <f t="shared" si="316"/>
        <v>0</v>
      </c>
      <c r="AH422" s="124">
        <f t="shared" si="317"/>
        <v>0</v>
      </c>
      <c r="AI422" s="113" t="s">
        <v>60</v>
      </c>
      <c r="AJ422" s="122">
        <f t="shared" si="318"/>
        <v>0</v>
      </c>
      <c r="AK422" s="122">
        <f t="shared" si="319"/>
        <v>0</v>
      </c>
      <c r="AL422" s="122">
        <f t="shared" si="320"/>
        <v>0</v>
      </c>
      <c r="AN422" s="124">
        <v>15</v>
      </c>
      <c r="AO422" s="124">
        <f t="shared" si="321"/>
        <v>0</v>
      </c>
      <c r="AP422" s="124">
        <f t="shared" si="322"/>
        <v>0</v>
      </c>
      <c r="AQ422" s="123" t="s">
        <v>79</v>
      </c>
      <c r="AV422" s="124">
        <f t="shared" si="323"/>
        <v>0</v>
      </c>
      <c r="AW422" s="124">
        <f t="shared" si="324"/>
        <v>0</v>
      </c>
      <c r="AX422" s="124">
        <f t="shared" si="325"/>
        <v>0</v>
      </c>
      <c r="AY422" s="125" t="s">
        <v>649</v>
      </c>
      <c r="AZ422" s="125" t="s">
        <v>1536</v>
      </c>
      <c r="BA422" s="113" t="s">
        <v>1542</v>
      </c>
      <c r="BC422" s="124">
        <f t="shared" si="326"/>
        <v>0</v>
      </c>
      <c r="BD422" s="124">
        <f t="shared" si="327"/>
        <v>0</v>
      </c>
      <c r="BE422" s="124">
        <v>0</v>
      </c>
      <c r="BF422" s="124">
        <f t="shared" si="328"/>
        <v>0</v>
      </c>
      <c r="BH422" s="122">
        <f t="shared" si="329"/>
        <v>0</v>
      </c>
      <c r="BI422" s="122">
        <f t="shared" si="330"/>
        <v>0</v>
      </c>
      <c r="BJ422" s="122">
        <f t="shared" si="331"/>
        <v>0</v>
      </c>
    </row>
    <row r="423" spans="1:62" s="174" customFormat="1" ht="12.75">
      <c r="A423" s="121" t="s">
        <v>855</v>
      </c>
      <c r="B423" s="121" t="s">
        <v>60</v>
      </c>
      <c r="C423" s="121" t="s">
        <v>1157</v>
      </c>
      <c r="D423" s="129" t="s">
        <v>1466</v>
      </c>
      <c r="E423" s="121" t="s">
        <v>609</v>
      </c>
      <c r="F423" s="122">
        <f>'Stavební rozpočet'!F579</f>
        <v>35</v>
      </c>
      <c r="G423" s="172"/>
      <c r="H423" s="122">
        <f t="shared" si="306"/>
        <v>0</v>
      </c>
      <c r="I423" s="122">
        <f t="shared" si="307"/>
        <v>0</v>
      </c>
      <c r="J423" s="122">
        <f t="shared" si="308"/>
        <v>0</v>
      </c>
      <c r="K423" s="122">
        <f>'Stavební rozpočet'!K579</f>
        <v>0</v>
      </c>
      <c r="L423" s="122">
        <f t="shared" si="309"/>
        <v>0</v>
      </c>
      <c r="M423" s="123" t="s">
        <v>622</v>
      </c>
      <c r="Z423" s="124">
        <f t="shared" si="310"/>
        <v>0</v>
      </c>
      <c r="AB423" s="124">
        <f t="shared" si="311"/>
        <v>0</v>
      </c>
      <c r="AC423" s="124">
        <f t="shared" si="312"/>
        <v>0</v>
      </c>
      <c r="AD423" s="124">
        <f t="shared" si="313"/>
        <v>0</v>
      </c>
      <c r="AE423" s="124">
        <f t="shared" si="314"/>
        <v>0</v>
      </c>
      <c r="AF423" s="124">
        <f t="shared" si="315"/>
        <v>0</v>
      </c>
      <c r="AG423" s="124">
        <f t="shared" si="316"/>
        <v>0</v>
      </c>
      <c r="AH423" s="124">
        <f t="shared" si="317"/>
        <v>0</v>
      </c>
      <c r="AI423" s="113" t="s">
        <v>60</v>
      </c>
      <c r="AJ423" s="122">
        <f t="shared" si="318"/>
        <v>0</v>
      </c>
      <c r="AK423" s="122">
        <f t="shared" si="319"/>
        <v>0</v>
      </c>
      <c r="AL423" s="122">
        <f t="shared" si="320"/>
        <v>0</v>
      </c>
      <c r="AN423" s="124">
        <v>15</v>
      </c>
      <c r="AO423" s="124">
        <f t="shared" si="321"/>
        <v>0</v>
      </c>
      <c r="AP423" s="124">
        <f t="shared" si="322"/>
        <v>0</v>
      </c>
      <c r="AQ423" s="123" t="s">
        <v>79</v>
      </c>
      <c r="AV423" s="124">
        <f t="shared" si="323"/>
        <v>0</v>
      </c>
      <c r="AW423" s="124">
        <f t="shared" si="324"/>
        <v>0</v>
      </c>
      <c r="AX423" s="124">
        <f t="shared" si="325"/>
        <v>0</v>
      </c>
      <c r="AY423" s="125" t="s">
        <v>649</v>
      </c>
      <c r="AZ423" s="125" t="s">
        <v>1536</v>
      </c>
      <c r="BA423" s="113" t="s">
        <v>1542</v>
      </c>
      <c r="BC423" s="124">
        <f t="shared" si="326"/>
        <v>0</v>
      </c>
      <c r="BD423" s="124">
        <f t="shared" si="327"/>
        <v>0</v>
      </c>
      <c r="BE423" s="124">
        <v>0</v>
      </c>
      <c r="BF423" s="124">
        <f t="shared" si="328"/>
        <v>0</v>
      </c>
      <c r="BH423" s="122">
        <f t="shared" si="329"/>
        <v>0</v>
      </c>
      <c r="BI423" s="122">
        <f t="shared" si="330"/>
        <v>0</v>
      </c>
      <c r="BJ423" s="122">
        <f t="shared" si="331"/>
        <v>0</v>
      </c>
    </row>
    <row r="424" spans="1:62" s="174" customFormat="1" ht="12.75">
      <c r="A424" s="121" t="s">
        <v>856</v>
      </c>
      <c r="B424" s="121" t="s">
        <v>60</v>
      </c>
      <c r="C424" s="121" t="s">
        <v>1158</v>
      </c>
      <c r="D424" s="129" t="s">
        <v>1467</v>
      </c>
      <c r="E424" s="121" t="s">
        <v>609</v>
      </c>
      <c r="F424" s="122">
        <f>'Stavební rozpočet'!F580</f>
        <v>730</v>
      </c>
      <c r="G424" s="172"/>
      <c r="H424" s="122">
        <f t="shared" si="306"/>
        <v>0</v>
      </c>
      <c r="I424" s="122">
        <f t="shared" si="307"/>
        <v>0</v>
      </c>
      <c r="J424" s="122">
        <f t="shared" si="308"/>
        <v>0</v>
      </c>
      <c r="K424" s="122">
        <f>'Stavební rozpočet'!K580</f>
        <v>0</v>
      </c>
      <c r="L424" s="122">
        <f t="shared" si="309"/>
        <v>0</v>
      </c>
      <c r="M424" s="123" t="s">
        <v>622</v>
      </c>
      <c r="Z424" s="124">
        <f t="shared" si="310"/>
        <v>0</v>
      </c>
      <c r="AB424" s="124">
        <f t="shared" si="311"/>
        <v>0</v>
      </c>
      <c r="AC424" s="124">
        <f t="shared" si="312"/>
        <v>0</v>
      </c>
      <c r="AD424" s="124">
        <f t="shared" si="313"/>
        <v>0</v>
      </c>
      <c r="AE424" s="124">
        <f t="shared" si="314"/>
        <v>0</v>
      </c>
      <c r="AF424" s="124">
        <f t="shared" si="315"/>
        <v>0</v>
      </c>
      <c r="AG424" s="124">
        <f t="shared" si="316"/>
        <v>0</v>
      </c>
      <c r="AH424" s="124">
        <f t="shared" si="317"/>
        <v>0</v>
      </c>
      <c r="AI424" s="113" t="s">
        <v>60</v>
      </c>
      <c r="AJ424" s="122">
        <f t="shared" si="318"/>
        <v>0</v>
      </c>
      <c r="AK424" s="122">
        <f t="shared" si="319"/>
        <v>0</v>
      </c>
      <c r="AL424" s="122">
        <f t="shared" si="320"/>
        <v>0</v>
      </c>
      <c r="AN424" s="124">
        <v>15</v>
      </c>
      <c r="AO424" s="124">
        <f t="shared" si="321"/>
        <v>0</v>
      </c>
      <c r="AP424" s="124">
        <f t="shared" si="322"/>
        <v>0</v>
      </c>
      <c r="AQ424" s="123" t="s">
        <v>79</v>
      </c>
      <c r="AV424" s="124">
        <f t="shared" si="323"/>
        <v>0</v>
      </c>
      <c r="AW424" s="124">
        <f t="shared" si="324"/>
        <v>0</v>
      </c>
      <c r="AX424" s="124">
        <f t="shared" si="325"/>
        <v>0</v>
      </c>
      <c r="AY424" s="125" t="s">
        <v>649</v>
      </c>
      <c r="AZ424" s="125" t="s">
        <v>1536</v>
      </c>
      <c r="BA424" s="113" t="s">
        <v>1542</v>
      </c>
      <c r="BC424" s="124">
        <f t="shared" si="326"/>
        <v>0</v>
      </c>
      <c r="BD424" s="124">
        <f t="shared" si="327"/>
        <v>0</v>
      </c>
      <c r="BE424" s="124">
        <v>0</v>
      </c>
      <c r="BF424" s="124">
        <f t="shared" si="328"/>
        <v>0</v>
      </c>
      <c r="BH424" s="122">
        <f t="shared" si="329"/>
        <v>0</v>
      </c>
      <c r="BI424" s="122">
        <f t="shared" si="330"/>
        <v>0</v>
      </c>
      <c r="BJ424" s="122">
        <f t="shared" si="331"/>
        <v>0</v>
      </c>
    </row>
    <row r="425" spans="1:62" s="174" customFormat="1" ht="12.75">
      <c r="A425" s="121" t="s">
        <v>857</v>
      </c>
      <c r="B425" s="121" t="s">
        <v>60</v>
      </c>
      <c r="C425" s="121" t="s">
        <v>1159</v>
      </c>
      <c r="D425" s="129" t="s">
        <v>1468</v>
      </c>
      <c r="E425" s="121" t="s">
        <v>609</v>
      </c>
      <c r="F425" s="122">
        <f>'Stavební rozpočet'!F581</f>
        <v>668</v>
      </c>
      <c r="G425" s="172"/>
      <c r="H425" s="122">
        <f t="shared" si="306"/>
        <v>0</v>
      </c>
      <c r="I425" s="122">
        <f t="shared" si="307"/>
        <v>0</v>
      </c>
      <c r="J425" s="122">
        <f t="shared" si="308"/>
        <v>0</v>
      </c>
      <c r="K425" s="122">
        <f>'Stavební rozpočet'!K581</f>
        <v>0</v>
      </c>
      <c r="L425" s="122">
        <f t="shared" si="309"/>
        <v>0</v>
      </c>
      <c r="M425" s="123" t="s">
        <v>622</v>
      </c>
      <c r="Z425" s="124">
        <f t="shared" si="310"/>
        <v>0</v>
      </c>
      <c r="AB425" s="124">
        <f t="shared" si="311"/>
        <v>0</v>
      </c>
      <c r="AC425" s="124">
        <f t="shared" si="312"/>
        <v>0</v>
      </c>
      <c r="AD425" s="124">
        <f t="shared" si="313"/>
        <v>0</v>
      </c>
      <c r="AE425" s="124">
        <f t="shared" si="314"/>
        <v>0</v>
      </c>
      <c r="AF425" s="124">
        <f t="shared" si="315"/>
        <v>0</v>
      </c>
      <c r="AG425" s="124">
        <f t="shared" si="316"/>
        <v>0</v>
      </c>
      <c r="AH425" s="124">
        <f t="shared" si="317"/>
        <v>0</v>
      </c>
      <c r="AI425" s="113" t="s">
        <v>60</v>
      </c>
      <c r="AJ425" s="122">
        <f t="shared" si="318"/>
        <v>0</v>
      </c>
      <c r="AK425" s="122">
        <f t="shared" si="319"/>
        <v>0</v>
      </c>
      <c r="AL425" s="122">
        <f t="shared" si="320"/>
        <v>0</v>
      </c>
      <c r="AN425" s="124">
        <v>15</v>
      </c>
      <c r="AO425" s="124">
        <f t="shared" si="321"/>
        <v>0</v>
      </c>
      <c r="AP425" s="124">
        <f t="shared" si="322"/>
        <v>0</v>
      </c>
      <c r="AQ425" s="123" t="s">
        <v>79</v>
      </c>
      <c r="AV425" s="124">
        <f t="shared" si="323"/>
        <v>0</v>
      </c>
      <c r="AW425" s="124">
        <f t="shared" si="324"/>
        <v>0</v>
      </c>
      <c r="AX425" s="124">
        <f t="shared" si="325"/>
        <v>0</v>
      </c>
      <c r="AY425" s="125" t="s">
        <v>649</v>
      </c>
      <c r="AZ425" s="125" t="s">
        <v>1536</v>
      </c>
      <c r="BA425" s="113" t="s">
        <v>1542</v>
      </c>
      <c r="BC425" s="124">
        <f t="shared" si="326"/>
        <v>0</v>
      </c>
      <c r="BD425" s="124">
        <f t="shared" si="327"/>
        <v>0</v>
      </c>
      <c r="BE425" s="124">
        <v>0</v>
      </c>
      <c r="BF425" s="124">
        <f t="shared" si="328"/>
        <v>0</v>
      </c>
      <c r="BH425" s="122">
        <f t="shared" si="329"/>
        <v>0</v>
      </c>
      <c r="BI425" s="122">
        <f t="shared" si="330"/>
        <v>0</v>
      </c>
      <c r="BJ425" s="122">
        <f t="shared" si="331"/>
        <v>0</v>
      </c>
    </row>
    <row r="426" spans="1:62" s="174" customFormat="1" ht="12.75">
      <c r="A426" s="121" t="s">
        <v>858</v>
      </c>
      <c r="B426" s="121" t="s">
        <v>60</v>
      </c>
      <c r="C426" s="121" t="s">
        <v>1160</v>
      </c>
      <c r="D426" s="129" t="s">
        <v>1469</v>
      </c>
      <c r="E426" s="121" t="s">
        <v>609</v>
      </c>
      <c r="F426" s="122">
        <f>'Stavební rozpočet'!F582</f>
        <v>40</v>
      </c>
      <c r="G426" s="172"/>
      <c r="H426" s="122">
        <f t="shared" si="306"/>
        <v>0</v>
      </c>
      <c r="I426" s="122">
        <f t="shared" si="307"/>
        <v>0</v>
      </c>
      <c r="J426" s="122">
        <f t="shared" si="308"/>
        <v>0</v>
      </c>
      <c r="K426" s="122">
        <f>'Stavební rozpočet'!K582</f>
        <v>0</v>
      </c>
      <c r="L426" s="122">
        <f t="shared" si="309"/>
        <v>0</v>
      </c>
      <c r="M426" s="123" t="s">
        <v>622</v>
      </c>
      <c r="Z426" s="124">
        <f t="shared" si="310"/>
        <v>0</v>
      </c>
      <c r="AB426" s="124">
        <f t="shared" si="311"/>
        <v>0</v>
      </c>
      <c r="AC426" s="124">
        <f t="shared" si="312"/>
        <v>0</v>
      </c>
      <c r="AD426" s="124">
        <f t="shared" si="313"/>
        <v>0</v>
      </c>
      <c r="AE426" s="124">
        <f t="shared" si="314"/>
        <v>0</v>
      </c>
      <c r="AF426" s="124">
        <f t="shared" si="315"/>
        <v>0</v>
      </c>
      <c r="AG426" s="124">
        <f t="shared" si="316"/>
        <v>0</v>
      </c>
      <c r="AH426" s="124">
        <f t="shared" si="317"/>
        <v>0</v>
      </c>
      <c r="AI426" s="113" t="s">
        <v>60</v>
      </c>
      <c r="AJ426" s="122">
        <f t="shared" si="318"/>
        <v>0</v>
      </c>
      <c r="AK426" s="122">
        <f t="shared" si="319"/>
        <v>0</v>
      </c>
      <c r="AL426" s="122">
        <f t="shared" si="320"/>
        <v>0</v>
      </c>
      <c r="AN426" s="124">
        <v>15</v>
      </c>
      <c r="AO426" s="124">
        <f t="shared" si="321"/>
        <v>0</v>
      </c>
      <c r="AP426" s="124">
        <f t="shared" si="322"/>
        <v>0</v>
      </c>
      <c r="AQ426" s="123" t="s">
        <v>79</v>
      </c>
      <c r="AV426" s="124">
        <f t="shared" si="323"/>
        <v>0</v>
      </c>
      <c r="AW426" s="124">
        <f t="shared" si="324"/>
        <v>0</v>
      </c>
      <c r="AX426" s="124">
        <f t="shared" si="325"/>
        <v>0</v>
      </c>
      <c r="AY426" s="125" t="s">
        <v>649</v>
      </c>
      <c r="AZ426" s="125" t="s">
        <v>1536</v>
      </c>
      <c r="BA426" s="113" t="s">
        <v>1542</v>
      </c>
      <c r="BC426" s="124">
        <f t="shared" si="326"/>
        <v>0</v>
      </c>
      <c r="BD426" s="124">
        <f t="shared" si="327"/>
        <v>0</v>
      </c>
      <c r="BE426" s="124">
        <v>0</v>
      </c>
      <c r="BF426" s="124">
        <f t="shared" si="328"/>
        <v>0</v>
      </c>
      <c r="BH426" s="122">
        <f t="shared" si="329"/>
        <v>0</v>
      </c>
      <c r="BI426" s="122">
        <f t="shared" si="330"/>
        <v>0</v>
      </c>
      <c r="BJ426" s="122">
        <f t="shared" si="331"/>
        <v>0</v>
      </c>
    </row>
    <row r="427" spans="1:62" s="174" customFormat="1" ht="12.75">
      <c r="A427" s="121" t="s">
        <v>859</v>
      </c>
      <c r="B427" s="121" t="s">
        <v>60</v>
      </c>
      <c r="C427" s="121" t="s">
        <v>1161</v>
      </c>
      <c r="D427" s="129" t="s">
        <v>1470</v>
      </c>
      <c r="E427" s="121" t="s">
        <v>609</v>
      </c>
      <c r="F427" s="122">
        <f>'Stavební rozpočet'!F583</f>
        <v>628</v>
      </c>
      <c r="G427" s="172"/>
      <c r="H427" s="122">
        <f t="shared" si="306"/>
        <v>0</v>
      </c>
      <c r="I427" s="122">
        <f t="shared" si="307"/>
        <v>0</v>
      </c>
      <c r="J427" s="122">
        <f t="shared" si="308"/>
        <v>0</v>
      </c>
      <c r="K427" s="122">
        <f>'Stavební rozpočet'!K583</f>
        <v>0</v>
      </c>
      <c r="L427" s="122">
        <f t="shared" si="309"/>
        <v>0</v>
      </c>
      <c r="M427" s="123" t="s">
        <v>622</v>
      </c>
      <c r="Z427" s="124">
        <f t="shared" si="310"/>
        <v>0</v>
      </c>
      <c r="AB427" s="124">
        <f t="shared" si="311"/>
        <v>0</v>
      </c>
      <c r="AC427" s="124">
        <f t="shared" si="312"/>
        <v>0</v>
      </c>
      <c r="AD427" s="124">
        <f t="shared" si="313"/>
        <v>0</v>
      </c>
      <c r="AE427" s="124">
        <f t="shared" si="314"/>
        <v>0</v>
      </c>
      <c r="AF427" s="124">
        <f t="shared" si="315"/>
        <v>0</v>
      </c>
      <c r="AG427" s="124">
        <f t="shared" si="316"/>
        <v>0</v>
      </c>
      <c r="AH427" s="124">
        <f t="shared" si="317"/>
        <v>0</v>
      </c>
      <c r="AI427" s="113" t="s">
        <v>60</v>
      </c>
      <c r="AJ427" s="122">
        <f t="shared" si="318"/>
        <v>0</v>
      </c>
      <c r="AK427" s="122">
        <f t="shared" si="319"/>
        <v>0</v>
      </c>
      <c r="AL427" s="122">
        <f t="shared" si="320"/>
        <v>0</v>
      </c>
      <c r="AN427" s="124">
        <v>15</v>
      </c>
      <c r="AO427" s="124">
        <f t="shared" si="321"/>
        <v>0</v>
      </c>
      <c r="AP427" s="124">
        <f t="shared" si="322"/>
        <v>0</v>
      </c>
      <c r="AQ427" s="123" t="s">
        <v>79</v>
      </c>
      <c r="AV427" s="124">
        <f t="shared" si="323"/>
        <v>0</v>
      </c>
      <c r="AW427" s="124">
        <f t="shared" si="324"/>
        <v>0</v>
      </c>
      <c r="AX427" s="124">
        <f t="shared" si="325"/>
        <v>0</v>
      </c>
      <c r="AY427" s="125" t="s">
        <v>649</v>
      </c>
      <c r="AZ427" s="125" t="s">
        <v>1536</v>
      </c>
      <c r="BA427" s="113" t="s">
        <v>1542</v>
      </c>
      <c r="BC427" s="124">
        <f t="shared" si="326"/>
        <v>0</v>
      </c>
      <c r="BD427" s="124">
        <f t="shared" si="327"/>
        <v>0</v>
      </c>
      <c r="BE427" s="124">
        <v>0</v>
      </c>
      <c r="BF427" s="124">
        <f t="shared" si="328"/>
        <v>0</v>
      </c>
      <c r="BH427" s="122">
        <f t="shared" si="329"/>
        <v>0</v>
      </c>
      <c r="BI427" s="122">
        <f t="shared" si="330"/>
        <v>0</v>
      </c>
      <c r="BJ427" s="122">
        <f t="shared" si="331"/>
        <v>0</v>
      </c>
    </row>
    <row r="428" spans="1:62" s="174" customFormat="1" ht="12.75">
      <c r="A428" s="121" t="s">
        <v>860</v>
      </c>
      <c r="B428" s="121" t="s">
        <v>60</v>
      </c>
      <c r="C428" s="121" t="s">
        <v>1162</v>
      </c>
      <c r="D428" s="129" t="s">
        <v>1471</v>
      </c>
      <c r="E428" s="121" t="s">
        <v>609</v>
      </c>
      <c r="F428" s="122">
        <f>'Stavební rozpočet'!F584</f>
        <v>35</v>
      </c>
      <c r="G428" s="172"/>
      <c r="H428" s="122">
        <f t="shared" si="306"/>
        <v>0</v>
      </c>
      <c r="I428" s="122">
        <f t="shared" si="307"/>
        <v>0</v>
      </c>
      <c r="J428" s="122">
        <f t="shared" si="308"/>
        <v>0</v>
      </c>
      <c r="K428" s="122">
        <f>'Stavební rozpočet'!K584</f>
        <v>0</v>
      </c>
      <c r="L428" s="122">
        <f t="shared" si="309"/>
        <v>0</v>
      </c>
      <c r="M428" s="123" t="s">
        <v>622</v>
      </c>
      <c r="Z428" s="124">
        <f t="shared" si="310"/>
        <v>0</v>
      </c>
      <c r="AB428" s="124">
        <f t="shared" si="311"/>
        <v>0</v>
      </c>
      <c r="AC428" s="124">
        <f t="shared" si="312"/>
        <v>0</v>
      </c>
      <c r="AD428" s="124">
        <f t="shared" si="313"/>
        <v>0</v>
      </c>
      <c r="AE428" s="124">
        <f t="shared" si="314"/>
        <v>0</v>
      </c>
      <c r="AF428" s="124">
        <f t="shared" si="315"/>
        <v>0</v>
      </c>
      <c r="AG428" s="124">
        <f t="shared" si="316"/>
        <v>0</v>
      </c>
      <c r="AH428" s="124">
        <f t="shared" si="317"/>
        <v>0</v>
      </c>
      <c r="AI428" s="113" t="s">
        <v>60</v>
      </c>
      <c r="AJ428" s="122">
        <f t="shared" si="318"/>
        <v>0</v>
      </c>
      <c r="AK428" s="122">
        <f t="shared" si="319"/>
        <v>0</v>
      </c>
      <c r="AL428" s="122">
        <f t="shared" si="320"/>
        <v>0</v>
      </c>
      <c r="AN428" s="124">
        <v>15</v>
      </c>
      <c r="AO428" s="124">
        <f t="shared" si="321"/>
        <v>0</v>
      </c>
      <c r="AP428" s="124">
        <f t="shared" si="322"/>
        <v>0</v>
      </c>
      <c r="AQ428" s="123" t="s">
        <v>79</v>
      </c>
      <c r="AV428" s="124">
        <f t="shared" si="323"/>
        <v>0</v>
      </c>
      <c r="AW428" s="124">
        <f t="shared" si="324"/>
        <v>0</v>
      </c>
      <c r="AX428" s="124">
        <f t="shared" si="325"/>
        <v>0</v>
      </c>
      <c r="AY428" s="125" t="s">
        <v>649</v>
      </c>
      <c r="AZ428" s="125" t="s">
        <v>1536</v>
      </c>
      <c r="BA428" s="113" t="s">
        <v>1542</v>
      </c>
      <c r="BC428" s="124">
        <f t="shared" si="326"/>
        <v>0</v>
      </c>
      <c r="BD428" s="124">
        <f t="shared" si="327"/>
        <v>0</v>
      </c>
      <c r="BE428" s="124">
        <v>0</v>
      </c>
      <c r="BF428" s="124">
        <f t="shared" si="328"/>
        <v>0</v>
      </c>
      <c r="BH428" s="122">
        <f t="shared" si="329"/>
        <v>0</v>
      </c>
      <c r="BI428" s="122">
        <f t="shared" si="330"/>
        <v>0</v>
      </c>
      <c r="BJ428" s="122">
        <f t="shared" si="331"/>
        <v>0</v>
      </c>
    </row>
    <row r="429" spans="1:62" s="174" customFormat="1" ht="12.75">
      <c r="A429" s="121" t="s">
        <v>861</v>
      </c>
      <c r="B429" s="121" t="s">
        <v>60</v>
      </c>
      <c r="C429" s="121" t="s">
        <v>1163</v>
      </c>
      <c r="D429" s="129" t="s">
        <v>1472</v>
      </c>
      <c r="E429" s="121" t="s">
        <v>609</v>
      </c>
      <c r="F429" s="122">
        <f>'Stavební rozpočet'!F585</f>
        <v>35</v>
      </c>
      <c r="G429" s="172"/>
      <c r="H429" s="122">
        <f t="shared" si="306"/>
        <v>0</v>
      </c>
      <c r="I429" s="122">
        <f t="shared" si="307"/>
        <v>0</v>
      </c>
      <c r="J429" s="122">
        <f t="shared" si="308"/>
        <v>0</v>
      </c>
      <c r="K429" s="122">
        <f>'Stavební rozpočet'!K585</f>
        <v>0</v>
      </c>
      <c r="L429" s="122">
        <f t="shared" si="309"/>
        <v>0</v>
      </c>
      <c r="M429" s="123" t="s">
        <v>622</v>
      </c>
      <c r="Z429" s="124">
        <f t="shared" si="310"/>
        <v>0</v>
      </c>
      <c r="AB429" s="124">
        <f t="shared" si="311"/>
        <v>0</v>
      </c>
      <c r="AC429" s="124">
        <f t="shared" si="312"/>
        <v>0</v>
      </c>
      <c r="AD429" s="124">
        <f t="shared" si="313"/>
        <v>0</v>
      </c>
      <c r="AE429" s="124">
        <f t="shared" si="314"/>
        <v>0</v>
      </c>
      <c r="AF429" s="124">
        <f t="shared" si="315"/>
        <v>0</v>
      </c>
      <c r="AG429" s="124">
        <f t="shared" si="316"/>
        <v>0</v>
      </c>
      <c r="AH429" s="124">
        <f t="shared" si="317"/>
        <v>0</v>
      </c>
      <c r="AI429" s="113" t="s">
        <v>60</v>
      </c>
      <c r="AJ429" s="122">
        <f t="shared" si="318"/>
        <v>0</v>
      </c>
      <c r="AK429" s="122">
        <f t="shared" si="319"/>
        <v>0</v>
      </c>
      <c r="AL429" s="122">
        <f t="shared" si="320"/>
        <v>0</v>
      </c>
      <c r="AN429" s="124">
        <v>15</v>
      </c>
      <c r="AO429" s="124">
        <f t="shared" si="321"/>
        <v>0</v>
      </c>
      <c r="AP429" s="124">
        <f t="shared" si="322"/>
        <v>0</v>
      </c>
      <c r="AQ429" s="123" t="s">
        <v>79</v>
      </c>
      <c r="AV429" s="124">
        <f t="shared" si="323"/>
        <v>0</v>
      </c>
      <c r="AW429" s="124">
        <f t="shared" si="324"/>
        <v>0</v>
      </c>
      <c r="AX429" s="124">
        <f t="shared" si="325"/>
        <v>0</v>
      </c>
      <c r="AY429" s="125" t="s">
        <v>649</v>
      </c>
      <c r="AZ429" s="125" t="s">
        <v>1536</v>
      </c>
      <c r="BA429" s="113" t="s">
        <v>1542</v>
      </c>
      <c r="BC429" s="124">
        <f t="shared" si="326"/>
        <v>0</v>
      </c>
      <c r="BD429" s="124">
        <f t="shared" si="327"/>
        <v>0</v>
      </c>
      <c r="BE429" s="124">
        <v>0</v>
      </c>
      <c r="BF429" s="124">
        <f t="shared" si="328"/>
        <v>0</v>
      </c>
      <c r="BH429" s="122">
        <f t="shared" si="329"/>
        <v>0</v>
      </c>
      <c r="BI429" s="122">
        <f t="shared" si="330"/>
        <v>0</v>
      </c>
      <c r="BJ429" s="122">
        <f t="shared" si="331"/>
        <v>0</v>
      </c>
    </row>
    <row r="430" spans="1:62" s="174" customFormat="1" ht="12.75">
      <c r="A430" s="121" t="s">
        <v>862</v>
      </c>
      <c r="B430" s="121" t="s">
        <v>60</v>
      </c>
      <c r="C430" s="121" t="s">
        <v>399</v>
      </c>
      <c r="D430" s="129" t="s">
        <v>585</v>
      </c>
      <c r="E430" s="121" t="s">
        <v>606</v>
      </c>
      <c r="F430" s="122">
        <f>'Stavební rozpočet'!F586</f>
        <v>243</v>
      </c>
      <c r="G430" s="172"/>
      <c r="H430" s="122">
        <f t="shared" si="306"/>
        <v>0</v>
      </c>
      <c r="I430" s="122">
        <f t="shared" si="307"/>
        <v>0</v>
      </c>
      <c r="J430" s="122">
        <f t="shared" si="308"/>
        <v>0</v>
      </c>
      <c r="K430" s="122">
        <f>'Stavební rozpočet'!K586</f>
        <v>0</v>
      </c>
      <c r="L430" s="122">
        <f t="shared" si="309"/>
        <v>0</v>
      </c>
      <c r="M430" s="123" t="s">
        <v>622</v>
      </c>
      <c r="Z430" s="124">
        <f t="shared" si="310"/>
        <v>0</v>
      </c>
      <c r="AB430" s="124">
        <f t="shared" si="311"/>
        <v>0</v>
      </c>
      <c r="AC430" s="124">
        <f t="shared" si="312"/>
        <v>0</v>
      </c>
      <c r="AD430" s="124">
        <f t="shared" si="313"/>
        <v>0</v>
      </c>
      <c r="AE430" s="124">
        <f t="shared" si="314"/>
        <v>0</v>
      </c>
      <c r="AF430" s="124">
        <f t="shared" si="315"/>
        <v>0</v>
      </c>
      <c r="AG430" s="124">
        <f t="shared" si="316"/>
        <v>0</v>
      </c>
      <c r="AH430" s="124">
        <f t="shared" si="317"/>
        <v>0</v>
      </c>
      <c r="AI430" s="113" t="s">
        <v>60</v>
      </c>
      <c r="AJ430" s="122">
        <f t="shared" si="318"/>
        <v>0</v>
      </c>
      <c r="AK430" s="122">
        <f t="shared" si="319"/>
        <v>0</v>
      </c>
      <c r="AL430" s="122">
        <f t="shared" si="320"/>
        <v>0</v>
      </c>
      <c r="AN430" s="124">
        <v>15</v>
      </c>
      <c r="AO430" s="124">
        <f t="shared" si="321"/>
        <v>0</v>
      </c>
      <c r="AP430" s="124">
        <f t="shared" si="322"/>
        <v>0</v>
      </c>
      <c r="AQ430" s="123" t="s">
        <v>79</v>
      </c>
      <c r="AV430" s="124">
        <f t="shared" si="323"/>
        <v>0</v>
      </c>
      <c r="AW430" s="124">
        <f t="shared" si="324"/>
        <v>0</v>
      </c>
      <c r="AX430" s="124">
        <f t="shared" si="325"/>
        <v>0</v>
      </c>
      <c r="AY430" s="125" t="s">
        <v>649</v>
      </c>
      <c r="AZ430" s="125" t="s">
        <v>1536</v>
      </c>
      <c r="BA430" s="113" t="s">
        <v>1542</v>
      </c>
      <c r="BC430" s="124">
        <f t="shared" si="326"/>
        <v>0</v>
      </c>
      <c r="BD430" s="124">
        <f t="shared" si="327"/>
        <v>0</v>
      </c>
      <c r="BE430" s="124">
        <v>0</v>
      </c>
      <c r="BF430" s="124">
        <f t="shared" si="328"/>
        <v>0</v>
      </c>
      <c r="BH430" s="122">
        <f t="shared" si="329"/>
        <v>0</v>
      </c>
      <c r="BI430" s="122">
        <f t="shared" si="330"/>
        <v>0</v>
      </c>
      <c r="BJ430" s="122">
        <f t="shared" si="331"/>
        <v>0</v>
      </c>
    </row>
    <row r="431" spans="1:62" s="174" customFormat="1" ht="12.75">
      <c r="A431" s="121" t="s">
        <v>863</v>
      </c>
      <c r="B431" s="121" t="s">
        <v>60</v>
      </c>
      <c r="C431" s="121" t="s">
        <v>400</v>
      </c>
      <c r="D431" s="129" t="s">
        <v>586</v>
      </c>
      <c r="E431" s="121" t="s">
        <v>613</v>
      </c>
      <c r="F431" s="122">
        <f>'Stavební rozpočet'!F587</f>
        <v>45</v>
      </c>
      <c r="G431" s="172"/>
      <c r="H431" s="122">
        <f t="shared" si="306"/>
        <v>0</v>
      </c>
      <c r="I431" s="122">
        <f t="shared" si="307"/>
        <v>0</v>
      </c>
      <c r="J431" s="122">
        <f t="shared" si="308"/>
        <v>0</v>
      </c>
      <c r="K431" s="122">
        <f>'Stavební rozpočet'!K587</f>
        <v>0</v>
      </c>
      <c r="L431" s="122">
        <f t="shared" si="309"/>
        <v>0</v>
      </c>
      <c r="M431" s="123" t="s">
        <v>622</v>
      </c>
      <c r="Z431" s="124">
        <f t="shared" si="310"/>
        <v>0</v>
      </c>
      <c r="AB431" s="124">
        <f t="shared" si="311"/>
        <v>0</v>
      </c>
      <c r="AC431" s="124">
        <f t="shared" si="312"/>
        <v>0</v>
      </c>
      <c r="AD431" s="124">
        <f t="shared" si="313"/>
        <v>0</v>
      </c>
      <c r="AE431" s="124">
        <f t="shared" si="314"/>
        <v>0</v>
      </c>
      <c r="AF431" s="124">
        <f t="shared" si="315"/>
        <v>0</v>
      </c>
      <c r="AG431" s="124">
        <f t="shared" si="316"/>
        <v>0</v>
      </c>
      <c r="AH431" s="124">
        <f t="shared" si="317"/>
        <v>0</v>
      </c>
      <c r="AI431" s="113" t="s">
        <v>60</v>
      </c>
      <c r="AJ431" s="122">
        <f t="shared" si="318"/>
        <v>0</v>
      </c>
      <c r="AK431" s="122">
        <f t="shared" si="319"/>
        <v>0</v>
      </c>
      <c r="AL431" s="122">
        <f t="shared" si="320"/>
        <v>0</v>
      </c>
      <c r="AN431" s="124">
        <v>15</v>
      </c>
      <c r="AO431" s="124">
        <f t="shared" si="321"/>
        <v>0</v>
      </c>
      <c r="AP431" s="124">
        <f t="shared" si="322"/>
        <v>0</v>
      </c>
      <c r="AQ431" s="123" t="s">
        <v>79</v>
      </c>
      <c r="AV431" s="124">
        <f t="shared" si="323"/>
        <v>0</v>
      </c>
      <c r="AW431" s="124">
        <f t="shared" si="324"/>
        <v>0</v>
      </c>
      <c r="AX431" s="124">
        <f t="shared" si="325"/>
        <v>0</v>
      </c>
      <c r="AY431" s="125" t="s">
        <v>649</v>
      </c>
      <c r="AZ431" s="125" t="s">
        <v>1536</v>
      </c>
      <c r="BA431" s="113" t="s">
        <v>1542</v>
      </c>
      <c r="BC431" s="124">
        <f t="shared" si="326"/>
        <v>0</v>
      </c>
      <c r="BD431" s="124">
        <f t="shared" si="327"/>
        <v>0</v>
      </c>
      <c r="BE431" s="124">
        <v>0</v>
      </c>
      <c r="BF431" s="124">
        <f t="shared" si="328"/>
        <v>0</v>
      </c>
      <c r="BH431" s="122">
        <f t="shared" si="329"/>
        <v>0</v>
      </c>
      <c r="BI431" s="122">
        <f t="shared" si="330"/>
        <v>0</v>
      </c>
      <c r="BJ431" s="122">
        <f t="shared" si="331"/>
        <v>0</v>
      </c>
    </row>
    <row r="432" spans="1:62" s="174" customFormat="1" ht="12.75">
      <c r="A432" s="121" t="s">
        <v>864</v>
      </c>
      <c r="B432" s="121" t="s">
        <v>60</v>
      </c>
      <c r="C432" s="121" t="s">
        <v>1164</v>
      </c>
      <c r="D432" s="129" t="s">
        <v>1473</v>
      </c>
      <c r="E432" s="121" t="s">
        <v>613</v>
      </c>
      <c r="F432" s="122">
        <f>'Stavební rozpočet'!F588</f>
        <v>6</v>
      </c>
      <c r="G432" s="172"/>
      <c r="H432" s="122">
        <f t="shared" si="306"/>
        <v>0</v>
      </c>
      <c r="I432" s="122">
        <f t="shared" si="307"/>
        <v>0</v>
      </c>
      <c r="J432" s="122">
        <f t="shared" si="308"/>
        <v>0</v>
      </c>
      <c r="K432" s="122">
        <f>'Stavební rozpočet'!K588</f>
        <v>0</v>
      </c>
      <c r="L432" s="122">
        <f t="shared" si="309"/>
        <v>0</v>
      </c>
      <c r="M432" s="123" t="s">
        <v>622</v>
      </c>
      <c r="Z432" s="124">
        <f t="shared" si="310"/>
        <v>0</v>
      </c>
      <c r="AB432" s="124">
        <f t="shared" si="311"/>
        <v>0</v>
      </c>
      <c r="AC432" s="124">
        <f t="shared" si="312"/>
        <v>0</v>
      </c>
      <c r="AD432" s="124">
        <f t="shared" si="313"/>
        <v>0</v>
      </c>
      <c r="AE432" s="124">
        <f t="shared" si="314"/>
        <v>0</v>
      </c>
      <c r="AF432" s="124">
        <f t="shared" si="315"/>
        <v>0</v>
      </c>
      <c r="AG432" s="124">
        <f t="shared" si="316"/>
        <v>0</v>
      </c>
      <c r="AH432" s="124">
        <f t="shared" si="317"/>
        <v>0</v>
      </c>
      <c r="AI432" s="113" t="s">
        <v>60</v>
      </c>
      <c r="AJ432" s="122">
        <f t="shared" si="318"/>
        <v>0</v>
      </c>
      <c r="AK432" s="122">
        <f t="shared" si="319"/>
        <v>0</v>
      </c>
      <c r="AL432" s="122">
        <f t="shared" si="320"/>
        <v>0</v>
      </c>
      <c r="AN432" s="124">
        <v>15</v>
      </c>
      <c r="AO432" s="124">
        <f t="shared" si="321"/>
        <v>0</v>
      </c>
      <c r="AP432" s="124">
        <f t="shared" si="322"/>
        <v>0</v>
      </c>
      <c r="AQ432" s="123" t="s">
        <v>79</v>
      </c>
      <c r="AV432" s="124">
        <f t="shared" si="323"/>
        <v>0</v>
      </c>
      <c r="AW432" s="124">
        <f t="shared" si="324"/>
        <v>0</v>
      </c>
      <c r="AX432" s="124">
        <f t="shared" si="325"/>
        <v>0</v>
      </c>
      <c r="AY432" s="125" t="s">
        <v>649</v>
      </c>
      <c r="AZ432" s="125" t="s">
        <v>1536</v>
      </c>
      <c r="BA432" s="113" t="s">
        <v>1542</v>
      </c>
      <c r="BC432" s="124">
        <f t="shared" si="326"/>
        <v>0</v>
      </c>
      <c r="BD432" s="124">
        <f t="shared" si="327"/>
        <v>0</v>
      </c>
      <c r="BE432" s="124">
        <v>0</v>
      </c>
      <c r="BF432" s="124">
        <f t="shared" si="328"/>
        <v>0</v>
      </c>
      <c r="BH432" s="122">
        <f t="shared" si="329"/>
        <v>0</v>
      </c>
      <c r="BI432" s="122">
        <f t="shared" si="330"/>
        <v>0</v>
      </c>
      <c r="BJ432" s="122">
        <f t="shared" si="331"/>
        <v>0</v>
      </c>
    </row>
    <row r="433" spans="1:62" s="174" customFormat="1" ht="12.75">
      <c r="A433" s="121" t="s">
        <v>865</v>
      </c>
      <c r="B433" s="121" t="s">
        <v>60</v>
      </c>
      <c r="C433" s="121" t="s">
        <v>401</v>
      </c>
      <c r="D433" s="129" t="s">
        <v>587</v>
      </c>
      <c r="E433" s="121" t="s">
        <v>613</v>
      </c>
      <c r="F433" s="122">
        <f>'Stavební rozpočet'!F589</f>
        <v>60</v>
      </c>
      <c r="G433" s="172"/>
      <c r="H433" s="122">
        <f t="shared" si="306"/>
        <v>0</v>
      </c>
      <c r="I433" s="122">
        <f t="shared" si="307"/>
        <v>0</v>
      </c>
      <c r="J433" s="122">
        <f t="shared" si="308"/>
        <v>0</v>
      </c>
      <c r="K433" s="122">
        <f>'Stavební rozpočet'!K589</f>
        <v>0</v>
      </c>
      <c r="L433" s="122">
        <f t="shared" si="309"/>
        <v>0</v>
      </c>
      <c r="M433" s="123" t="s">
        <v>622</v>
      </c>
      <c r="Z433" s="124">
        <f t="shared" si="310"/>
        <v>0</v>
      </c>
      <c r="AB433" s="124">
        <f t="shared" si="311"/>
        <v>0</v>
      </c>
      <c r="AC433" s="124">
        <f t="shared" si="312"/>
        <v>0</v>
      </c>
      <c r="AD433" s="124">
        <f t="shared" si="313"/>
        <v>0</v>
      </c>
      <c r="AE433" s="124">
        <f t="shared" si="314"/>
        <v>0</v>
      </c>
      <c r="AF433" s="124">
        <f t="shared" si="315"/>
        <v>0</v>
      </c>
      <c r="AG433" s="124">
        <f t="shared" si="316"/>
        <v>0</v>
      </c>
      <c r="AH433" s="124">
        <f t="shared" si="317"/>
        <v>0</v>
      </c>
      <c r="AI433" s="113" t="s">
        <v>60</v>
      </c>
      <c r="AJ433" s="122">
        <f t="shared" si="318"/>
        <v>0</v>
      </c>
      <c r="AK433" s="122">
        <f t="shared" si="319"/>
        <v>0</v>
      </c>
      <c r="AL433" s="122">
        <f t="shared" si="320"/>
        <v>0</v>
      </c>
      <c r="AN433" s="124">
        <v>15</v>
      </c>
      <c r="AO433" s="124">
        <f t="shared" si="321"/>
        <v>0</v>
      </c>
      <c r="AP433" s="124">
        <f t="shared" si="322"/>
        <v>0</v>
      </c>
      <c r="AQ433" s="123" t="s">
        <v>79</v>
      </c>
      <c r="AV433" s="124">
        <f t="shared" si="323"/>
        <v>0</v>
      </c>
      <c r="AW433" s="124">
        <f t="shared" si="324"/>
        <v>0</v>
      </c>
      <c r="AX433" s="124">
        <f t="shared" si="325"/>
        <v>0</v>
      </c>
      <c r="AY433" s="125" t="s">
        <v>649</v>
      </c>
      <c r="AZ433" s="125" t="s">
        <v>1536</v>
      </c>
      <c r="BA433" s="113" t="s">
        <v>1542</v>
      </c>
      <c r="BC433" s="124">
        <f t="shared" si="326"/>
        <v>0</v>
      </c>
      <c r="BD433" s="124">
        <f t="shared" si="327"/>
        <v>0</v>
      </c>
      <c r="BE433" s="124">
        <v>0</v>
      </c>
      <c r="BF433" s="124">
        <f t="shared" si="328"/>
        <v>0</v>
      </c>
      <c r="BH433" s="122">
        <f t="shared" si="329"/>
        <v>0</v>
      </c>
      <c r="BI433" s="122">
        <f t="shared" si="330"/>
        <v>0</v>
      </c>
      <c r="BJ433" s="122">
        <f t="shared" si="331"/>
        <v>0</v>
      </c>
    </row>
    <row r="434" spans="1:62" s="174" customFormat="1" ht="12.75">
      <c r="A434" s="121" t="s">
        <v>866</v>
      </c>
      <c r="B434" s="121" t="s">
        <v>60</v>
      </c>
      <c r="C434" s="121" t="s">
        <v>402</v>
      </c>
      <c r="D434" s="129" t="s">
        <v>588</v>
      </c>
      <c r="E434" s="121" t="s">
        <v>615</v>
      </c>
      <c r="F434" s="122">
        <f>'Stavební rozpočet'!F590</f>
        <v>4</v>
      </c>
      <c r="G434" s="172"/>
      <c r="H434" s="122">
        <f t="shared" si="306"/>
        <v>0</v>
      </c>
      <c r="I434" s="122">
        <f t="shared" si="307"/>
        <v>0</v>
      </c>
      <c r="J434" s="122">
        <f t="shared" si="308"/>
        <v>0</v>
      </c>
      <c r="K434" s="122">
        <f>'Stavební rozpočet'!K590</f>
        <v>0</v>
      </c>
      <c r="L434" s="122">
        <f t="shared" si="309"/>
        <v>0</v>
      </c>
      <c r="M434" s="123" t="s">
        <v>622</v>
      </c>
      <c r="Z434" s="124">
        <f t="shared" si="310"/>
        <v>0</v>
      </c>
      <c r="AB434" s="124">
        <f t="shared" si="311"/>
        <v>0</v>
      </c>
      <c r="AC434" s="124">
        <f t="shared" si="312"/>
        <v>0</v>
      </c>
      <c r="AD434" s="124">
        <f t="shared" si="313"/>
        <v>0</v>
      </c>
      <c r="AE434" s="124">
        <f t="shared" si="314"/>
        <v>0</v>
      </c>
      <c r="AF434" s="124">
        <f t="shared" si="315"/>
        <v>0</v>
      </c>
      <c r="AG434" s="124">
        <f t="shared" si="316"/>
        <v>0</v>
      </c>
      <c r="AH434" s="124">
        <f t="shared" si="317"/>
        <v>0</v>
      </c>
      <c r="AI434" s="113" t="s">
        <v>60</v>
      </c>
      <c r="AJ434" s="122">
        <f t="shared" si="318"/>
        <v>0</v>
      </c>
      <c r="AK434" s="122">
        <f t="shared" si="319"/>
        <v>0</v>
      </c>
      <c r="AL434" s="122">
        <f t="shared" si="320"/>
        <v>0</v>
      </c>
      <c r="AN434" s="124">
        <v>15</v>
      </c>
      <c r="AO434" s="124">
        <f t="shared" si="321"/>
        <v>0</v>
      </c>
      <c r="AP434" s="124">
        <f t="shared" si="322"/>
        <v>0</v>
      </c>
      <c r="AQ434" s="123" t="s">
        <v>79</v>
      </c>
      <c r="AV434" s="124">
        <f t="shared" si="323"/>
        <v>0</v>
      </c>
      <c r="AW434" s="124">
        <f t="shared" si="324"/>
        <v>0</v>
      </c>
      <c r="AX434" s="124">
        <f t="shared" si="325"/>
        <v>0</v>
      </c>
      <c r="AY434" s="125" t="s">
        <v>649</v>
      </c>
      <c r="AZ434" s="125" t="s">
        <v>1536</v>
      </c>
      <c r="BA434" s="113" t="s">
        <v>1542</v>
      </c>
      <c r="BC434" s="124">
        <f t="shared" si="326"/>
        <v>0</v>
      </c>
      <c r="BD434" s="124">
        <f t="shared" si="327"/>
        <v>0</v>
      </c>
      <c r="BE434" s="124">
        <v>0</v>
      </c>
      <c r="BF434" s="124">
        <f t="shared" si="328"/>
        <v>0</v>
      </c>
      <c r="BH434" s="122">
        <f t="shared" si="329"/>
        <v>0</v>
      </c>
      <c r="BI434" s="122">
        <f t="shared" si="330"/>
        <v>0</v>
      </c>
      <c r="BJ434" s="122">
        <f t="shared" si="331"/>
        <v>0</v>
      </c>
    </row>
    <row r="435" spans="1:62" s="174" customFormat="1" ht="12.75">
      <c r="A435" s="121" t="s">
        <v>867</v>
      </c>
      <c r="B435" s="121" t="s">
        <v>60</v>
      </c>
      <c r="C435" s="121" t="s">
        <v>1165</v>
      </c>
      <c r="D435" s="129" t="s">
        <v>1474</v>
      </c>
      <c r="E435" s="121" t="s">
        <v>606</v>
      </c>
      <c r="F435" s="122">
        <f>'Stavební rozpočet'!F591</f>
        <v>10</v>
      </c>
      <c r="G435" s="172"/>
      <c r="H435" s="122">
        <f t="shared" si="306"/>
        <v>0</v>
      </c>
      <c r="I435" s="122">
        <f t="shared" si="307"/>
        <v>0</v>
      </c>
      <c r="J435" s="122">
        <f t="shared" si="308"/>
        <v>0</v>
      </c>
      <c r="K435" s="122">
        <f>'Stavební rozpočet'!K591</f>
        <v>0</v>
      </c>
      <c r="L435" s="122">
        <f t="shared" si="309"/>
        <v>0</v>
      </c>
      <c r="M435" s="123" t="s">
        <v>622</v>
      </c>
      <c r="Z435" s="124">
        <f t="shared" si="310"/>
        <v>0</v>
      </c>
      <c r="AB435" s="124">
        <f t="shared" si="311"/>
        <v>0</v>
      </c>
      <c r="AC435" s="124">
        <f t="shared" si="312"/>
        <v>0</v>
      </c>
      <c r="AD435" s="124">
        <f t="shared" si="313"/>
        <v>0</v>
      </c>
      <c r="AE435" s="124">
        <f t="shared" si="314"/>
        <v>0</v>
      </c>
      <c r="AF435" s="124">
        <f t="shared" si="315"/>
        <v>0</v>
      </c>
      <c r="AG435" s="124">
        <f t="shared" si="316"/>
        <v>0</v>
      </c>
      <c r="AH435" s="124">
        <f t="shared" si="317"/>
        <v>0</v>
      </c>
      <c r="AI435" s="113" t="s">
        <v>60</v>
      </c>
      <c r="AJ435" s="122">
        <f t="shared" si="318"/>
        <v>0</v>
      </c>
      <c r="AK435" s="122">
        <f t="shared" si="319"/>
        <v>0</v>
      </c>
      <c r="AL435" s="122">
        <f t="shared" si="320"/>
        <v>0</v>
      </c>
      <c r="AN435" s="124">
        <v>15</v>
      </c>
      <c r="AO435" s="124">
        <f t="shared" si="321"/>
        <v>0</v>
      </c>
      <c r="AP435" s="124">
        <f t="shared" si="322"/>
        <v>0</v>
      </c>
      <c r="AQ435" s="123" t="s">
        <v>79</v>
      </c>
      <c r="AV435" s="124">
        <f t="shared" si="323"/>
        <v>0</v>
      </c>
      <c r="AW435" s="124">
        <f t="shared" si="324"/>
        <v>0</v>
      </c>
      <c r="AX435" s="124">
        <f t="shared" si="325"/>
        <v>0</v>
      </c>
      <c r="AY435" s="125" t="s">
        <v>649</v>
      </c>
      <c r="AZ435" s="125" t="s">
        <v>1536</v>
      </c>
      <c r="BA435" s="113" t="s">
        <v>1542</v>
      </c>
      <c r="BC435" s="124">
        <f t="shared" si="326"/>
        <v>0</v>
      </c>
      <c r="BD435" s="124">
        <f t="shared" si="327"/>
        <v>0</v>
      </c>
      <c r="BE435" s="124">
        <v>0</v>
      </c>
      <c r="BF435" s="124">
        <f t="shared" si="328"/>
        <v>0</v>
      </c>
      <c r="BH435" s="122">
        <f t="shared" si="329"/>
        <v>0</v>
      </c>
      <c r="BI435" s="122">
        <f t="shared" si="330"/>
        <v>0</v>
      </c>
      <c r="BJ435" s="122">
        <f t="shared" si="331"/>
        <v>0</v>
      </c>
    </row>
    <row r="436" spans="1:62" s="174" customFormat="1" ht="12.75">
      <c r="A436" s="121" t="s">
        <v>868</v>
      </c>
      <c r="B436" s="121" t="s">
        <v>60</v>
      </c>
      <c r="C436" s="121" t="s">
        <v>1166</v>
      </c>
      <c r="D436" s="129" t="s">
        <v>1475</v>
      </c>
      <c r="E436" s="121" t="s">
        <v>606</v>
      </c>
      <c r="F436" s="122">
        <f>'Stavební rozpočet'!F592</f>
        <v>1</v>
      </c>
      <c r="G436" s="172"/>
      <c r="H436" s="122">
        <f t="shared" si="306"/>
        <v>0</v>
      </c>
      <c r="I436" s="122">
        <f t="shared" si="307"/>
        <v>0</v>
      </c>
      <c r="J436" s="122">
        <f t="shared" si="308"/>
        <v>0</v>
      </c>
      <c r="K436" s="122">
        <f>'Stavební rozpočet'!K592</f>
        <v>0</v>
      </c>
      <c r="L436" s="122">
        <f t="shared" si="309"/>
        <v>0</v>
      </c>
      <c r="M436" s="123" t="s">
        <v>622</v>
      </c>
      <c r="Z436" s="124">
        <f t="shared" si="310"/>
        <v>0</v>
      </c>
      <c r="AB436" s="124">
        <f t="shared" si="311"/>
        <v>0</v>
      </c>
      <c r="AC436" s="124">
        <f t="shared" si="312"/>
        <v>0</v>
      </c>
      <c r="AD436" s="124">
        <f t="shared" si="313"/>
        <v>0</v>
      </c>
      <c r="AE436" s="124">
        <f t="shared" si="314"/>
        <v>0</v>
      </c>
      <c r="AF436" s="124">
        <f t="shared" si="315"/>
        <v>0</v>
      </c>
      <c r="AG436" s="124">
        <f t="shared" si="316"/>
        <v>0</v>
      </c>
      <c r="AH436" s="124">
        <f t="shared" si="317"/>
        <v>0</v>
      </c>
      <c r="AI436" s="113" t="s">
        <v>60</v>
      </c>
      <c r="AJ436" s="122">
        <f t="shared" si="318"/>
        <v>0</v>
      </c>
      <c r="AK436" s="122">
        <f t="shared" si="319"/>
        <v>0</v>
      </c>
      <c r="AL436" s="122">
        <f t="shared" si="320"/>
        <v>0</v>
      </c>
      <c r="AN436" s="124">
        <v>15</v>
      </c>
      <c r="AO436" s="124">
        <f t="shared" si="321"/>
        <v>0</v>
      </c>
      <c r="AP436" s="124">
        <f t="shared" si="322"/>
        <v>0</v>
      </c>
      <c r="AQ436" s="123" t="s">
        <v>79</v>
      </c>
      <c r="AV436" s="124">
        <f t="shared" si="323"/>
        <v>0</v>
      </c>
      <c r="AW436" s="124">
        <f t="shared" si="324"/>
        <v>0</v>
      </c>
      <c r="AX436" s="124">
        <f t="shared" si="325"/>
        <v>0</v>
      </c>
      <c r="AY436" s="125" t="s">
        <v>649</v>
      </c>
      <c r="AZ436" s="125" t="s">
        <v>1536</v>
      </c>
      <c r="BA436" s="113" t="s">
        <v>1542</v>
      </c>
      <c r="BC436" s="124">
        <f t="shared" si="326"/>
        <v>0</v>
      </c>
      <c r="BD436" s="124">
        <f t="shared" si="327"/>
        <v>0</v>
      </c>
      <c r="BE436" s="124">
        <v>0</v>
      </c>
      <c r="BF436" s="124">
        <f t="shared" si="328"/>
        <v>0</v>
      </c>
      <c r="BH436" s="122">
        <f t="shared" si="329"/>
        <v>0</v>
      </c>
      <c r="BI436" s="122">
        <f t="shared" si="330"/>
        <v>0</v>
      </c>
      <c r="BJ436" s="122">
        <f t="shared" si="331"/>
        <v>0</v>
      </c>
    </row>
    <row r="437" spans="1:62" s="174" customFormat="1" ht="12.75">
      <c r="A437" s="121" t="s">
        <v>869</v>
      </c>
      <c r="B437" s="121" t="s">
        <v>60</v>
      </c>
      <c r="C437" s="121" t="s">
        <v>1167</v>
      </c>
      <c r="D437" s="129" t="s">
        <v>1476</v>
      </c>
      <c r="E437" s="121" t="s">
        <v>606</v>
      </c>
      <c r="F437" s="122">
        <f>'Stavební rozpočet'!F593</f>
        <v>1</v>
      </c>
      <c r="G437" s="172"/>
      <c r="H437" s="122">
        <f t="shared" si="306"/>
        <v>0</v>
      </c>
      <c r="I437" s="122">
        <f t="shared" si="307"/>
        <v>0</v>
      </c>
      <c r="J437" s="122">
        <f t="shared" si="308"/>
        <v>0</v>
      </c>
      <c r="K437" s="122">
        <f>'Stavební rozpočet'!K593</f>
        <v>0</v>
      </c>
      <c r="L437" s="122">
        <f t="shared" si="309"/>
        <v>0</v>
      </c>
      <c r="M437" s="123" t="s">
        <v>622</v>
      </c>
      <c r="Z437" s="124">
        <f t="shared" si="310"/>
        <v>0</v>
      </c>
      <c r="AB437" s="124">
        <f t="shared" si="311"/>
        <v>0</v>
      </c>
      <c r="AC437" s="124">
        <f t="shared" si="312"/>
        <v>0</v>
      </c>
      <c r="AD437" s="124">
        <f t="shared" si="313"/>
        <v>0</v>
      </c>
      <c r="AE437" s="124">
        <f t="shared" si="314"/>
        <v>0</v>
      </c>
      <c r="AF437" s="124">
        <f t="shared" si="315"/>
        <v>0</v>
      </c>
      <c r="AG437" s="124">
        <f t="shared" si="316"/>
        <v>0</v>
      </c>
      <c r="AH437" s="124">
        <f t="shared" si="317"/>
        <v>0</v>
      </c>
      <c r="AI437" s="113" t="s">
        <v>60</v>
      </c>
      <c r="AJ437" s="122">
        <f t="shared" si="318"/>
        <v>0</v>
      </c>
      <c r="AK437" s="122">
        <f t="shared" si="319"/>
        <v>0</v>
      </c>
      <c r="AL437" s="122">
        <f t="shared" si="320"/>
        <v>0</v>
      </c>
      <c r="AN437" s="124">
        <v>15</v>
      </c>
      <c r="AO437" s="124">
        <f t="shared" si="321"/>
        <v>0</v>
      </c>
      <c r="AP437" s="124">
        <f t="shared" si="322"/>
        <v>0</v>
      </c>
      <c r="AQ437" s="123" t="s">
        <v>79</v>
      </c>
      <c r="AV437" s="124">
        <f t="shared" si="323"/>
        <v>0</v>
      </c>
      <c r="AW437" s="124">
        <f t="shared" si="324"/>
        <v>0</v>
      </c>
      <c r="AX437" s="124">
        <f t="shared" si="325"/>
        <v>0</v>
      </c>
      <c r="AY437" s="125" t="s">
        <v>649</v>
      </c>
      <c r="AZ437" s="125" t="s">
        <v>1536</v>
      </c>
      <c r="BA437" s="113" t="s">
        <v>1542</v>
      </c>
      <c r="BC437" s="124">
        <f t="shared" si="326"/>
        <v>0</v>
      </c>
      <c r="BD437" s="124">
        <f t="shared" si="327"/>
        <v>0</v>
      </c>
      <c r="BE437" s="124">
        <v>0</v>
      </c>
      <c r="BF437" s="124">
        <f t="shared" si="328"/>
        <v>0</v>
      </c>
      <c r="BH437" s="122">
        <f t="shared" si="329"/>
        <v>0</v>
      </c>
      <c r="BI437" s="122">
        <f t="shared" si="330"/>
        <v>0</v>
      </c>
      <c r="BJ437" s="122">
        <f t="shared" si="331"/>
        <v>0</v>
      </c>
    </row>
    <row r="438" spans="1:62" s="174" customFormat="1" ht="12.75">
      <c r="A438" s="121" t="s">
        <v>870</v>
      </c>
      <c r="B438" s="121" t="s">
        <v>60</v>
      </c>
      <c r="C438" s="121" t="s">
        <v>1168</v>
      </c>
      <c r="D438" s="129" t="s">
        <v>1477</v>
      </c>
      <c r="E438" s="121" t="s">
        <v>606</v>
      </c>
      <c r="F438" s="122">
        <f>'Stavební rozpočet'!F594</f>
        <v>10</v>
      </c>
      <c r="G438" s="172"/>
      <c r="H438" s="122">
        <f t="shared" si="306"/>
        <v>0</v>
      </c>
      <c r="I438" s="122">
        <f t="shared" si="307"/>
        <v>0</v>
      </c>
      <c r="J438" s="122">
        <f t="shared" si="308"/>
        <v>0</v>
      </c>
      <c r="K438" s="122">
        <f>'Stavební rozpočet'!K594</f>
        <v>0</v>
      </c>
      <c r="L438" s="122">
        <f t="shared" si="309"/>
        <v>0</v>
      </c>
      <c r="M438" s="123" t="s">
        <v>622</v>
      </c>
      <c r="Z438" s="124">
        <f t="shared" si="310"/>
        <v>0</v>
      </c>
      <c r="AB438" s="124">
        <f t="shared" si="311"/>
        <v>0</v>
      </c>
      <c r="AC438" s="124">
        <f t="shared" si="312"/>
        <v>0</v>
      </c>
      <c r="AD438" s="124">
        <f t="shared" si="313"/>
        <v>0</v>
      </c>
      <c r="AE438" s="124">
        <f t="shared" si="314"/>
        <v>0</v>
      </c>
      <c r="AF438" s="124">
        <f t="shared" si="315"/>
        <v>0</v>
      </c>
      <c r="AG438" s="124">
        <f t="shared" si="316"/>
        <v>0</v>
      </c>
      <c r="AH438" s="124">
        <f t="shared" si="317"/>
        <v>0</v>
      </c>
      <c r="AI438" s="113" t="s">
        <v>60</v>
      </c>
      <c r="AJ438" s="122">
        <f t="shared" si="318"/>
        <v>0</v>
      </c>
      <c r="AK438" s="122">
        <f t="shared" si="319"/>
        <v>0</v>
      </c>
      <c r="AL438" s="122">
        <f t="shared" si="320"/>
        <v>0</v>
      </c>
      <c r="AN438" s="124">
        <v>15</v>
      </c>
      <c r="AO438" s="124">
        <f t="shared" si="321"/>
        <v>0</v>
      </c>
      <c r="AP438" s="124">
        <f t="shared" si="322"/>
        <v>0</v>
      </c>
      <c r="AQ438" s="123" t="s">
        <v>79</v>
      </c>
      <c r="AV438" s="124">
        <f t="shared" si="323"/>
        <v>0</v>
      </c>
      <c r="AW438" s="124">
        <f t="shared" si="324"/>
        <v>0</v>
      </c>
      <c r="AX438" s="124">
        <f t="shared" si="325"/>
        <v>0</v>
      </c>
      <c r="AY438" s="125" t="s">
        <v>649</v>
      </c>
      <c r="AZ438" s="125" t="s">
        <v>1536</v>
      </c>
      <c r="BA438" s="113" t="s">
        <v>1542</v>
      </c>
      <c r="BC438" s="124">
        <f t="shared" si="326"/>
        <v>0</v>
      </c>
      <c r="BD438" s="124">
        <f t="shared" si="327"/>
        <v>0</v>
      </c>
      <c r="BE438" s="124">
        <v>0</v>
      </c>
      <c r="BF438" s="124">
        <f t="shared" si="328"/>
        <v>0</v>
      </c>
      <c r="BH438" s="122">
        <f t="shared" si="329"/>
        <v>0</v>
      </c>
      <c r="BI438" s="122">
        <f t="shared" si="330"/>
        <v>0</v>
      </c>
      <c r="BJ438" s="122">
        <f t="shared" si="331"/>
        <v>0</v>
      </c>
    </row>
    <row r="439" spans="1:62" s="174" customFormat="1" ht="12.75">
      <c r="A439" s="121" t="s">
        <v>871</v>
      </c>
      <c r="B439" s="121" t="s">
        <v>60</v>
      </c>
      <c r="C439" s="121" t="s">
        <v>1169</v>
      </c>
      <c r="D439" s="129" t="s">
        <v>1478</v>
      </c>
      <c r="E439" s="121" t="s">
        <v>606</v>
      </c>
      <c r="F439" s="122">
        <f>'Stavební rozpočet'!F595</f>
        <v>10</v>
      </c>
      <c r="G439" s="172"/>
      <c r="H439" s="122">
        <f t="shared" si="306"/>
        <v>0</v>
      </c>
      <c r="I439" s="122">
        <f t="shared" si="307"/>
        <v>0</v>
      </c>
      <c r="J439" s="122">
        <f t="shared" si="308"/>
        <v>0</v>
      </c>
      <c r="K439" s="122">
        <f>'Stavební rozpočet'!K595</f>
        <v>0</v>
      </c>
      <c r="L439" s="122">
        <f t="shared" si="309"/>
        <v>0</v>
      </c>
      <c r="M439" s="123" t="s">
        <v>622</v>
      </c>
      <c r="Z439" s="124">
        <f t="shared" si="310"/>
        <v>0</v>
      </c>
      <c r="AB439" s="124">
        <f t="shared" si="311"/>
        <v>0</v>
      </c>
      <c r="AC439" s="124">
        <f t="shared" si="312"/>
        <v>0</v>
      </c>
      <c r="AD439" s="124">
        <f t="shared" si="313"/>
        <v>0</v>
      </c>
      <c r="AE439" s="124">
        <f t="shared" si="314"/>
        <v>0</v>
      </c>
      <c r="AF439" s="124">
        <f t="shared" si="315"/>
        <v>0</v>
      </c>
      <c r="AG439" s="124">
        <f t="shared" si="316"/>
        <v>0</v>
      </c>
      <c r="AH439" s="124">
        <f t="shared" si="317"/>
        <v>0</v>
      </c>
      <c r="AI439" s="113" t="s">
        <v>60</v>
      </c>
      <c r="AJ439" s="122">
        <f t="shared" si="318"/>
        <v>0</v>
      </c>
      <c r="AK439" s="122">
        <f t="shared" si="319"/>
        <v>0</v>
      </c>
      <c r="AL439" s="122">
        <f t="shared" si="320"/>
        <v>0</v>
      </c>
      <c r="AN439" s="124">
        <v>15</v>
      </c>
      <c r="AO439" s="124">
        <f t="shared" si="321"/>
        <v>0</v>
      </c>
      <c r="AP439" s="124">
        <f t="shared" si="322"/>
        <v>0</v>
      </c>
      <c r="AQ439" s="123" t="s">
        <v>79</v>
      </c>
      <c r="AV439" s="124">
        <f t="shared" si="323"/>
        <v>0</v>
      </c>
      <c r="AW439" s="124">
        <f t="shared" si="324"/>
        <v>0</v>
      </c>
      <c r="AX439" s="124">
        <f t="shared" si="325"/>
        <v>0</v>
      </c>
      <c r="AY439" s="125" t="s">
        <v>649</v>
      </c>
      <c r="AZ439" s="125" t="s">
        <v>1536</v>
      </c>
      <c r="BA439" s="113" t="s">
        <v>1542</v>
      </c>
      <c r="BC439" s="124">
        <f t="shared" si="326"/>
        <v>0</v>
      </c>
      <c r="BD439" s="124">
        <f t="shared" si="327"/>
        <v>0</v>
      </c>
      <c r="BE439" s="124">
        <v>0</v>
      </c>
      <c r="BF439" s="124">
        <f t="shared" si="328"/>
        <v>0</v>
      </c>
      <c r="BH439" s="122">
        <f t="shared" si="329"/>
        <v>0</v>
      </c>
      <c r="BI439" s="122">
        <f t="shared" si="330"/>
        <v>0</v>
      </c>
      <c r="BJ439" s="122">
        <f t="shared" si="331"/>
        <v>0</v>
      </c>
    </row>
    <row r="440" spans="1:62" s="174" customFormat="1" ht="12.75" hidden="1">
      <c r="A440" s="121" t="s">
        <v>872</v>
      </c>
      <c r="B440" s="121" t="s">
        <v>60</v>
      </c>
      <c r="C440" s="121" t="s">
        <v>1170</v>
      </c>
      <c r="D440" s="129" t="s">
        <v>1479</v>
      </c>
      <c r="E440" s="121" t="s">
        <v>606</v>
      </c>
      <c r="F440" s="122">
        <f>'Stavební rozpočet'!F596</f>
        <v>0</v>
      </c>
      <c r="G440" s="172"/>
      <c r="H440" s="122">
        <f t="shared" si="306"/>
        <v>0</v>
      </c>
      <c r="I440" s="122">
        <f t="shared" si="307"/>
        <v>0</v>
      </c>
      <c r="J440" s="122">
        <f t="shared" si="308"/>
        <v>0</v>
      </c>
      <c r="K440" s="122">
        <f>'Stavební rozpočet'!K596</f>
        <v>0</v>
      </c>
      <c r="L440" s="122">
        <f t="shared" si="309"/>
        <v>0</v>
      </c>
      <c r="M440" s="123" t="s">
        <v>622</v>
      </c>
      <c r="Z440" s="124">
        <f t="shared" si="310"/>
        <v>0</v>
      </c>
      <c r="AB440" s="124">
        <f t="shared" si="311"/>
        <v>0</v>
      </c>
      <c r="AC440" s="124">
        <f t="shared" si="312"/>
        <v>0</v>
      </c>
      <c r="AD440" s="124">
        <f t="shared" si="313"/>
        <v>0</v>
      </c>
      <c r="AE440" s="124">
        <f t="shared" si="314"/>
        <v>0</v>
      </c>
      <c r="AF440" s="124">
        <f t="shared" si="315"/>
        <v>0</v>
      </c>
      <c r="AG440" s="124">
        <f t="shared" si="316"/>
        <v>0</v>
      </c>
      <c r="AH440" s="124">
        <f t="shared" si="317"/>
        <v>0</v>
      </c>
      <c r="AI440" s="113" t="s">
        <v>60</v>
      </c>
      <c r="AJ440" s="122">
        <f t="shared" si="318"/>
        <v>0</v>
      </c>
      <c r="AK440" s="122">
        <f t="shared" si="319"/>
        <v>0</v>
      </c>
      <c r="AL440" s="122">
        <f t="shared" si="320"/>
        <v>0</v>
      </c>
      <c r="AN440" s="124">
        <v>15</v>
      </c>
      <c r="AO440" s="124">
        <f t="shared" si="321"/>
        <v>0</v>
      </c>
      <c r="AP440" s="124">
        <f t="shared" si="322"/>
        <v>0</v>
      </c>
      <c r="AQ440" s="123" t="s">
        <v>79</v>
      </c>
      <c r="AV440" s="124">
        <f t="shared" si="323"/>
        <v>0</v>
      </c>
      <c r="AW440" s="124">
        <f t="shared" si="324"/>
        <v>0</v>
      </c>
      <c r="AX440" s="124">
        <f t="shared" si="325"/>
        <v>0</v>
      </c>
      <c r="AY440" s="125" t="s">
        <v>649</v>
      </c>
      <c r="AZ440" s="125" t="s">
        <v>1536</v>
      </c>
      <c r="BA440" s="113" t="s">
        <v>1542</v>
      </c>
      <c r="BC440" s="124">
        <f t="shared" si="326"/>
        <v>0</v>
      </c>
      <c r="BD440" s="124">
        <f t="shared" si="327"/>
        <v>0</v>
      </c>
      <c r="BE440" s="124">
        <v>0</v>
      </c>
      <c r="BF440" s="124">
        <f t="shared" si="328"/>
        <v>0</v>
      </c>
      <c r="BH440" s="122">
        <f t="shared" si="329"/>
        <v>0</v>
      </c>
      <c r="BI440" s="122">
        <f t="shared" si="330"/>
        <v>0</v>
      </c>
      <c r="BJ440" s="122">
        <f t="shared" si="331"/>
        <v>0</v>
      </c>
    </row>
    <row r="441" spans="1:62" s="174" customFormat="1" ht="12.75" hidden="1">
      <c r="A441" s="121" t="s">
        <v>873</v>
      </c>
      <c r="B441" s="121" t="s">
        <v>60</v>
      </c>
      <c r="C441" s="121" t="s">
        <v>1171</v>
      </c>
      <c r="D441" s="129" t="s">
        <v>1480</v>
      </c>
      <c r="E441" s="121" t="s">
        <v>606</v>
      </c>
      <c r="F441" s="122">
        <f>'Stavební rozpočet'!F597</f>
        <v>0</v>
      </c>
      <c r="G441" s="172"/>
      <c r="H441" s="122">
        <f t="shared" si="306"/>
        <v>0</v>
      </c>
      <c r="I441" s="122">
        <f t="shared" si="307"/>
        <v>0</v>
      </c>
      <c r="J441" s="122">
        <f t="shared" si="308"/>
        <v>0</v>
      </c>
      <c r="K441" s="122">
        <f>'Stavební rozpočet'!K597</f>
        <v>0</v>
      </c>
      <c r="L441" s="122">
        <f t="shared" si="309"/>
        <v>0</v>
      </c>
      <c r="M441" s="123" t="s">
        <v>622</v>
      </c>
      <c r="Z441" s="124">
        <f t="shared" si="310"/>
        <v>0</v>
      </c>
      <c r="AB441" s="124">
        <f t="shared" si="311"/>
        <v>0</v>
      </c>
      <c r="AC441" s="124">
        <f t="shared" si="312"/>
        <v>0</v>
      </c>
      <c r="AD441" s="124">
        <f t="shared" si="313"/>
        <v>0</v>
      </c>
      <c r="AE441" s="124">
        <f t="shared" si="314"/>
        <v>0</v>
      </c>
      <c r="AF441" s="124">
        <f t="shared" si="315"/>
        <v>0</v>
      </c>
      <c r="AG441" s="124">
        <f t="shared" si="316"/>
        <v>0</v>
      </c>
      <c r="AH441" s="124">
        <f t="shared" si="317"/>
        <v>0</v>
      </c>
      <c r="AI441" s="113" t="s">
        <v>60</v>
      </c>
      <c r="AJ441" s="122">
        <f t="shared" si="318"/>
        <v>0</v>
      </c>
      <c r="AK441" s="122">
        <f t="shared" si="319"/>
        <v>0</v>
      </c>
      <c r="AL441" s="122">
        <f t="shared" si="320"/>
        <v>0</v>
      </c>
      <c r="AN441" s="124">
        <v>15</v>
      </c>
      <c r="AO441" s="124">
        <f t="shared" si="321"/>
        <v>0</v>
      </c>
      <c r="AP441" s="124">
        <f t="shared" si="322"/>
        <v>0</v>
      </c>
      <c r="AQ441" s="123" t="s">
        <v>79</v>
      </c>
      <c r="AV441" s="124">
        <f t="shared" si="323"/>
        <v>0</v>
      </c>
      <c r="AW441" s="124">
        <f t="shared" si="324"/>
        <v>0</v>
      </c>
      <c r="AX441" s="124">
        <f t="shared" si="325"/>
        <v>0</v>
      </c>
      <c r="AY441" s="125" t="s">
        <v>649</v>
      </c>
      <c r="AZ441" s="125" t="s">
        <v>1536</v>
      </c>
      <c r="BA441" s="113" t="s">
        <v>1542</v>
      </c>
      <c r="BC441" s="124">
        <f t="shared" si="326"/>
        <v>0</v>
      </c>
      <c r="BD441" s="124">
        <f t="shared" si="327"/>
        <v>0</v>
      </c>
      <c r="BE441" s="124">
        <v>0</v>
      </c>
      <c r="BF441" s="124">
        <f t="shared" si="328"/>
        <v>0</v>
      </c>
      <c r="BH441" s="122">
        <f t="shared" si="329"/>
        <v>0</v>
      </c>
      <c r="BI441" s="122">
        <f t="shared" si="330"/>
        <v>0</v>
      </c>
      <c r="BJ441" s="122">
        <f t="shared" si="331"/>
        <v>0</v>
      </c>
    </row>
    <row r="442" spans="1:62" s="174" customFormat="1" ht="12.75">
      <c r="A442" s="121" t="s">
        <v>874</v>
      </c>
      <c r="B442" s="121" t="s">
        <v>60</v>
      </c>
      <c r="C442" s="121" t="s">
        <v>1172</v>
      </c>
      <c r="D442" s="129" t="s">
        <v>1481</v>
      </c>
      <c r="E442" s="121" t="s">
        <v>606</v>
      </c>
      <c r="F442" s="122">
        <f>'Stavební rozpočet'!F598</f>
        <v>4</v>
      </c>
      <c r="G442" s="172"/>
      <c r="H442" s="122">
        <f t="shared" si="306"/>
        <v>0</v>
      </c>
      <c r="I442" s="122">
        <f t="shared" si="307"/>
        <v>0</v>
      </c>
      <c r="J442" s="122">
        <f t="shared" si="308"/>
        <v>0</v>
      </c>
      <c r="K442" s="122">
        <f>'Stavební rozpočet'!K598</f>
        <v>0</v>
      </c>
      <c r="L442" s="122">
        <f t="shared" si="309"/>
        <v>0</v>
      </c>
      <c r="M442" s="123" t="s">
        <v>622</v>
      </c>
      <c r="Z442" s="124">
        <f t="shared" si="310"/>
        <v>0</v>
      </c>
      <c r="AB442" s="124">
        <f t="shared" si="311"/>
        <v>0</v>
      </c>
      <c r="AC442" s="124">
        <f t="shared" si="312"/>
        <v>0</v>
      </c>
      <c r="AD442" s="124">
        <f t="shared" si="313"/>
        <v>0</v>
      </c>
      <c r="AE442" s="124">
        <f t="shared" si="314"/>
        <v>0</v>
      </c>
      <c r="AF442" s="124">
        <f t="shared" si="315"/>
        <v>0</v>
      </c>
      <c r="AG442" s="124">
        <f t="shared" si="316"/>
        <v>0</v>
      </c>
      <c r="AH442" s="124">
        <f t="shared" si="317"/>
        <v>0</v>
      </c>
      <c r="AI442" s="113" t="s">
        <v>60</v>
      </c>
      <c r="AJ442" s="122">
        <f t="shared" si="318"/>
        <v>0</v>
      </c>
      <c r="AK442" s="122">
        <f t="shared" si="319"/>
        <v>0</v>
      </c>
      <c r="AL442" s="122">
        <f t="shared" si="320"/>
        <v>0</v>
      </c>
      <c r="AN442" s="124">
        <v>15</v>
      </c>
      <c r="AO442" s="124">
        <f t="shared" si="321"/>
        <v>0</v>
      </c>
      <c r="AP442" s="124">
        <f t="shared" si="322"/>
        <v>0</v>
      </c>
      <c r="AQ442" s="123" t="s">
        <v>79</v>
      </c>
      <c r="AV442" s="124">
        <f t="shared" si="323"/>
        <v>0</v>
      </c>
      <c r="AW442" s="124">
        <f t="shared" si="324"/>
        <v>0</v>
      </c>
      <c r="AX442" s="124">
        <f t="shared" si="325"/>
        <v>0</v>
      </c>
      <c r="AY442" s="125" t="s">
        <v>649</v>
      </c>
      <c r="AZ442" s="125" t="s">
        <v>1536</v>
      </c>
      <c r="BA442" s="113" t="s">
        <v>1542</v>
      </c>
      <c r="BC442" s="124">
        <f t="shared" si="326"/>
        <v>0</v>
      </c>
      <c r="BD442" s="124">
        <f t="shared" si="327"/>
        <v>0</v>
      </c>
      <c r="BE442" s="124">
        <v>0</v>
      </c>
      <c r="BF442" s="124">
        <f t="shared" si="328"/>
        <v>0</v>
      </c>
      <c r="BH442" s="122">
        <f t="shared" si="329"/>
        <v>0</v>
      </c>
      <c r="BI442" s="122">
        <f t="shared" si="330"/>
        <v>0</v>
      </c>
      <c r="BJ442" s="122">
        <f t="shared" si="331"/>
        <v>0</v>
      </c>
    </row>
    <row r="443" spans="1:62" s="174" customFormat="1" ht="12.75" hidden="1">
      <c r="A443" s="121" t="s">
        <v>875</v>
      </c>
      <c r="B443" s="121" t="s">
        <v>60</v>
      </c>
      <c r="C443" s="121" t="s">
        <v>1173</v>
      </c>
      <c r="D443" s="129" t="s">
        <v>1482</v>
      </c>
      <c r="E443" s="121" t="s">
        <v>606</v>
      </c>
      <c r="F443" s="122">
        <f>'Stavební rozpočet'!F599</f>
        <v>0</v>
      </c>
      <c r="G443" s="172"/>
      <c r="H443" s="122">
        <f t="shared" si="306"/>
        <v>0</v>
      </c>
      <c r="I443" s="122">
        <f t="shared" si="307"/>
        <v>0</v>
      </c>
      <c r="J443" s="122">
        <f t="shared" si="308"/>
        <v>0</v>
      </c>
      <c r="K443" s="122">
        <f>'Stavební rozpočet'!K599</f>
        <v>0</v>
      </c>
      <c r="L443" s="122">
        <f t="shared" si="309"/>
        <v>0</v>
      </c>
      <c r="M443" s="123" t="s">
        <v>622</v>
      </c>
      <c r="Z443" s="124">
        <f t="shared" si="310"/>
        <v>0</v>
      </c>
      <c r="AB443" s="124">
        <f t="shared" si="311"/>
        <v>0</v>
      </c>
      <c r="AC443" s="124">
        <f t="shared" si="312"/>
        <v>0</v>
      </c>
      <c r="AD443" s="124">
        <f t="shared" si="313"/>
        <v>0</v>
      </c>
      <c r="AE443" s="124">
        <f t="shared" si="314"/>
        <v>0</v>
      </c>
      <c r="AF443" s="124">
        <f t="shared" si="315"/>
        <v>0</v>
      </c>
      <c r="AG443" s="124">
        <f t="shared" si="316"/>
        <v>0</v>
      </c>
      <c r="AH443" s="124">
        <f t="shared" si="317"/>
        <v>0</v>
      </c>
      <c r="AI443" s="113" t="s">
        <v>60</v>
      </c>
      <c r="AJ443" s="122">
        <f t="shared" si="318"/>
        <v>0</v>
      </c>
      <c r="AK443" s="122">
        <f t="shared" si="319"/>
        <v>0</v>
      </c>
      <c r="AL443" s="122">
        <f t="shared" si="320"/>
        <v>0</v>
      </c>
      <c r="AN443" s="124">
        <v>15</v>
      </c>
      <c r="AO443" s="124">
        <f t="shared" si="321"/>
        <v>0</v>
      </c>
      <c r="AP443" s="124">
        <f t="shared" si="322"/>
        <v>0</v>
      </c>
      <c r="AQ443" s="123" t="s">
        <v>79</v>
      </c>
      <c r="AV443" s="124">
        <f t="shared" si="323"/>
        <v>0</v>
      </c>
      <c r="AW443" s="124">
        <f t="shared" si="324"/>
        <v>0</v>
      </c>
      <c r="AX443" s="124">
        <f t="shared" si="325"/>
        <v>0</v>
      </c>
      <c r="AY443" s="125" t="s">
        <v>649</v>
      </c>
      <c r="AZ443" s="125" t="s">
        <v>1536</v>
      </c>
      <c r="BA443" s="113" t="s">
        <v>1542</v>
      </c>
      <c r="BC443" s="124">
        <f t="shared" si="326"/>
        <v>0</v>
      </c>
      <c r="BD443" s="124">
        <f t="shared" si="327"/>
        <v>0</v>
      </c>
      <c r="BE443" s="124">
        <v>0</v>
      </c>
      <c r="BF443" s="124">
        <f t="shared" si="328"/>
        <v>0</v>
      </c>
      <c r="BH443" s="122">
        <f t="shared" si="329"/>
        <v>0</v>
      </c>
      <c r="BI443" s="122">
        <f t="shared" si="330"/>
        <v>0</v>
      </c>
      <c r="BJ443" s="122">
        <f t="shared" si="331"/>
        <v>0</v>
      </c>
    </row>
    <row r="444" spans="1:62" s="174" customFormat="1" ht="12.75">
      <c r="A444" s="121" t="s">
        <v>876</v>
      </c>
      <c r="B444" s="121" t="s">
        <v>60</v>
      </c>
      <c r="C444" s="121" t="s">
        <v>1174</v>
      </c>
      <c r="D444" s="129" t="s">
        <v>1483</v>
      </c>
      <c r="E444" s="121" t="s">
        <v>606</v>
      </c>
      <c r="F444" s="122">
        <f>'Stavební rozpočet'!F600</f>
        <v>4</v>
      </c>
      <c r="G444" s="172"/>
      <c r="H444" s="122">
        <f t="shared" si="306"/>
        <v>0</v>
      </c>
      <c r="I444" s="122">
        <f t="shared" si="307"/>
        <v>0</v>
      </c>
      <c r="J444" s="122">
        <f t="shared" si="308"/>
        <v>0</v>
      </c>
      <c r="K444" s="122">
        <f>'Stavební rozpočet'!K600</f>
        <v>0</v>
      </c>
      <c r="L444" s="122">
        <f t="shared" si="309"/>
        <v>0</v>
      </c>
      <c r="M444" s="123" t="s">
        <v>622</v>
      </c>
      <c r="Z444" s="124">
        <f t="shared" si="310"/>
        <v>0</v>
      </c>
      <c r="AB444" s="124">
        <f t="shared" si="311"/>
        <v>0</v>
      </c>
      <c r="AC444" s="124">
        <f t="shared" si="312"/>
        <v>0</v>
      </c>
      <c r="AD444" s="124">
        <f t="shared" si="313"/>
        <v>0</v>
      </c>
      <c r="AE444" s="124">
        <f t="shared" si="314"/>
        <v>0</v>
      </c>
      <c r="AF444" s="124">
        <f t="shared" si="315"/>
        <v>0</v>
      </c>
      <c r="AG444" s="124">
        <f t="shared" si="316"/>
        <v>0</v>
      </c>
      <c r="AH444" s="124">
        <f t="shared" si="317"/>
        <v>0</v>
      </c>
      <c r="AI444" s="113" t="s">
        <v>60</v>
      </c>
      <c r="AJ444" s="122">
        <f t="shared" si="318"/>
        <v>0</v>
      </c>
      <c r="AK444" s="122">
        <f t="shared" si="319"/>
        <v>0</v>
      </c>
      <c r="AL444" s="122">
        <f t="shared" si="320"/>
        <v>0</v>
      </c>
      <c r="AN444" s="124">
        <v>15</v>
      </c>
      <c r="AO444" s="124">
        <f t="shared" si="321"/>
        <v>0</v>
      </c>
      <c r="AP444" s="124">
        <f t="shared" si="322"/>
        <v>0</v>
      </c>
      <c r="AQ444" s="123" t="s">
        <v>79</v>
      </c>
      <c r="AV444" s="124">
        <f t="shared" si="323"/>
        <v>0</v>
      </c>
      <c r="AW444" s="124">
        <f t="shared" si="324"/>
        <v>0</v>
      </c>
      <c r="AX444" s="124">
        <f t="shared" si="325"/>
        <v>0</v>
      </c>
      <c r="AY444" s="125" t="s">
        <v>649</v>
      </c>
      <c r="AZ444" s="125" t="s">
        <v>1536</v>
      </c>
      <c r="BA444" s="113" t="s">
        <v>1542</v>
      </c>
      <c r="BC444" s="124">
        <f t="shared" si="326"/>
        <v>0</v>
      </c>
      <c r="BD444" s="124">
        <f t="shared" si="327"/>
        <v>0</v>
      </c>
      <c r="BE444" s="124">
        <v>0</v>
      </c>
      <c r="BF444" s="124">
        <f t="shared" si="328"/>
        <v>0</v>
      </c>
      <c r="BH444" s="122">
        <f t="shared" si="329"/>
        <v>0</v>
      </c>
      <c r="BI444" s="122">
        <f t="shared" si="330"/>
        <v>0</v>
      </c>
      <c r="BJ444" s="122">
        <f t="shared" si="331"/>
        <v>0</v>
      </c>
    </row>
    <row r="445" spans="1:62" s="174" customFormat="1" ht="12.75" hidden="1">
      <c r="A445" s="121" t="s">
        <v>877</v>
      </c>
      <c r="B445" s="121" t="s">
        <v>60</v>
      </c>
      <c r="C445" s="121" t="s">
        <v>1175</v>
      </c>
      <c r="D445" s="129" t="s">
        <v>1484</v>
      </c>
      <c r="E445" s="121" t="s">
        <v>606</v>
      </c>
      <c r="F445" s="122">
        <f>'Stavební rozpočet'!F601</f>
        <v>0</v>
      </c>
      <c r="G445" s="172"/>
      <c r="H445" s="122">
        <f t="shared" si="306"/>
        <v>0</v>
      </c>
      <c r="I445" s="122">
        <f t="shared" si="307"/>
        <v>0</v>
      </c>
      <c r="J445" s="122">
        <f t="shared" si="308"/>
        <v>0</v>
      </c>
      <c r="K445" s="122">
        <f>'Stavební rozpočet'!K601</f>
        <v>0</v>
      </c>
      <c r="L445" s="122">
        <f t="shared" si="309"/>
        <v>0</v>
      </c>
      <c r="M445" s="123" t="s">
        <v>622</v>
      </c>
      <c r="Z445" s="124">
        <f t="shared" si="310"/>
        <v>0</v>
      </c>
      <c r="AB445" s="124">
        <f t="shared" si="311"/>
        <v>0</v>
      </c>
      <c r="AC445" s="124">
        <f t="shared" si="312"/>
        <v>0</v>
      </c>
      <c r="AD445" s="124">
        <f t="shared" si="313"/>
        <v>0</v>
      </c>
      <c r="AE445" s="124">
        <f t="shared" si="314"/>
        <v>0</v>
      </c>
      <c r="AF445" s="124">
        <f t="shared" si="315"/>
        <v>0</v>
      </c>
      <c r="AG445" s="124">
        <f t="shared" si="316"/>
        <v>0</v>
      </c>
      <c r="AH445" s="124">
        <f t="shared" si="317"/>
        <v>0</v>
      </c>
      <c r="AI445" s="113" t="s">
        <v>60</v>
      </c>
      <c r="AJ445" s="122">
        <f t="shared" si="318"/>
        <v>0</v>
      </c>
      <c r="AK445" s="122">
        <f t="shared" si="319"/>
        <v>0</v>
      </c>
      <c r="AL445" s="122">
        <f t="shared" si="320"/>
        <v>0</v>
      </c>
      <c r="AN445" s="124">
        <v>15</v>
      </c>
      <c r="AO445" s="124">
        <f t="shared" si="321"/>
        <v>0</v>
      </c>
      <c r="AP445" s="124">
        <f t="shared" si="322"/>
        <v>0</v>
      </c>
      <c r="AQ445" s="123" t="s">
        <v>79</v>
      </c>
      <c r="AV445" s="124">
        <f t="shared" si="323"/>
        <v>0</v>
      </c>
      <c r="AW445" s="124">
        <f t="shared" si="324"/>
        <v>0</v>
      </c>
      <c r="AX445" s="124">
        <f t="shared" si="325"/>
        <v>0</v>
      </c>
      <c r="AY445" s="125" t="s">
        <v>649</v>
      </c>
      <c r="AZ445" s="125" t="s">
        <v>1536</v>
      </c>
      <c r="BA445" s="113" t="s">
        <v>1542</v>
      </c>
      <c r="BC445" s="124">
        <f t="shared" si="326"/>
        <v>0</v>
      </c>
      <c r="BD445" s="124">
        <f t="shared" si="327"/>
        <v>0</v>
      </c>
      <c r="BE445" s="124">
        <v>0</v>
      </c>
      <c r="BF445" s="124">
        <f t="shared" si="328"/>
        <v>0</v>
      </c>
      <c r="BH445" s="122">
        <f t="shared" si="329"/>
        <v>0</v>
      </c>
      <c r="BI445" s="122">
        <f t="shared" si="330"/>
        <v>0</v>
      </c>
      <c r="BJ445" s="122">
        <f t="shared" si="331"/>
        <v>0</v>
      </c>
    </row>
    <row r="446" spans="1:62" s="174" customFormat="1" ht="12.75" hidden="1">
      <c r="A446" s="121" t="s">
        <v>878</v>
      </c>
      <c r="B446" s="121" t="s">
        <v>60</v>
      </c>
      <c r="C446" s="121" t="s">
        <v>1176</v>
      </c>
      <c r="D446" s="129" t="s">
        <v>1485</v>
      </c>
      <c r="E446" s="121" t="s">
        <v>606</v>
      </c>
      <c r="F446" s="122">
        <f>'Stavební rozpočet'!F602</f>
        <v>0</v>
      </c>
      <c r="G446" s="172"/>
      <c r="H446" s="122">
        <f t="shared" si="306"/>
        <v>0</v>
      </c>
      <c r="I446" s="122">
        <f t="shared" si="307"/>
        <v>0</v>
      </c>
      <c r="J446" s="122">
        <f t="shared" si="308"/>
        <v>0</v>
      </c>
      <c r="K446" s="122">
        <f>'Stavební rozpočet'!K602</f>
        <v>0</v>
      </c>
      <c r="L446" s="122">
        <f t="shared" si="309"/>
        <v>0</v>
      </c>
      <c r="M446" s="123" t="s">
        <v>622</v>
      </c>
      <c r="Z446" s="124">
        <f t="shared" si="310"/>
        <v>0</v>
      </c>
      <c r="AB446" s="124">
        <f t="shared" si="311"/>
        <v>0</v>
      </c>
      <c r="AC446" s="124">
        <f t="shared" si="312"/>
        <v>0</v>
      </c>
      <c r="AD446" s="124">
        <f t="shared" si="313"/>
        <v>0</v>
      </c>
      <c r="AE446" s="124">
        <f t="shared" si="314"/>
        <v>0</v>
      </c>
      <c r="AF446" s="124">
        <f t="shared" si="315"/>
        <v>0</v>
      </c>
      <c r="AG446" s="124">
        <f t="shared" si="316"/>
        <v>0</v>
      </c>
      <c r="AH446" s="124">
        <f t="shared" si="317"/>
        <v>0</v>
      </c>
      <c r="AI446" s="113" t="s">
        <v>60</v>
      </c>
      <c r="AJ446" s="122">
        <f t="shared" si="318"/>
        <v>0</v>
      </c>
      <c r="AK446" s="122">
        <f t="shared" si="319"/>
        <v>0</v>
      </c>
      <c r="AL446" s="122">
        <f t="shared" si="320"/>
        <v>0</v>
      </c>
      <c r="AN446" s="124">
        <v>15</v>
      </c>
      <c r="AO446" s="124">
        <f t="shared" si="321"/>
        <v>0</v>
      </c>
      <c r="AP446" s="124">
        <f t="shared" si="322"/>
        <v>0</v>
      </c>
      <c r="AQ446" s="123" t="s">
        <v>79</v>
      </c>
      <c r="AV446" s="124">
        <f t="shared" si="323"/>
        <v>0</v>
      </c>
      <c r="AW446" s="124">
        <f t="shared" si="324"/>
        <v>0</v>
      </c>
      <c r="AX446" s="124">
        <f t="shared" si="325"/>
        <v>0</v>
      </c>
      <c r="AY446" s="125" t="s">
        <v>649</v>
      </c>
      <c r="AZ446" s="125" t="s">
        <v>1536</v>
      </c>
      <c r="BA446" s="113" t="s">
        <v>1542</v>
      </c>
      <c r="BC446" s="124">
        <f t="shared" si="326"/>
        <v>0</v>
      </c>
      <c r="BD446" s="124">
        <f t="shared" si="327"/>
        <v>0</v>
      </c>
      <c r="BE446" s="124">
        <v>0</v>
      </c>
      <c r="BF446" s="124">
        <f t="shared" si="328"/>
        <v>0</v>
      </c>
      <c r="BH446" s="122">
        <f t="shared" si="329"/>
        <v>0</v>
      </c>
      <c r="BI446" s="122">
        <f t="shared" si="330"/>
        <v>0</v>
      </c>
      <c r="BJ446" s="122">
        <f t="shared" si="331"/>
        <v>0</v>
      </c>
    </row>
    <row r="447" spans="1:62" s="174" customFormat="1" ht="12.75" hidden="1">
      <c r="A447" s="121" t="s">
        <v>879</v>
      </c>
      <c r="B447" s="121" t="s">
        <v>60</v>
      </c>
      <c r="C447" s="121" t="s">
        <v>1177</v>
      </c>
      <c r="D447" s="129" t="s">
        <v>1486</v>
      </c>
      <c r="E447" s="121" t="s">
        <v>606</v>
      </c>
      <c r="F447" s="122">
        <f>'Stavební rozpočet'!F603</f>
        <v>0</v>
      </c>
      <c r="G447" s="172"/>
      <c r="H447" s="122">
        <f t="shared" si="306"/>
        <v>0</v>
      </c>
      <c r="I447" s="122">
        <f t="shared" si="307"/>
        <v>0</v>
      </c>
      <c r="J447" s="122">
        <f t="shared" si="308"/>
        <v>0</v>
      </c>
      <c r="K447" s="122">
        <f>'Stavební rozpočet'!K603</f>
        <v>0</v>
      </c>
      <c r="L447" s="122">
        <f t="shared" si="309"/>
        <v>0</v>
      </c>
      <c r="M447" s="123" t="s">
        <v>622</v>
      </c>
      <c r="Z447" s="124">
        <f t="shared" si="310"/>
        <v>0</v>
      </c>
      <c r="AB447" s="124">
        <f t="shared" si="311"/>
        <v>0</v>
      </c>
      <c r="AC447" s="124">
        <f t="shared" si="312"/>
        <v>0</v>
      </c>
      <c r="AD447" s="124">
        <f t="shared" si="313"/>
        <v>0</v>
      </c>
      <c r="AE447" s="124">
        <f t="shared" si="314"/>
        <v>0</v>
      </c>
      <c r="AF447" s="124">
        <f t="shared" si="315"/>
        <v>0</v>
      </c>
      <c r="AG447" s="124">
        <f t="shared" si="316"/>
        <v>0</v>
      </c>
      <c r="AH447" s="124">
        <f t="shared" si="317"/>
        <v>0</v>
      </c>
      <c r="AI447" s="113" t="s">
        <v>60</v>
      </c>
      <c r="AJ447" s="122">
        <f t="shared" si="318"/>
        <v>0</v>
      </c>
      <c r="AK447" s="122">
        <f t="shared" si="319"/>
        <v>0</v>
      </c>
      <c r="AL447" s="122">
        <f t="shared" si="320"/>
        <v>0</v>
      </c>
      <c r="AN447" s="124">
        <v>15</v>
      </c>
      <c r="AO447" s="124">
        <f t="shared" si="321"/>
        <v>0</v>
      </c>
      <c r="AP447" s="124">
        <f t="shared" si="322"/>
        <v>0</v>
      </c>
      <c r="AQ447" s="123" t="s">
        <v>79</v>
      </c>
      <c r="AV447" s="124">
        <f t="shared" si="323"/>
        <v>0</v>
      </c>
      <c r="AW447" s="124">
        <f t="shared" si="324"/>
        <v>0</v>
      </c>
      <c r="AX447" s="124">
        <f t="shared" si="325"/>
        <v>0</v>
      </c>
      <c r="AY447" s="125" t="s">
        <v>649</v>
      </c>
      <c r="AZ447" s="125" t="s">
        <v>1536</v>
      </c>
      <c r="BA447" s="113" t="s">
        <v>1542</v>
      </c>
      <c r="BC447" s="124">
        <f t="shared" si="326"/>
        <v>0</v>
      </c>
      <c r="BD447" s="124">
        <f t="shared" si="327"/>
        <v>0</v>
      </c>
      <c r="BE447" s="124">
        <v>0</v>
      </c>
      <c r="BF447" s="124">
        <f t="shared" si="328"/>
        <v>0</v>
      </c>
      <c r="BH447" s="122">
        <f t="shared" si="329"/>
        <v>0</v>
      </c>
      <c r="BI447" s="122">
        <f t="shared" si="330"/>
        <v>0</v>
      </c>
      <c r="BJ447" s="122">
        <f t="shared" si="331"/>
        <v>0</v>
      </c>
    </row>
    <row r="448" spans="1:62" s="174" customFormat="1" ht="12.75" hidden="1">
      <c r="A448" s="121" t="s">
        <v>880</v>
      </c>
      <c r="B448" s="121" t="s">
        <v>60</v>
      </c>
      <c r="C448" s="121" t="s">
        <v>1178</v>
      </c>
      <c r="D448" s="129" t="s">
        <v>1487</v>
      </c>
      <c r="E448" s="121" t="s">
        <v>606</v>
      </c>
      <c r="F448" s="122">
        <f>'Stavební rozpočet'!F604</f>
        <v>0</v>
      </c>
      <c r="G448" s="172"/>
      <c r="H448" s="122">
        <f t="shared" si="306"/>
        <v>0</v>
      </c>
      <c r="I448" s="122">
        <f t="shared" si="307"/>
        <v>0</v>
      </c>
      <c r="J448" s="122">
        <f t="shared" si="308"/>
        <v>0</v>
      </c>
      <c r="K448" s="122">
        <f>'Stavební rozpočet'!K604</f>
        <v>0</v>
      </c>
      <c r="L448" s="122">
        <f t="shared" si="309"/>
        <v>0</v>
      </c>
      <c r="M448" s="123" t="s">
        <v>622</v>
      </c>
      <c r="Z448" s="124">
        <f t="shared" si="310"/>
        <v>0</v>
      </c>
      <c r="AB448" s="124">
        <f t="shared" si="311"/>
        <v>0</v>
      </c>
      <c r="AC448" s="124">
        <f t="shared" si="312"/>
        <v>0</v>
      </c>
      <c r="AD448" s="124">
        <f t="shared" si="313"/>
        <v>0</v>
      </c>
      <c r="AE448" s="124">
        <f t="shared" si="314"/>
        <v>0</v>
      </c>
      <c r="AF448" s="124">
        <f t="shared" si="315"/>
        <v>0</v>
      </c>
      <c r="AG448" s="124">
        <f t="shared" si="316"/>
        <v>0</v>
      </c>
      <c r="AH448" s="124">
        <f t="shared" si="317"/>
        <v>0</v>
      </c>
      <c r="AI448" s="113" t="s">
        <v>60</v>
      </c>
      <c r="AJ448" s="122">
        <f t="shared" si="318"/>
        <v>0</v>
      </c>
      <c r="AK448" s="122">
        <f t="shared" si="319"/>
        <v>0</v>
      </c>
      <c r="AL448" s="122">
        <f t="shared" si="320"/>
        <v>0</v>
      </c>
      <c r="AN448" s="124">
        <v>15</v>
      </c>
      <c r="AO448" s="124">
        <f t="shared" si="321"/>
        <v>0</v>
      </c>
      <c r="AP448" s="124">
        <f t="shared" si="322"/>
        <v>0</v>
      </c>
      <c r="AQ448" s="123" t="s">
        <v>79</v>
      </c>
      <c r="AV448" s="124">
        <f t="shared" si="323"/>
        <v>0</v>
      </c>
      <c r="AW448" s="124">
        <f t="shared" si="324"/>
        <v>0</v>
      </c>
      <c r="AX448" s="124">
        <f t="shared" si="325"/>
        <v>0</v>
      </c>
      <c r="AY448" s="125" t="s">
        <v>649</v>
      </c>
      <c r="AZ448" s="125" t="s">
        <v>1536</v>
      </c>
      <c r="BA448" s="113" t="s">
        <v>1542</v>
      </c>
      <c r="BC448" s="124">
        <f t="shared" si="326"/>
        <v>0</v>
      </c>
      <c r="BD448" s="124">
        <f t="shared" si="327"/>
        <v>0</v>
      </c>
      <c r="BE448" s="124">
        <v>0</v>
      </c>
      <c r="BF448" s="124">
        <f t="shared" si="328"/>
        <v>0</v>
      </c>
      <c r="BH448" s="122">
        <f t="shared" si="329"/>
        <v>0</v>
      </c>
      <c r="BI448" s="122">
        <f t="shared" si="330"/>
        <v>0</v>
      </c>
      <c r="BJ448" s="122">
        <f t="shared" si="331"/>
        <v>0</v>
      </c>
    </row>
    <row r="449" spans="1:62" s="174" customFormat="1" ht="12.75">
      <c r="A449" s="121" t="s">
        <v>881</v>
      </c>
      <c r="B449" s="121" t="s">
        <v>60</v>
      </c>
      <c r="C449" s="121" t="s">
        <v>1179</v>
      </c>
      <c r="D449" s="129" t="s">
        <v>1488</v>
      </c>
      <c r="E449" s="121" t="s">
        <v>606</v>
      </c>
      <c r="F449" s="122">
        <f>'Stavební rozpočet'!F605</f>
        <v>19</v>
      </c>
      <c r="G449" s="172"/>
      <c r="H449" s="122">
        <f t="shared" si="306"/>
        <v>0</v>
      </c>
      <c r="I449" s="122">
        <f t="shared" si="307"/>
        <v>0</v>
      </c>
      <c r="J449" s="122">
        <f t="shared" si="308"/>
        <v>0</v>
      </c>
      <c r="K449" s="122">
        <f>'Stavební rozpočet'!K605</f>
        <v>0</v>
      </c>
      <c r="L449" s="122">
        <f t="shared" si="309"/>
        <v>0</v>
      </c>
      <c r="M449" s="123" t="s">
        <v>622</v>
      </c>
      <c r="Z449" s="124">
        <f t="shared" si="310"/>
        <v>0</v>
      </c>
      <c r="AB449" s="124">
        <f t="shared" si="311"/>
        <v>0</v>
      </c>
      <c r="AC449" s="124">
        <f t="shared" si="312"/>
        <v>0</v>
      </c>
      <c r="AD449" s="124">
        <f t="shared" si="313"/>
        <v>0</v>
      </c>
      <c r="AE449" s="124">
        <f t="shared" si="314"/>
        <v>0</v>
      </c>
      <c r="AF449" s="124">
        <f t="shared" si="315"/>
        <v>0</v>
      </c>
      <c r="AG449" s="124">
        <f t="shared" si="316"/>
        <v>0</v>
      </c>
      <c r="AH449" s="124">
        <f t="shared" si="317"/>
        <v>0</v>
      </c>
      <c r="AI449" s="113" t="s">
        <v>60</v>
      </c>
      <c r="AJ449" s="122">
        <f t="shared" si="318"/>
        <v>0</v>
      </c>
      <c r="AK449" s="122">
        <f t="shared" si="319"/>
        <v>0</v>
      </c>
      <c r="AL449" s="122">
        <f t="shared" si="320"/>
        <v>0</v>
      </c>
      <c r="AN449" s="124">
        <v>15</v>
      </c>
      <c r="AO449" s="124">
        <f t="shared" si="321"/>
        <v>0</v>
      </c>
      <c r="AP449" s="124">
        <f t="shared" si="322"/>
        <v>0</v>
      </c>
      <c r="AQ449" s="123" t="s">
        <v>79</v>
      </c>
      <c r="AV449" s="124">
        <f t="shared" si="323"/>
        <v>0</v>
      </c>
      <c r="AW449" s="124">
        <f t="shared" si="324"/>
        <v>0</v>
      </c>
      <c r="AX449" s="124">
        <f t="shared" si="325"/>
        <v>0</v>
      </c>
      <c r="AY449" s="125" t="s">
        <v>649</v>
      </c>
      <c r="AZ449" s="125" t="s">
        <v>1536</v>
      </c>
      <c r="BA449" s="113" t="s">
        <v>1542</v>
      </c>
      <c r="BC449" s="124">
        <f t="shared" si="326"/>
        <v>0</v>
      </c>
      <c r="BD449" s="124">
        <f t="shared" si="327"/>
        <v>0</v>
      </c>
      <c r="BE449" s="124">
        <v>0</v>
      </c>
      <c r="BF449" s="124">
        <f t="shared" si="328"/>
        <v>0</v>
      </c>
      <c r="BH449" s="122">
        <f t="shared" si="329"/>
        <v>0</v>
      </c>
      <c r="BI449" s="122">
        <f t="shared" si="330"/>
        <v>0</v>
      </c>
      <c r="BJ449" s="122">
        <f t="shared" si="331"/>
        <v>0</v>
      </c>
    </row>
    <row r="450" spans="1:62" s="174" customFormat="1" ht="12.75">
      <c r="A450" s="121" t="s">
        <v>882</v>
      </c>
      <c r="B450" s="121" t="s">
        <v>60</v>
      </c>
      <c r="C450" s="121" t="s">
        <v>1180</v>
      </c>
      <c r="D450" s="129" t="s">
        <v>1489</v>
      </c>
      <c r="E450" s="121" t="s">
        <v>606</v>
      </c>
      <c r="F450" s="122">
        <f>'Stavební rozpočet'!F606</f>
        <v>13</v>
      </c>
      <c r="G450" s="172"/>
      <c r="H450" s="122">
        <f t="shared" si="306"/>
        <v>0</v>
      </c>
      <c r="I450" s="122">
        <f t="shared" si="307"/>
        <v>0</v>
      </c>
      <c r="J450" s="122">
        <f t="shared" si="308"/>
        <v>0</v>
      </c>
      <c r="K450" s="122">
        <f>'Stavební rozpočet'!K606</f>
        <v>0</v>
      </c>
      <c r="L450" s="122">
        <f t="shared" si="309"/>
        <v>0</v>
      </c>
      <c r="M450" s="123" t="s">
        <v>622</v>
      </c>
      <c r="Z450" s="124">
        <f t="shared" si="310"/>
        <v>0</v>
      </c>
      <c r="AB450" s="124">
        <f t="shared" si="311"/>
        <v>0</v>
      </c>
      <c r="AC450" s="124">
        <f t="shared" si="312"/>
        <v>0</v>
      </c>
      <c r="AD450" s="124">
        <f t="shared" si="313"/>
        <v>0</v>
      </c>
      <c r="AE450" s="124">
        <f t="shared" si="314"/>
        <v>0</v>
      </c>
      <c r="AF450" s="124">
        <f t="shared" si="315"/>
        <v>0</v>
      </c>
      <c r="AG450" s="124">
        <f t="shared" si="316"/>
        <v>0</v>
      </c>
      <c r="AH450" s="124">
        <f t="shared" si="317"/>
        <v>0</v>
      </c>
      <c r="AI450" s="113" t="s">
        <v>60</v>
      </c>
      <c r="AJ450" s="122">
        <f t="shared" si="318"/>
        <v>0</v>
      </c>
      <c r="AK450" s="122">
        <f t="shared" si="319"/>
        <v>0</v>
      </c>
      <c r="AL450" s="122">
        <f t="shared" si="320"/>
        <v>0</v>
      </c>
      <c r="AN450" s="124">
        <v>15</v>
      </c>
      <c r="AO450" s="124">
        <f t="shared" si="321"/>
        <v>0</v>
      </c>
      <c r="AP450" s="124">
        <f t="shared" si="322"/>
        <v>0</v>
      </c>
      <c r="AQ450" s="123" t="s">
        <v>79</v>
      </c>
      <c r="AV450" s="124">
        <f t="shared" si="323"/>
        <v>0</v>
      </c>
      <c r="AW450" s="124">
        <f t="shared" si="324"/>
        <v>0</v>
      </c>
      <c r="AX450" s="124">
        <f t="shared" si="325"/>
        <v>0</v>
      </c>
      <c r="AY450" s="125" t="s">
        <v>649</v>
      </c>
      <c r="AZ450" s="125" t="s">
        <v>1536</v>
      </c>
      <c r="BA450" s="113" t="s">
        <v>1542</v>
      </c>
      <c r="BC450" s="124">
        <f t="shared" si="326"/>
        <v>0</v>
      </c>
      <c r="BD450" s="124">
        <f t="shared" si="327"/>
        <v>0</v>
      </c>
      <c r="BE450" s="124">
        <v>0</v>
      </c>
      <c r="BF450" s="124">
        <f t="shared" si="328"/>
        <v>0</v>
      </c>
      <c r="BH450" s="122">
        <f t="shared" si="329"/>
        <v>0</v>
      </c>
      <c r="BI450" s="122">
        <f t="shared" si="330"/>
        <v>0</v>
      </c>
      <c r="BJ450" s="122">
        <f t="shared" si="331"/>
        <v>0</v>
      </c>
    </row>
    <row r="451" spans="1:62" s="174" customFormat="1" ht="12.75">
      <c r="A451" s="121" t="s">
        <v>883</v>
      </c>
      <c r="B451" s="121" t="s">
        <v>60</v>
      </c>
      <c r="C451" s="121" t="s">
        <v>1181</v>
      </c>
      <c r="D451" s="129" t="s">
        <v>1490</v>
      </c>
      <c r="E451" s="121" t="s">
        <v>606</v>
      </c>
      <c r="F451" s="122">
        <f>'Stavební rozpočet'!F607</f>
        <v>6</v>
      </c>
      <c r="G451" s="172"/>
      <c r="H451" s="122">
        <f t="shared" si="306"/>
        <v>0</v>
      </c>
      <c r="I451" s="122">
        <f t="shared" si="307"/>
        <v>0</v>
      </c>
      <c r="J451" s="122">
        <f t="shared" si="308"/>
        <v>0</v>
      </c>
      <c r="K451" s="122">
        <f>'Stavební rozpočet'!K607</f>
        <v>0</v>
      </c>
      <c r="L451" s="122">
        <f t="shared" si="309"/>
        <v>0</v>
      </c>
      <c r="M451" s="123" t="s">
        <v>622</v>
      </c>
      <c r="Z451" s="124">
        <f t="shared" si="310"/>
        <v>0</v>
      </c>
      <c r="AB451" s="124">
        <f t="shared" si="311"/>
        <v>0</v>
      </c>
      <c r="AC451" s="124">
        <f t="shared" si="312"/>
        <v>0</v>
      </c>
      <c r="AD451" s="124">
        <f t="shared" si="313"/>
        <v>0</v>
      </c>
      <c r="AE451" s="124">
        <f t="shared" si="314"/>
        <v>0</v>
      </c>
      <c r="AF451" s="124">
        <f t="shared" si="315"/>
        <v>0</v>
      </c>
      <c r="AG451" s="124">
        <f t="shared" si="316"/>
        <v>0</v>
      </c>
      <c r="AH451" s="124">
        <f t="shared" si="317"/>
        <v>0</v>
      </c>
      <c r="AI451" s="113" t="s">
        <v>60</v>
      </c>
      <c r="AJ451" s="122">
        <f t="shared" si="318"/>
        <v>0</v>
      </c>
      <c r="AK451" s="122">
        <f t="shared" si="319"/>
        <v>0</v>
      </c>
      <c r="AL451" s="122">
        <f t="shared" si="320"/>
        <v>0</v>
      </c>
      <c r="AN451" s="124">
        <v>15</v>
      </c>
      <c r="AO451" s="124">
        <f t="shared" si="321"/>
        <v>0</v>
      </c>
      <c r="AP451" s="124">
        <f t="shared" si="322"/>
        <v>0</v>
      </c>
      <c r="AQ451" s="123" t="s">
        <v>79</v>
      </c>
      <c r="AV451" s="124">
        <f t="shared" si="323"/>
        <v>0</v>
      </c>
      <c r="AW451" s="124">
        <f t="shared" si="324"/>
        <v>0</v>
      </c>
      <c r="AX451" s="124">
        <f t="shared" si="325"/>
        <v>0</v>
      </c>
      <c r="AY451" s="125" t="s">
        <v>649</v>
      </c>
      <c r="AZ451" s="125" t="s">
        <v>1536</v>
      </c>
      <c r="BA451" s="113" t="s">
        <v>1542</v>
      </c>
      <c r="BC451" s="124">
        <f t="shared" si="326"/>
        <v>0</v>
      </c>
      <c r="BD451" s="124">
        <f t="shared" si="327"/>
        <v>0</v>
      </c>
      <c r="BE451" s="124">
        <v>0</v>
      </c>
      <c r="BF451" s="124">
        <f t="shared" si="328"/>
        <v>0</v>
      </c>
      <c r="BH451" s="122">
        <f t="shared" si="329"/>
        <v>0</v>
      </c>
      <c r="BI451" s="122">
        <f t="shared" si="330"/>
        <v>0</v>
      </c>
      <c r="BJ451" s="122">
        <f t="shared" si="331"/>
        <v>0</v>
      </c>
    </row>
    <row r="452" spans="1:62" s="174" customFormat="1" ht="12.75" hidden="1">
      <c r="A452" s="121" t="s">
        <v>884</v>
      </c>
      <c r="B452" s="121" t="s">
        <v>60</v>
      </c>
      <c r="C452" s="121" t="s">
        <v>1182</v>
      </c>
      <c r="D452" s="129" t="s">
        <v>1491</v>
      </c>
      <c r="E452" s="121" t="s">
        <v>606</v>
      </c>
      <c r="F452" s="122">
        <f>'Stavební rozpočet'!F608</f>
        <v>0</v>
      </c>
      <c r="G452" s="172"/>
      <c r="H452" s="122">
        <f aca="true" t="shared" si="332" ref="H452:H483">F452*AO452</f>
        <v>0</v>
      </c>
      <c r="I452" s="122">
        <f aca="true" t="shared" si="333" ref="I452:I483">F452*AP452</f>
        <v>0</v>
      </c>
      <c r="J452" s="122">
        <f aca="true" t="shared" si="334" ref="J452:J483">F452*G452</f>
        <v>0</v>
      </c>
      <c r="K452" s="122">
        <f>'Stavební rozpočet'!K608</f>
        <v>0</v>
      </c>
      <c r="L452" s="122">
        <f aca="true" t="shared" si="335" ref="L452:L483">F452*K452</f>
        <v>0</v>
      </c>
      <c r="M452" s="123" t="s">
        <v>622</v>
      </c>
      <c r="Z452" s="124">
        <f aca="true" t="shared" si="336" ref="Z452:Z483">IF(AQ452="5",BJ452,0)</f>
        <v>0</v>
      </c>
      <c r="AB452" s="124">
        <f aca="true" t="shared" si="337" ref="AB452:AB483">IF(AQ452="1",BH452,0)</f>
        <v>0</v>
      </c>
      <c r="AC452" s="124">
        <f aca="true" t="shared" si="338" ref="AC452:AC483">IF(AQ452="1",BI452,0)</f>
        <v>0</v>
      </c>
      <c r="AD452" s="124">
        <f aca="true" t="shared" si="339" ref="AD452:AD483">IF(AQ452="7",BH452,0)</f>
        <v>0</v>
      </c>
      <c r="AE452" s="124">
        <f aca="true" t="shared" si="340" ref="AE452:AE483">IF(AQ452="7",BI452,0)</f>
        <v>0</v>
      </c>
      <c r="AF452" s="124">
        <f aca="true" t="shared" si="341" ref="AF452:AF483">IF(AQ452="2",BH452,0)</f>
        <v>0</v>
      </c>
      <c r="AG452" s="124">
        <f aca="true" t="shared" si="342" ref="AG452:AG483">IF(AQ452="2",BI452,0)</f>
        <v>0</v>
      </c>
      <c r="AH452" s="124">
        <f aca="true" t="shared" si="343" ref="AH452:AH483">IF(AQ452="0",BJ452,0)</f>
        <v>0</v>
      </c>
      <c r="AI452" s="113" t="s">
        <v>60</v>
      </c>
      <c r="AJ452" s="122">
        <f aca="true" t="shared" si="344" ref="AJ452:AJ483">IF(AN452=0,J452,0)</f>
        <v>0</v>
      </c>
      <c r="AK452" s="122">
        <f aca="true" t="shared" si="345" ref="AK452:AK483">IF(AN452=15,J452,0)</f>
        <v>0</v>
      </c>
      <c r="AL452" s="122">
        <f aca="true" t="shared" si="346" ref="AL452:AL483">IF(AN452=21,J452,0)</f>
        <v>0</v>
      </c>
      <c r="AN452" s="124">
        <v>15</v>
      </c>
      <c r="AO452" s="124">
        <f aca="true" t="shared" si="347" ref="AO452:AO483">G452*0</f>
        <v>0</v>
      </c>
      <c r="AP452" s="124">
        <f aca="true" t="shared" si="348" ref="AP452:AP483">G452*(1-0)</f>
        <v>0</v>
      </c>
      <c r="AQ452" s="123" t="s">
        <v>79</v>
      </c>
      <c r="AV452" s="124">
        <f aca="true" t="shared" si="349" ref="AV452:AV483">AW452+AX452</f>
        <v>0</v>
      </c>
      <c r="AW452" s="124">
        <f aca="true" t="shared" si="350" ref="AW452:AW483">F452*AO452</f>
        <v>0</v>
      </c>
      <c r="AX452" s="124">
        <f aca="true" t="shared" si="351" ref="AX452:AX483">F452*AP452</f>
        <v>0</v>
      </c>
      <c r="AY452" s="125" t="s">
        <v>649</v>
      </c>
      <c r="AZ452" s="125" t="s">
        <v>1536</v>
      </c>
      <c r="BA452" s="113" t="s">
        <v>1542</v>
      </c>
      <c r="BC452" s="124">
        <f aca="true" t="shared" si="352" ref="BC452:BC483">AW452+AX452</f>
        <v>0</v>
      </c>
      <c r="BD452" s="124">
        <f aca="true" t="shared" si="353" ref="BD452:BD483">G452/(100-BE452)*100</f>
        <v>0</v>
      </c>
      <c r="BE452" s="124">
        <v>0</v>
      </c>
      <c r="BF452" s="124">
        <f aca="true" t="shared" si="354" ref="BF452:BF483">L452</f>
        <v>0</v>
      </c>
      <c r="BH452" s="122">
        <f aca="true" t="shared" si="355" ref="BH452:BH483">F452*AO452</f>
        <v>0</v>
      </c>
      <c r="BI452" s="122">
        <f aca="true" t="shared" si="356" ref="BI452:BI483">F452*AP452</f>
        <v>0</v>
      </c>
      <c r="BJ452" s="122">
        <f aca="true" t="shared" si="357" ref="BJ452:BJ483">F452*G452</f>
        <v>0</v>
      </c>
    </row>
    <row r="453" spans="1:62" s="174" customFormat="1" ht="12.75">
      <c r="A453" s="121" t="s">
        <v>885</v>
      </c>
      <c r="B453" s="121" t="s">
        <v>60</v>
      </c>
      <c r="C453" s="121" t="s">
        <v>1183</v>
      </c>
      <c r="D453" s="129" t="s">
        <v>1492</v>
      </c>
      <c r="E453" s="121" t="s">
        <v>606</v>
      </c>
      <c r="F453" s="122">
        <f>'Stavební rozpočet'!F609</f>
        <v>7</v>
      </c>
      <c r="G453" s="172"/>
      <c r="H453" s="122">
        <f t="shared" si="332"/>
        <v>0</v>
      </c>
      <c r="I453" s="122">
        <f t="shared" si="333"/>
        <v>0</v>
      </c>
      <c r="J453" s="122">
        <f t="shared" si="334"/>
        <v>0</v>
      </c>
      <c r="K453" s="122">
        <f>'Stavební rozpočet'!K609</f>
        <v>0</v>
      </c>
      <c r="L453" s="122">
        <f t="shared" si="335"/>
        <v>0</v>
      </c>
      <c r="M453" s="123" t="s">
        <v>622</v>
      </c>
      <c r="Z453" s="124">
        <f t="shared" si="336"/>
        <v>0</v>
      </c>
      <c r="AB453" s="124">
        <f t="shared" si="337"/>
        <v>0</v>
      </c>
      <c r="AC453" s="124">
        <f t="shared" si="338"/>
        <v>0</v>
      </c>
      <c r="AD453" s="124">
        <f t="shared" si="339"/>
        <v>0</v>
      </c>
      <c r="AE453" s="124">
        <f t="shared" si="340"/>
        <v>0</v>
      </c>
      <c r="AF453" s="124">
        <f t="shared" si="341"/>
        <v>0</v>
      </c>
      <c r="AG453" s="124">
        <f t="shared" si="342"/>
        <v>0</v>
      </c>
      <c r="AH453" s="124">
        <f t="shared" si="343"/>
        <v>0</v>
      </c>
      <c r="AI453" s="113" t="s">
        <v>60</v>
      </c>
      <c r="AJ453" s="122">
        <f t="shared" si="344"/>
        <v>0</v>
      </c>
      <c r="AK453" s="122">
        <f t="shared" si="345"/>
        <v>0</v>
      </c>
      <c r="AL453" s="122">
        <f t="shared" si="346"/>
        <v>0</v>
      </c>
      <c r="AN453" s="124">
        <v>15</v>
      </c>
      <c r="AO453" s="124">
        <f t="shared" si="347"/>
        <v>0</v>
      </c>
      <c r="AP453" s="124">
        <f t="shared" si="348"/>
        <v>0</v>
      </c>
      <c r="AQ453" s="123" t="s">
        <v>79</v>
      </c>
      <c r="AV453" s="124">
        <f t="shared" si="349"/>
        <v>0</v>
      </c>
      <c r="AW453" s="124">
        <f t="shared" si="350"/>
        <v>0</v>
      </c>
      <c r="AX453" s="124">
        <f t="shared" si="351"/>
        <v>0</v>
      </c>
      <c r="AY453" s="125" t="s">
        <v>649</v>
      </c>
      <c r="AZ453" s="125" t="s">
        <v>1536</v>
      </c>
      <c r="BA453" s="113" t="s">
        <v>1542</v>
      </c>
      <c r="BC453" s="124">
        <f t="shared" si="352"/>
        <v>0</v>
      </c>
      <c r="BD453" s="124">
        <f t="shared" si="353"/>
        <v>0</v>
      </c>
      <c r="BE453" s="124">
        <v>0</v>
      </c>
      <c r="BF453" s="124">
        <f t="shared" si="354"/>
        <v>0</v>
      </c>
      <c r="BH453" s="122">
        <f t="shared" si="355"/>
        <v>0</v>
      </c>
      <c r="BI453" s="122">
        <f t="shared" si="356"/>
        <v>0</v>
      </c>
      <c r="BJ453" s="122">
        <f t="shared" si="357"/>
        <v>0</v>
      </c>
    </row>
    <row r="454" spans="1:62" s="174" customFormat="1" ht="12.75">
      <c r="A454" s="121" t="s">
        <v>886</v>
      </c>
      <c r="B454" s="121" t="s">
        <v>60</v>
      </c>
      <c r="C454" s="121" t="s">
        <v>1184</v>
      </c>
      <c r="D454" s="129" t="s">
        <v>1493</v>
      </c>
      <c r="E454" s="121" t="s">
        <v>606</v>
      </c>
      <c r="F454" s="122">
        <f>'Stavební rozpočet'!F610</f>
        <v>7</v>
      </c>
      <c r="G454" s="172"/>
      <c r="H454" s="122">
        <f t="shared" si="332"/>
        <v>0</v>
      </c>
      <c r="I454" s="122">
        <f t="shared" si="333"/>
        <v>0</v>
      </c>
      <c r="J454" s="122">
        <f t="shared" si="334"/>
        <v>0</v>
      </c>
      <c r="K454" s="122">
        <f>'Stavební rozpočet'!K610</f>
        <v>0</v>
      </c>
      <c r="L454" s="122">
        <f t="shared" si="335"/>
        <v>0</v>
      </c>
      <c r="M454" s="123" t="s">
        <v>622</v>
      </c>
      <c r="Z454" s="124">
        <f t="shared" si="336"/>
        <v>0</v>
      </c>
      <c r="AB454" s="124">
        <f t="shared" si="337"/>
        <v>0</v>
      </c>
      <c r="AC454" s="124">
        <f t="shared" si="338"/>
        <v>0</v>
      </c>
      <c r="AD454" s="124">
        <f t="shared" si="339"/>
        <v>0</v>
      </c>
      <c r="AE454" s="124">
        <f t="shared" si="340"/>
        <v>0</v>
      </c>
      <c r="AF454" s="124">
        <f t="shared" si="341"/>
        <v>0</v>
      </c>
      <c r="AG454" s="124">
        <f t="shared" si="342"/>
        <v>0</v>
      </c>
      <c r="AH454" s="124">
        <f t="shared" si="343"/>
        <v>0</v>
      </c>
      <c r="AI454" s="113" t="s">
        <v>60</v>
      </c>
      <c r="AJ454" s="122">
        <f t="shared" si="344"/>
        <v>0</v>
      </c>
      <c r="AK454" s="122">
        <f t="shared" si="345"/>
        <v>0</v>
      </c>
      <c r="AL454" s="122">
        <f t="shared" si="346"/>
        <v>0</v>
      </c>
      <c r="AN454" s="124">
        <v>15</v>
      </c>
      <c r="AO454" s="124">
        <f t="shared" si="347"/>
        <v>0</v>
      </c>
      <c r="AP454" s="124">
        <f t="shared" si="348"/>
        <v>0</v>
      </c>
      <c r="AQ454" s="123" t="s">
        <v>79</v>
      </c>
      <c r="AV454" s="124">
        <f t="shared" si="349"/>
        <v>0</v>
      </c>
      <c r="AW454" s="124">
        <f t="shared" si="350"/>
        <v>0</v>
      </c>
      <c r="AX454" s="124">
        <f t="shared" si="351"/>
        <v>0</v>
      </c>
      <c r="AY454" s="125" t="s">
        <v>649</v>
      </c>
      <c r="AZ454" s="125" t="s">
        <v>1536</v>
      </c>
      <c r="BA454" s="113" t="s">
        <v>1542</v>
      </c>
      <c r="BC454" s="124">
        <f t="shared" si="352"/>
        <v>0</v>
      </c>
      <c r="BD454" s="124">
        <f t="shared" si="353"/>
        <v>0</v>
      </c>
      <c r="BE454" s="124">
        <v>0</v>
      </c>
      <c r="BF454" s="124">
        <f t="shared" si="354"/>
        <v>0</v>
      </c>
      <c r="BH454" s="122">
        <f t="shared" si="355"/>
        <v>0</v>
      </c>
      <c r="BI454" s="122">
        <f t="shared" si="356"/>
        <v>0</v>
      </c>
      <c r="BJ454" s="122">
        <f t="shared" si="357"/>
        <v>0</v>
      </c>
    </row>
    <row r="455" spans="1:62" s="174" customFormat="1" ht="12.75">
      <c r="A455" s="121" t="s">
        <v>887</v>
      </c>
      <c r="B455" s="121" t="s">
        <v>60</v>
      </c>
      <c r="C455" s="121" t="s">
        <v>1185</v>
      </c>
      <c r="D455" s="129" t="s">
        <v>1494</v>
      </c>
      <c r="E455" s="121" t="s">
        <v>606</v>
      </c>
      <c r="F455" s="122">
        <f>'Stavební rozpočet'!F611</f>
        <v>2</v>
      </c>
      <c r="G455" s="172"/>
      <c r="H455" s="122">
        <f t="shared" si="332"/>
        <v>0</v>
      </c>
      <c r="I455" s="122">
        <f t="shared" si="333"/>
        <v>0</v>
      </c>
      <c r="J455" s="122">
        <f t="shared" si="334"/>
        <v>0</v>
      </c>
      <c r="K455" s="122">
        <f>'Stavební rozpočet'!K611</f>
        <v>0</v>
      </c>
      <c r="L455" s="122">
        <f t="shared" si="335"/>
        <v>0</v>
      </c>
      <c r="M455" s="123" t="s">
        <v>622</v>
      </c>
      <c r="Z455" s="124">
        <f t="shared" si="336"/>
        <v>0</v>
      </c>
      <c r="AB455" s="124">
        <f t="shared" si="337"/>
        <v>0</v>
      </c>
      <c r="AC455" s="124">
        <f t="shared" si="338"/>
        <v>0</v>
      </c>
      <c r="AD455" s="124">
        <f t="shared" si="339"/>
        <v>0</v>
      </c>
      <c r="AE455" s="124">
        <f t="shared" si="340"/>
        <v>0</v>
      </c>
      <c r="AF455" s="124">
        <f t="shared" si="341"/>
        <v>0</v>
      </c>
      <c r="AG455" s="124">
        <f t="shared" si="342"/>
        <v>0</v>
      </c>
      <c r="AH455" s="124">
        <f t="shared" si="343"/>
        <v>0</v>
      </c>
      <c r="AI455" s="113" t="s">
        <v>60</v>
      </c>
      <c r="AJ455" s="122">
        <f t="shared" si="344"/>
        <v>0</v>
      </c>
      <c r="AK455" s="122">
        <f t="shared" si="345"/>
        <v>0</v>
      </c>
      <c r="AL455" s="122">
        <f t="shared" si="346"/>
        <v>0</v>
      </c>
      <c r="AN455" s="124">
        <v>15</v>
      </c>
      <c r="AO455" s="124">
        <f t="shared" si="347"/>
        <v>0</v>
      </c>
      <c r="AP455" s="124">
        <f t="shared" si="348"/>
        <v>0</v>
      </c>
      <c r="AQ455" s="123" t="s">
        <v>79</v>
      </c>
      <c r="AV455" s="124">
        <f t="shared" si="349"/>
        <v>0</v>
      </c>
      <c r="AW455" s="124">
        <f t="shared" si="350"/>
        <v>0</v>
      </c>
      <c r="AX455" s="124">
        <f t="shared" si="351"/>
        <v>0</v>
      </c>
      <c r="AY455" s="125" t="s">
        <v>649</v>
      </c>
      <c r="AZ455" s="125" t="s">
        <v>1536</v>
      </c>
      <c r="BA455" s="113" t="s">
        <v>1542</v>
      </c>
      <c r="BC455" s="124">
        <f t="shared" si="352"/>
        <v>0</v>
      </c>
      <c r="BD455" s="124">
        <f t="shared" si="353"/>
        <v>0</v>
      </c>
      <c r="BE455" s="124">
        <v>0</v>
      </c>
      <c r="BF455" s="124">
        <f t="shared" si="354"/>
        <v>0</v>
      </c>
      <c r="BH455" s="122">
        <f t="shared" si="355"/>
        <v>0</v>
      </c>
      <c r="BI455" s="122">
        <f t="shared" si="356"/>
        <v>0</v>
      </c>
      <c r="BJ455" s="122">
        <f t="shared" si="357"/>
        <v>0</v>
      </c>
    </row>
    <row r="456" spans="1:62" s="174" customFormat="1" ht="12.75">
      <c r="A456" s="121" t="s">
        <v>888</v>
      </c>
      <c r="B456" s="121" t="s">
        <v>60</v>
      </c>
      <c r="C456" s="121" t="s">
        <v>1186</v>
      </c>
      <c r="D456" s="129" t="s">
        <v>1495</v>
      </c>
      <c r="E456" s="121" t="s">
        <v>606</v>
      </c>
      <c r="F456" s="122">
        <f>'Stavební rozpočet'!F612</f>
        <v>1</v>
      </c>
      <c r="G456" s="172"/>
      <c r="H456" s="122">
        <f t="shared" si="332"/>
        <v>0</v>
      </c>
      <c r="I456" s="122">
        <f t="shared" si="333"/>
        <v>0</v>
      </c>
      <c r="J456" s="122">
        <f t="shared" si="334"/>
        <v>0</v>
      </c>
      <c r="K456" s="122">
        <f>'Stavební rozpočet'!K612</f>
        <v>0</v>
      </c>
      <c r="L456" s="122">
        <f t="shared" si="335"/>
        <v>0</v>
      </c>
      <c r="M456" s="123" t="s">
        <v>622</v>
      </c>
      <c r="Z456" s="124">
        <f t="shared" si="336"/>
        <v>0</v>
      </c>
      <c r="AB456" s="124">
        <f t="shared" si="337"/>
        <v>0</v>
      </c>
      <c r="AC456" s="124">
        <f t="shared" si="338"/>
        <v>0</v>
      </c>
      <c r="AD456" s="124">
        <f t="shared" si="339"/>
        <v>0</v>
      </c>
      <c r="AE456" s="124">
        <f t="shared" si="340"/>
        <v>0</v>
      </c>
      <c r="AF456" s="124">
        <f t="shared" si="341"/>
        <v>0</v>
      </c>
      <c r="AG456" s="124">
        <f t="shared" si="342"/>
        <v>0</v>
      </c>
      <c r="AH456" s="124">
        <f t="shared" si="343"/>
        <v>0</v>
      </c>
      <c r="AI456" s="113" t="s">
        <v>60</v>
      </c>
      <c r="AJ456" s="122">
        <f t="shared" si="344"/>
        <v>0</v>
      </c>
      <c r="AK456" s="122">
        <f t="shared" si="345"/>
        <v>0</v>
      </c>
      <c r="AL456" s="122">
        <f t="shared" si="346"/>
        <v>0</v>
      </c>
      <c r="AN456" s="124">
        <v>15</v>
      </c>
      <c r="AO456" s="124">
        <f t="shared" si="347"/>
        <v>0</v>
      </c>
      <c r="AP456" s="124">
        <f t="shared" si="348"/>
        <v>0</v>
      </c>
      <c r="AQ456" s="123" t="s">
        <v>79</v>
      </c>
      <c r="AV456" s="124">
        <f t="shared" si="349"/>
        <v>0</v>
      </c>
      <c r="AW456" s="124">
        <f t="shared" si="350"/>
        <v>0</v>
      </c>
      <c r="AX456" s="124">
        <f t="shared" si="351"/>
        <v>0</v>
      </c>
      <c r="AY456" s="125" t="s">
        <v>649</v>
      </c>
      <c r="AZ456" s="125" t="s">
        <v>1536</v>
      </c>
      <c r="BA456" s="113" t="s">
        <v>1542</v>
      </c>
      <c r="BC456" s="124">
        <f t="shared" si="352"/>
        <v>0</v>
      </c>
      <c r="BD456" s="124">
        <f t="shared" si="353"/>
        <v>0</v>
      </c>
      <c r="BE456" s="124">
        <v>0</v>
      </c>
      <c r="BF456" s="124">
        <f t="shared" si="354"/>
        <v>0</v>
      </c>
      <c r="BH456" s="122">
        <f t="shared" si="355"/>
        <v>0</v>
      </c>
      <c r="BI456" s="122">
        <f t="shared" si="356"/>
        <v>0</v>
      </c>
      <c r="BJ456" s="122">
        <f t="shared" si="357"/>
        <v>0</v>
      </c>
    </row>
    <row r="457" spans="1:62" s="174" customFormat="1" ht="12.75">
      <c r="A457" s="121" t="s">
        <v>889</v>
      </c>
      <c r="B457" s="121" t="s">
        <v>60</v>
      </c>
      <c r="C457" s="121" t="s">
        <v>1187</v>
      </c>
      <c r="D457" s="129" t="s">
        <v>1496</v>
      </c>
      <c r="E457" s="121" t="s">
        <v>606</v>
      </c>
      <c r="F457" s="122">
        <f>'Stavební rozpočet'!F613</f>
        <v>1</v>
      </c>
      <c r="G457" s="172"/>
      <c r="H457" s="122">
        <f t="shared" si="332"/>
        <v>0</v>
      </c>
      <c r="I457" s="122">
        <f t="shared" si="333"/>
        <v>0</v>
      </c>
      <c r="J457" s="122">
        <f t="shared" si="334"/>
        <v>0</v>
      </c>
      <c r="K457" s="122">
        <f>'Stavební rozpočet'!K613</f>
        <v>0</v>
      </c>
      <c r="L457" s="122">
        <f t="shared" si="335"/>
        <v>0</v>
      </c>
      <c r="M457" s="123" t="s">
        <v>622</v>
      </c>
      <c r="Z457" s="124">
        <f t="shared" si="336"/>
        <v>0</v>
      </c>
      <c r="AB457" s="124">
        <f t="shared" si="337"/>
        <v>0</v>
      </c>
      <c r="AC457" s="124">
        <f t="shared" si="338"/>
        <v>0</v>
      </c>
      <c r="AD457" s="124">
        <f t="shared" si="339"/>
        <v>0</v>
      </c>
      <c r="AE457" s="124">
        <f t="shared" si="340"/>
        <v>0</v>
      </c>
      <c r="AF457" s="124">
        <f t="shared" si="341"/>
        <v>0</v>
      </c>
      <c r="AG457" s="124">
        <f t="shared" si="342"/>
        <v>0</v>
      </c>
      <c r="AH457" s="124">
        <f t="shared" si="343"/>
        <v>0</v>
      </c>
      <c r="AI457" s="113" t="s">
        <v>60</v>
      </c>
      <c r="AJ457" s="122">
        <f t="shared" si="344"/>
        <v>0</v>
      </c>
      <c r="AK457" s="122">
        <f t="shared" si="345"/>
        <v>0</v>
      </c>
      <c r="AL457" s="122">
        <f t="shared" si="346"/>
        <v>0</v>
      </c>
      <c r="AN457" s="124">
        <v>15</v>
      </c>
      <c r="AO457" s="124">
        <f t="shared" si="347"/>
        <v>0</v>
      </c>
      <c r="AP457" s="124">
        <f t="shared" si="348"/>
        <v>0</v>
      </c>
      <c r="AQ457" s="123" t="s">
        <v>79</v>
      </c>
      <c r="AV457" s="124">
        <f t="shared" si="349"/>
        <v>0</v>
      </c>
      <c r="AW457" s="124">
        <f t="shared" si="350"/>
        <v>0</v>
      </c>
      <c r="AX457" s="124">
        <f t="shared" si="351"/>
        <v>0</v>
      </c>
      <c r="AY457" s="125" t="s">
        <v>649</v>
      </c>
      <c r="AZ457" s="125" t="s">
        <v>1536</v>
      </c>
      <c r="BA457" s="113" t="s">
        <v>1542</v>
      </c>
      <c r="BC457" s="124">
        <f t="shared" si="352"/>
        <v>0</v>
      </c>
      <c r="BD457" s="124">
        <f t="shared" si="353"/>
        <v>0</v>
      </c>
      <c r="BE457" s="124">
        <v>0</v>
      </c>
      <c r="BF457" s="124">
        <f t="shared" si="354"/>
        <v>0</v>
      </c>
      <c r="BH457" s="122">
        <f t="shared" si="355"/>
        <v>0</v>
      </c>
      <c r="BI457" s="122">
        <f t="shared" si="356"/>
        <v>0</v>
      </c>
      <c r="BJ457" s="122">
        <f t="shared" si="357"/>
        <v>0</v>
      </c>
    </row>
    <row r="458" spans="1:62" s="174" customFormat="1" ht="12.75">
      <c r="A458" s="121" t="s">
        <v>890</v>
      </c>
      <c r="B458" s="121" t="s">
        <v>60</v>
      </c>
      <c r="C458" s="121" t="s">
        <v>1188</v>
      </c>
      <c r="D458" s="129" t="s">
        <v>1497</v>
      </c>
      <c r="E458" s="121" t="s">
        <v>606</v>
      </c>
      <c r="F458" s="122">
        <f>'Stavební rozpočet'!F614</f>
        <v>1</v>
      </c>
      <c r="G458" s="172"/>
      <c r="H458" s="122">
        <f t="shared" si="332"/>
        <v>0</v>
      </c>
      <c r="I458" s="122">
        <f t="shared" si="333"/>
        <v>0</v>
      </c>
      <c r="J458" s="122">
        <f t="shared" si="334"/>
        <v>0</v>
      </c>
      <c r="K458" s="122">
        <f>'Stavební rozpočet'!K614</f>
        <v>0</v>
      </c>
      <c r="L458" s="122">
        <f t="shared" si="335"/>
        <v>0</v>
      </c>
      <c r="M458" s="123" t="s">
        <v>622</v>
      </c>
      <c r="Z458" s="124">
        <f t="shared" si="336"/>
        <v>0</v>
      </c>
      <c r="AB458" s="124">
        <f t="shared" si="337"/>
        <v>0</v>
      </c>
      <c r="AC458" s="124">
        <f t="shared" si="338"/>
        <v>0</v>
      </c>
      <c r="AD458" s="124">
        <f t="shared" si="339"/>
        <v>0</v>
      </c>
      <c r="AE458" s="124">
        <f t="shared" si="340"/>
        <v>0</v>
      </c>
      <c r="AF458" s="124">
        <f t="shared" si="341"/>
        <v>0</v>
      </c>
      <c r="AG458" s="124">
        <f t="shared" si="342"/>
        <v>0</v>
      </c>
      <c r="AH458" s="124">
        <f t="shared" si="343"/>
        <v>0</v>
      </c>
      <c r="AI458" s="113" t="s">
        <v>60</v>
      </c>
      <c r="AJ458" s="122">
        <f t="shared" si="344"/>
        <v>0</v>
      </c>
      <c r="AK458" s="122">
        <f t="shared" si="345"/>
        <v>0</v>
      </c>
      <c r="AL458" s="122">
        <f t="shared" si="346"/>
        <v>0</v>
      </c>
      <c r="AN458" s="124">
        <v>15</v>
      </c>
      <c r="AO458" s="124">
        <f t="shared" si="347"/>
        <v>0</v>
      </c>
      <c r="AP458" s="124">
        <f t="shared" si="348"/>
        <v>0</v>
      </c>
      <c r="AQ458" s="123" t="s">
        <v>79</v>
      </c>
      <c r="AV458" s="124">
        <f t="shared" si="349"/>
        <v>0</v>
      </c>
      <c r="AW458" s="124">
        <f t="shared" si="350"/>
        <v>0</v>
      </c>
      <c r="AX458" s="124">
        <f t="shared" si="351"/>
        <v>0</v>
      </c>
      <c r="AY458" s="125" t="s">
        <v>649</v>
      </c>
      <c r="AZ458" s="125" t="s">
        <v>1536</v>
      </c>
      <c r="BA458" s="113" t="s">
        <v>1542</v>
      </c>
      <c r="BC458" s="124">
        <f t="shared" si="352"/>
        <v>0</v>
      </c>
      <c r="BD458" s="124">
        <f t="shared" si="353"/>
        <v>0</v>
      </c>
      <c r="BE458" s="124">
        <v>0</v>
      </c>
      <c r="BF458" s="124">
        <f t="shared" si="354"/>
        <v>0</v>
      </c>
      <c r="BH458" s="122">
        <f t="shared" si="355"/>
        <v>0</v>
      </c>
      <c r="BI458" s="122">
        <f t="shared" si="356"/>
        <v>0</v>
      </c>
      <c r="BJ458" s="122">
        <f t="shared" si="357"/>
        <v>0</v>
      </c>
    </row>
    <row r="459" spans="1:62" s="174" customFormat="1" ht="12.75">
      <c r="A459" s="121" t="s">
        <v>891</v>
      </c>
      <c r="B459" s="121" t="s">
        <v>60</v>
      </c>
      <c r="C459" s="121" t="s">
        <v>1189</v>
      </c>
      <c r="D459" s="129" t="s">
        <v>1498</v>
      </c>
      <c r="E459" s="121" t="s">
        <v>606</v>
      </c>
      <c r="F459" s="122">
        <f>'Stavební rozpočet'!F615</f>
        <v>1</v>
      </c>
      <c r="G459" s="172"/>
      <c r="H459" s="122">
        <f t="shared" si="332"/>
        <v>0</v>
      </c>
      <c r="I459" s="122">
        <f t="shared" si="333"/>
        <v>0</v>
      </c>
      <c r="J459" s="122">
        <f t="shared" si="334"/>
        <v>0</v>
      </c>
      <c r="K459" s="122">
        <f>'Stavební rozpočet'!K615</f>
        <v>0</v>
      </c>
      <c r="L459" s="122">
        <f t="shared" si="335"/>
        <v>0</v>
      </c>
      <c r="M459" s="123" t="s">
        <v>622</v>
      </c>
      <c r="Z459" s="124">
        <f t="shared" si="336"/>
        <v>0</v>
      </c>
      <c r="AB459" s="124">
        <f t="shared" si="337"/>
        <v>0</v>
      </c>
      <c r="AC459" s="124">
        <f t="shared" si="338"/>
        <v>0</v>
      </c>
      <c r="AD459" s="124">
        <f t="shared" si="339"/>
        <v>0</v>
      </c>
      <c r="AE459" s="124">
        <f t="shared" si="340"/>
        <v>0</v>
      </c>
      <c r="AF459" s="124">
        <f t="shared" si="341"/>
        <v>0</v>
      </c>
      <c r="AG459" s="124">
        <f t="shared" si="342"/>
        <v>0</v>
      </c>
      <c r="AH459" s="124">
        <f t="shared" si="343"/>
        <v>0</v>
      </c>
      <c r="AI459" s="113" t="s">
        <v>60</v>
      </c>
      <c r="AJ459" s="122">
        <f t="shared" si="344"/>
        <v>0</v>
      </c>
      <c r="AK459" s="122">
        <f t="shared" si="345"/>
        <v>0</v>
      </c>
      <c r="AL459" s="122">
        <f t="shared" si="346"/>
        <v>0</v>
      </c>
      <c r="AN459" s="124">
        <v>15</v>
      </c>
      <c r="AO459" s="124">
        <f t="shared" si="347"/>
        <v>0</v>
      </c>
      <c r="AP459" s="124">
        <f t="shared" si="348"/>
        <v>0</v>
      </c>
      <c r="AQ459" s="123" t="s">
        <v>79</v>
      </c>
      <c r="AV459" s="124">
        <f t="shared" si="349"/>
        <v>0</v>
      </c>
      <c r="AW459" s="124">
        <f t="shared" si="350"/>
        <v>0</v>
      </c>
      <c r="AX459" s="124">
        <f t="shared" si="351"/>
        <v>0</v>
      </c>
      <c r="AY459" s="125" t="s">
        <v>649</v>
      </c>
      <c r="AZ459" s="125" t="s">
        <v>1536</v>
      </c>
      <c r="BA459" s="113" t="s">
        <v>1542</v>
      </c>
      <c r="BC459" s="124">
        <f t="shared" si="352"/>
        <v>0</v>
      </c>
      <c r="BD459" s="124">
        <f t="shared" si="353"/>
        <v>0</v>
      </c>
      <c r="BE459" s="124">
        <v>0</v>
      </c>
      <c r="BF459" s="124">
        <f t="shared" si="354"/>
        <v>0</v>
      </c>
      <c r="BH459" s="122">
        <f t="shared" si="355"/>
        <v>0</v>
      </c>
      <c r="BI459" s="122">
        <f t="shared" si="356"/>
        <v>0</v>
      </c>
      <c r="BJ459" s="122">
        <f t="shared" si="357"/>
        <v>0</v>
      </c>
    </row>
    <row r="460" spans="1:62" s="174" customFormat="1" ht="12.75">
      <c r="A460" s="121" t="s">
        <v>892</v>
      </c>
      <c r="B460" s="121" t="s">
        <v>60</v>
      </c>
      <c r="C460" s="121" t="s">
        <v>1190</v>
      </c>
      <c r="D460" s="129" t="s">
        <v>1499</v>
      </c>
      <c r="E460" s="121" t="s">
        <v>606</v>
      </c>
      <c r="F460" s="122">
        <f>'Stavební rozpočet'!F616</f>
        <v>2</v>
      </c>
      <c r="G460" s="172"/>
      <c r="H460" s="122">
        <f t="shared" si="332"/>
        <v>0</v>
      </c>
      <c r="I460" s="122">
        <f t="shared" si="333"/>
        <v>0</v>
      </c>
      <c r="J460" s="122">
        <f t="shared" si="334"/>
        <v>0</v>
      </c>
      <c r="K460" s="122">
        <f>'Stavební rozpočet'!K616</f>
        <v>0</v>
      </c>
      <c r="L460" s="122">
        <f t="shared" si="335"/>
        <v>0</v>
      </c>
      <c r="M460" s="123" t="s">
        <v>622</v>
      </c>
      <c r="Z460" s="124">
        <f t="shared" si="336"/>
        <v>0</v>
      </c>
      <c r="AB460" s="124">
        <f t="shared" si="337"/>
        <v>0</v>
      </c>
      <c r="AC460" s="124">
        <f t="shared" si="338"/>
        <v>0</v>
      </c>
      <c r="AD460" s="124">
        <f t="shared" si="339"/>
        <v>0</v>
      </c>
      <c r="AE460" s="124">
        <f t="shared" si="340"/>
        <v>0</v>
      </c>
      <c r="AF460" s="124">
        <f t="shared" si="341"/>
        <v>0</v>
      </c>
      <c r="AG460" s="124">
        <f t="shared" si="342"/>
        <v>0</v>
      </c>
      <c r="AH460" s="124">
        <f t="shared" si="343"/>
        <v>0</v>
      </c>
      <c r="AI460" s="113" t="s">
        <v>60</v>
      </c>
      <c r="AJ460" s="122">
        <f t="shared" si="344"/>
        <v>0</v>
      </c>
      <c r="AK460" s="122">
        <f t="shared" si="345"/>
        <v>0</v>
      </c>
      <c r="AL460" s="122">
        <f t="shared" si="346"/>
        <v>0</v>
      </c>
      <c r="AN460" s="124">
        <v>15</v>
      </c>
      <c r="AO460" s="124">
        <f t="shared" si="347"/>
        <v>0</v>
      </c>
      <c r="AP460" s="124">
        <f t="shared" si="348"/>
        <v>0</v>
      </c>
      <c r="AQ460" s="123" t="s">
        <v>79</v>
      </c>
      <c r="AV460" s="124">
        <f t="shared" si="349"/>
        <v>0</v>
      </c>
      <c r="AW460" s="124">
        <f t="shared" si="350"/>
        <v>0</v>
      </c>
      <c r="AX460" s="124">
        <f t="shared" si="351"/>
        <v>0</v>
      </c>
      <c r="AY460" s="125" t="s">
        <v>649</v>
      </c>
      <c r="AZ460" s="125" t="s">
        <v>1536</v>
      </c>
      <c r="BA460" s="113" t="s">
        <v>1542</v>
      </c>
      <c r="BC460" s="124">
        <f t="shared" si="352"/>
        <v>0</v>
      </c>
      <c r="BD460" s="124">
        <f t="shared" si="353"/>
        <v>0</v>
      </c>
      <c r="BE460" s="124">
        <v>0</v>
      </c>
      <c r="BF460" s="124">
        <f t="shared" si="354"/>
        <v>0</v>
      </c>
      <c r="BH460" s="122">
        <f t="shared" si="355"/>
        <v>0</v>
      </c>
      <c r="BI460" s="122">
        <f t="shared" si="356"/>
        <v>0</v>
      </c>
      <c r="BJ460" s="122">
        <f t="shared" si="357"/>
        <v>0</v>
      </c>
    </row>
    <row r="461" spans="1:62" s="174" customFormat="1" ht="12.75">
      <c r="A461" s="121" t="s">
        <v>893</v>
      </c>
      <c r="B461" s="121" t="s">
        <v>60</v>
      </c>
      <c r="C461" s="121" t="s">
        <v>1191</v>
      </c>
      <c r="D461" s="129" t="s">
        <v>1499</v>
      </c>
      <c r="E461" s="121" t="s">
        <v>606</v>
      </c>
      <c r="F461" s="122">
        <f>'Stavební rozpočet'!F617</f>
        <v>2</v>
      </c>
      <c r="G461" s="172"/>
      <c r="H461" s="122">
        <f t="shared" si="332"/>
        <v>0</v>
      </c>
      <c r="I461" s="122">
        <f t="shared" si="333"/>
        <v>0</v>
      </c>
      <c r="J461" s="122">
        <f t="shared" si="334"/>
        <v>0</v>
      </c>
      <c r="K461" s="122">
        <f>'Stavební rozpočet'!K617</f>
        <v>0</v>
      </c>
      <c r="L461" s="122">
        <f t="shared" si="335"/>
        <v>0</v>
      </c>
      <c r="M461" s="123" t="s">
        <v>622</v>
      </c>
      <c r="Z461" s="124">
        <f t="shared" si="336"/>
        <v>0</v>
      </c>
      <c r="AB461" s="124">
        <f t="shared" si="337"/>
        <v>0</v>
      </c>
      <c r="AC461" s="124">
        <f t="shared" si="338"/>
        <v>0</v>
      </c>
      <c r="AD461" s="124">
        <f t="shared" si="339"/>
        <v>0</v>
      </c>
      <c r="AE461" s="124">
        <f t="shared" si="340"/>
        <v>0</v>
      </c>
      <c r="AF461" s="124">
        <f t="shared" si="341"/>
        <v>0</v>
      </c>
      <c r="AG461" s="124">
        <f t="shared" si="342"/>
        <v>0</v>
      </c>
      <c r="AH461" s="124">
        <f t="shared" si="343"/>
        <v>0</v>
      </c>
      <c r="AI461" s="113" t="s">
        <v>60</v>
      </c>
      <c r="AJ461" s="122">
        <f t="shared" si="344"/>
        <v>0</v>
      </c>
      <c r="AK461" s="122">
        <f t="shared" si="345"/>
        <v>0</v>
      </c>
      <c r="AL461" s="122">
        <f t="shared" si="346"/>
        <v>0</v>
      </c>
      <c r="AN461" s="124">
        <v>15</v>
      </c>
      <c r="AO461" s="124">
        <f t="shared" si="347"/>
        <v>0</v>
      </c>
      <c r="AP461" s="124">
        <f t="shared" si="348"/>
        <v>0</v>
      </c>
      <c r="AQ461" s="123" t="s">
        <v>79</v>
      </c>
      <c r="AV461" s="124">
        <f t="shared" si="349"/>
        <v>0</v>
      </c>
      <c r="AW461" s="124">
        <f t="shared" si="350"/>
        <v>0</v>
      </c>
      <c r="AX461" s="124">
        <f t="shared" si="351"/>
        <v>0</v>
      </c>
      <c r="AY461" s="125" t="s">
        <v>649</v>
      </c>
      <c r="AZ461" s="125" t="s">
        <v>1536</v>
      </c>
      <c r="BA461" s="113" t="s">
        <v>1542</v>
      </c>
      <c r="BC461" s="124">
        <f t="shared" si="352"/>
        <v>0</v>
      </c>
      <c r="BD461" s="124">
        <f t="shared" si="353"/>
        <v>0</v>
      </c>
      <c r="BE461" s="124">
        <v>0</v>
      </c>
      <c r="BF461" s="124">
        <f t="shared" si="354"/>
        <v>0</v>
      </c>
      <c r="BH461" s="122">
        <f t="shared" si="355"/>
        <v>0</v>
      </c>
      <c r="BI461" s="122">
        <f t="shared" si="356"/>
        <v>0</v>
      </c>
      <c r="BJ461" s="122">
        <f t="shared" si="357"/>
        <v>0</v>
      </c>
    </row>
    <row r="462" spans="1:62" s="174" customFormat="1" ht="12.75">
      <c r="A462" s="121" t="s">
        <v>894</v>
      </c>
      <c r="B462" s="121" t="s">
        <v>60</v>
      </c>
      <c r="C462" s="121" t="s">
        <v>1192</v>
      </c>
      <c r="D462" s="129" t="s">
        <v>1500</v>
      </c>
      <c r="E462" s="121" t="s">
        <v>606</v>
      </c>
      <c r="F462" s="122">
        <f>'Stavební rozpočet'!F618</f>
        <v>2</v>
      </c>
      <c r="G462" s="172"/>
      <c r="H462" s="122">
        <f t="shared" si="332"/>
        <v>0</v>
      </c>
      <c r="I462" s="122">
        <f t="shared" si="333"/>
        <v>0</v>
      </c>
      <c r="J462" s="122">
        <f t="shared" si="334"/>
        <v>0</v>
      </c>
      <c r="K462" s="122">
        <f>'Stavební rozpočet'!K618</f>
        <v>0</v>
      </c>
      <c r="L462" s="122">
        <f t="shared" si="335"/>
        <v>0</v>
      </c>
      <c r="M462" s="123" t="s">
        <v>622</v>
      </c>
      <c r="Z462" s="124">
        <f t="shared" si="336"/>
        <v>0</v>
      </c>
      <c r="AB462" s="124">
        <f t="shared" si="337"/>
        <v>0</v>
      </c>
      <c r="AC462" s="124">
        <f t="shared" si="338"/>
        <v>0</v>
      </c>
      <c r="AD462" s="124">
        <f t="shared" si="339"/>
        <v>0</v>
      </c>
      <c r="AE462" s="124">
        <f t="shared" si="340"/>
        <v>0</v>
      </c>
      <c r="AF462" s="124">
        <f t="shared" si="341"/>
        <v>0</v>
      </c>
      <c r="AG462" s="124">
        <f t="shared" si="342"/>
        <v>0</v>
      </c>
      <c r="AH462" s="124">
        <f t="shared" si="343"/>
        <v>0</v>
      </c>
      <c r="AI462" s="113" t="s">
        <v>60</v>
      </c>
      <c r="AJ462" s="122">
        <f t="shared" si="344"/>
        <v>0</v>
      </c>
      <c r="AK462" s="122">
        <f t="shared" si="345"/>
        <v>0</v>
      </c>
      <c r="AL462" s="122">
        <f t="shared" si="346"/>
        <v>0</v>
      </c>
      <c r="AN462" s="124">
        <v>15</v>
      </c>
      <c r="AO462" s="124">
        <f t="shared" si="347"/>
        <v>0</v>
      </c>
      <c r="AP462" s="124">
        <f t="shared" si="348"/>
        <v>0</v>
      </c>
      <c r="AQ462" s="123" t="s">
        <v>79</v>
      </c>
      <c r="AV462" s="124">
        <f t="shared" si="349"/>
        <v>0</v>
      </c>
      <c r="AW462" s="124">
        <f t="shared" si="350"/>
        <v>0</v>
      </c>
      <c r="AX462" s="124">
        <f t="shared" si="351"/>
        <v>0</v>
      </c>
      <c r="AY462" s="125" t="s">
        <v>649</v>
      </c>
      <c r="AZ462" s="125" t="s">
        <v>1536</v>
      </c>
      <c r="BA462" s="113" t="s">
        <v>1542</v>
      </c>
      <c r="BC462" s="124">
        <f t="shared" si="352"/>
        <v>0</v>
      </c>
      <c r="BD462" s="124">
        <f t="shared" si="353"/>
        <v>0</v>
      </c>
      <c r="BE462" s="124">
        <v>0</v>
      </c>
      <c r="BF462" s="124">
        <f t="shared" si="354"/>
        <v>0</v>
      </c>
      <c r="BH462" s="122">
        <f t="shared" si="355"/>
        <v>0</v>
      </c>
      <c r="BI462" s="122">
        <f t="shared" si="356"/>
        <v>0</v>
      </c>
      <c r="BJ462" s="122">
        <f t="shared" si="357"/>
        <v>0</v>
      </c>
    </row>
    <row r="463" spans="1:62" s="174" customFormat="1" ht="12.75">
      <c r="A463" s="121" t="s">
        <v>895</v>
      </c>
      <c r="B463" s="121" t="s">
        <v>60</v>
      </c>
      <c r="C463" s="121" t="s">
        <v>1193</v>
      </c>
      <c r="D463" s="129" t="s">
        <v>1500</v>
      </c>
      <c r="E463" s="121" t="s">
        <v>606</v>
      </c>
      <c r="F463" s="122">
        <f>'Stavební rozpočet'!F619</f>
        <v>2</v>
      </c>
      <c r="G463" s="172"/>
      <c r="H463" s="122">
        <f t="shared" si="332"/>
        <v>0</v>
      </c>
      <c r="I463" s="122">
        <f t="shared" si="333"/>
        <v>0</v>
      </c>
      <c r="J463" s="122">
        <f t="shared" si="334"/>
        <v>0</v>
      </c>
      <c r="K463" s="122">
        <f>'Stavební rozpočet'!K619</f>
        <v>0</v>
      </c>
      <c r="L463" s="122">
        <f t="shared" si="335"/>
        <v>0</v>
      </c>
      <c r="M463" s="123" t="s">
        <v>622</v>
      </c>
      <c r="Z463" s="124">
        <f t="shared" si="336"/>
        <v>0</v>
      </c>
      <c r="AB463" s="124">
        <f t="shared" si="337"/>
        <v>0</v>
      </c>
      <c r="AC463" s="124">
        <f t="shared" si="338"/>
        <v>0</v>
      </c>
      <c r="AD463" s="124">
        <f t="shared" si="339"/>
        <v>0</v>
      </c>
      <c r="AE463" s="124">
        <f t="shared" si="340"/>
        <v>0</v>
      </c>
      <c r="AF463" s="124">
        <f t="shared" si="341"/>
        <v>0</v>
      </c>
      <c r="AG463" s="124">
        <f t="shared" si="342"/>
        <v>0</v>
      </c>
      <c r="AH463" s="124">
        <f t="shared" si="343"/>
        <v>0</v>
      </c>
      <c r="AI463" s="113" t="s">
        <v>60</v>
      </c>
      <c r="AJ463" s="122">
        <f t="shared" si="344"/>
        <v>0</v>
      </c>
      <c r="AK463" s="122">
        <f t="shared" si="345"/>
        <v>0</v>
      </c>
      <c r="AL463" s="122">
        <f t="shared" si="346"/>
        <v>0</v>
      </c>
      <c r="AN463" s="124">
        <v>15</v>
      </c>
      <c r="AO463" s="124">
        <f t="shared" si="347"/>
        <v>0</v>
      </c>
      <c r="AP463" s="124">
        <f t="shared" si="348"/>
        <v>0</v>
      </c>
      <c r="AQ463" s="123" t="s">
        <v>79</v>
      </c>
      <c r="AV463" s="124">
        <f t="shared" si="349"/>
        <v>0</v>
      </c>
      <c r="AW463" s="124">
        <f t="shared" si="350"/>
        <v>0</v>
      </c>
      <c r="AX463" s="124">
        <f t="shared" si="351"/>
        <v>0</v>
      </c>
      <c r="AY463" s="125" t="s">
        <v>649</v>
      </c>
      <c r="AZ463" s="125" t="s">
        <v>1536</v>
      </c>
      <c r="BA463" s="113" t="s">
        <v>1542</v>
      </c>
      <c r="BC463" s="124">
        <f t="shared" si="352"/>
        <v>0</v>
      </c>
      <c r="BD463" s="124">
        <f t="shared" si="353"/>
        <v>0</v>
      </c>
      <c r="BE463" s="124">
        <v>0</v>
      </c>
      <c r="BF463" s="124">
        <f t="shared" si="354"/>
        <v>0</v>
      </c>
      <c r="BH463" s="122">
        <f t="shared" si="355"/>
        <v>0</v>
      </c>
      <c r="BI463" s="122">
        <f t="shared" si="356"/>
        <v>0</v>
      </c>
      <c r="BJ463" s="122">
        <f t="shared" si="357"/>
        <v>0</v>
      </c>
    </row>
    <row r="464" spans="1:62" s="174" customFormat="1" ht="12.75">
      <c r="A464" s="121" t="s">
        <v>896</v>
      </c>
      <c r="B464" s="121" t="s">
        <v>60</v>
      </c>
      <c r="C464" s="121" t="s">
        <v>1194</v>
      </c>
      <c r="D464" s="129" t="s">
        <v>1501</v>
      </c>
      <c r="E464" s="121" t="s">
        <v>606</v>
      </c>
      <c r="F464" s="122">
        <f>'Stavební rozpočet'!F620</f>
        <v>3</v>
      </c>
      <c r="G464" s="172"/>
      <c r="H464" s="122">
        <f t="shared" si="332"/>
        <v>0</v>
      </c>
      <c r="I464" s="122">
        <f t="shared" si="333"/>
        <v>0</v>
      </c>
      <c r="J464" s="122">
        <f t="shared" si="334"/>
        <v>0</v>
      </c>
      <c r="K464" s="122">
        <f>'Stavební rozpočet'!K620</f>
        <v>0</v>
      </c>
      <c r="L464" s="122">
        <f t="shared" si="335"/>
        <v>0</v>
      </c>
      <c r="M464" s="123" t="s">
        <v>622</v>
      </c>
      <c r="Z464" s="124">
        <f t="shared" si="336"/>
        <v>0</v>
      </c>
      <c r="AB464" s="124">
        <f t="shared" si="337"/>
        <v>0</v>
      </c>
      <c r="AC464" s="124">
        <f t="shared" si="338"/>
        <v>0</v>
      </c>
      <c r="AD464" s="124">
        <f t="shared" si="339"/>
        <v>0</v>
      </c>
      <c r="AE464" s="124">
        <f t="shared" si="340"/>
        <v>0</v>
      </c>
      <c r="AF464" s="124">
        <f t="shared" si="341"/>
        <v>0</v>
      </c>
      <c r="AG464" s="124">
        <f t="shared" si="342"/>
        <v>0</v>
      </c>
      <c r="AH464" s="124">
        <f t="shared" si="343"/>
        <v>0</v>
      </c>
      <c r="AI464" s="113" t="s">
        <v>60</v>
      </c>
      <c r="AJ464" s="122">
        <f t="shared" si="344"/>
        <v>0</v>
      </c>
      <c r="AK464" s="122">
        <f t="shared" si="345"/>
        <v>0</v>
      </c>
      <c r="AL464" s="122">
        <f t="shared" si="346"/>
        <v>0</v>
      </c>
      <c r="AN464" s="124">
        <v>15</v>
      </c>
      <c r="AO464" s="124">
        <f t="shared" si="347"/>
        <v>0</v>
      </c>
      <c r="AP464" s="124">
        <f t="shared" si="348"/>
        <v>0</v>
      </c>
      <c r="AQ464" s="123" t="s">
        <v>79</v>
      </c>
      <c r="AV464" s="124">
        <f t="shared" si="349"/>
        <v>0</v>
      </c>
      <c r="AW464" s="124">
        <f t="shared" si="350"/>
        <v>0</v>
      </c>
      <c r="AX464" s="124">
        <f t="shared" si="351"/>
        <v>0</v>
      </c>
      <c r="AY464" s="125" t="s">
        <v>649</v>
      </c>
      <c r="AZ464" s="125" t="s">
        <v>1536</v>
      </c>
      <c r="BA464" s="113" t="s">
        <v>1542</v>
      </c>
      <c r="BC464" s="124">
        <f t="shared" si="352"/>
        <v>0</v>
      </c>
      <c r="BD464" s="124">
        <f t="shared" si="353"/>
        <v>0</v>
      </c>
      <c r="BE464" s="124">
        <v>0</v>
      </c>
      <c r="BF464" s="124">
        <f t="shared" si="354"/>
        <v>0</v>
      </c>
      <c r="BH464" s="122">
        <f t="shared" si="355"/>
        <v>0</v>
      </c>
      <c r="BI464" s="122">
        <f t="shared" si="356"/>
        <v>0</v>
      </c>
      <c r="BJ464" s="122">
        <f t="shared" si="357"/>
        <v>0</v>
      </c>
    </row>
    <row r="465" spans="1:62" s="174" customFormat="1" ht="12.75">
      <c r="A465" s="121" t="s">
        <v>897</v>
      </c>
      <c r="B465" s="121" t="s">
        <v>60</v>
      </c>
      <c r="C465" s="121" t="s">
        <v>1195</v>
      </c>
      <c r="D465" s="129" t="s">
        <v>1501</v>
      </c>
      <c r="E465" s="121" t="s">
        <v>606</v>
      </c>
      <c r="F465" s="122">
        <f>'Stavební rozpočet'!F621</f>
        <v>3</v>
      </c>
      <c r="G465" s="172"/>
      <c r="H465" s="122">
        <f t="shared" si="332"/>
        <v>0</v>
      </c>
      <c r="I465" s="122">
        <f t="shared" si="333"/>
        <v>0</v>
      </c>
      <c r="J465" s="122">
        <f t="shared" si="334"/>
        <v>0</v>
      </c>
      <c r="K465" s="122">
        <f>'Stavební rozpočet'!K621</f>
        <v>0</v>
      </c>
      <c r="L465" s="122">
        <f t="shared" si="335"/>
        <v>0</v>
      </c>
      <c r="M465" s="123" t="s">
        <v>622</v>
      </c>
      <c r="Z465" s="124">
        <f t="shared" si="336"/>
        <v>0</v>
      </c>
      <c r="AB465" s="124">
        <f t="shared" si="337"/>
        <v>0</v>
      </c>
      <c r="AC465" s="124">
        <f t="shared" si="338"/>
        <v>0</v>
      </c>
      <c r="AD465" s="124">
        <f t="shared" si="339"/>
        <v>0</v>
      </c>
      <c r="AE465" s="124">
        <f t="shared" si="340"/>
        <v>0</v>
      </c>
      <c r="AF465" s="124">
        <f t="shared" si="341"/>
        <v>0</v>
      </c>
      <c r="AG465" s="124">
        <f t="shared" si="342"/>
        <v>0</v>
      </c>
      <c r="AH465" s="124">
        <f t="shared" si="343"/>
        <v>0</v>
      </c>
      <c r="AI465" s="113" t="s">
        <v>60</v>
      </c>
      <c r="AJ465" s="122">
        <f t="shared" si="344"/>
        <v>0</v>
      </c>
      <c r="AK465" s="122">
        <f t="shared" si="345"/>
        <v>0</v>
      </c>
      <c r="AL465" s="122">
        <f t="shared" si="346"/>
        <v>0</v>
      </c>
      <c r="AN465" s="124">
        <v>15</v>
      </c>
      <c r="AO465" s="124">
        <f t="shared" si="347"/>
        <v>0</v>
      </c>
      <c r="AP465" s="124">
        <f t="shared" si="348"/>
        <v>0</v>
      </c>
      <c r="AQ465" s="123" t="s">
        <v>79</v>
      </c>
      <c r="AV465" s="124">
        <f t="shared" si="349"/>
        <v>0</v>
      </c>
      <c r="AW465" s="124">
        <f t="shared" si="350"/>
        <v>0</v>
      </c>
      <c r="AX465" s="124">
        <f t="shared" si="351"/>
        <v>0</v>
      </c>
      <c r="AY465" s="125" t="s">
        <v>649</v>
      </c>
      <c r="AZ465" s="125" t="s">
        <v>1536</v>
      </c>
      <c r="BA465" s="113" t="s">
        <v>1542</v>
      </c>
      <c r="BC465" s="124">
        <f t="shared" si="352"/>
        <v>0</v>
      </c>
      <c r="BD465" s="124">
        <f t="shared" si="353"/>
        <v>0</v>
      </c>
      <c r="BE465" s="124">
        <v>0</v>
      </c>
      <c r="BF465" s="124">
        <f t="shared" si="354"/>
        <v>0</v>
      </c>
      <c r="BH465" s="122">
        <f t="shared" si="355"/>
        <v>0</v>
      </c>
      <c r="BI465" s="122">
        <f t="shared" si="356"/>
        <v>0</v>
      </c>
      <c r="BJ465" s="122">
        <f t="shared" si="357"/>
        <v>0</v>
      </c>
    </row>
    <row r="466" spans="1:62" s="174" customFormat="1" ht="12.75">
      <c r="A466" s="121" t="s">
        <v>898</v>
      </c>
      <c r="B466" s="121" t="s">
        <v>60</v>
      </c>
      <c r="C466" s="121" t="s">
        <v>1196</v>
      </c>
      <c r="D466" s="129" t="s">
        <v>1502</v>
      </c>
      <c r="E466" s="121" t="s">
        <v>606</v>
      </c>
      <c r="F466" s="122">
        <f>'Stavební rozpočet'!F622</f>
        <v>3</v>
      </c>
      <c r="G466" s="172"/>
      <c r="H466" s="122">
        <f t="shared" si="332"/>
        <v>0</v>
      </c>
      <c r="I466" s="122">
        <f t="shared" si="333"/>
        <v>0</v>
      </c>
      <c r="J466" s="122">
        <f t="shared" si="334"/>
        <v>0</v>
      </c>
      <c r="K466" s="122">
        <f>'Stavební rozpočet'!K622</f>
        <v>0</v>
      </c>
      <c r="L466" s="122">
        <f t="shared" si="335"/>
        <v>0</v>
      </c>
      <c r="M466" s="123" t="s">
        <v>622</v>
      </c>
      <c r="Z466" s="124">
        <f t="shared" si="336"/>
        <v>0</v>
      </c>
      <c r="AB466" s="124">
        <f t="shared" si="337"/>
        <v>0</v>
      </c>
      <c r="AC466" s="124">
        <f t="shared" si="338"/>
        <v>0</v>
      </c>
      <c r="AD466" s="124">
        <f t="shared" si="339"/>
        <v>0</v>
      </c>
      <c r="AE466" s="124">
        <f t="shared" si="340"/>
        <v>0</v>
      </c>
      <c r="AF466" s="124">
        <f t="shared" si="341"/>
        <v>0</v>
      </c>
      <c r="AG466" s="124">
        <f t="shared" si="342"/>
        <v>0</v>
      </c>
      <c r="AH466" s="124">
        <f t="shared" si="343"/>
        <v>0</v>
      </c>
      <c r="AI466" s="113" t="s">
        <v>60</v>
      </c>
      <c r="AJ466" s="122">
        <f t="shared" si="344"/>
        <v>0</v>
      </c>
      <c r="AK466" s="122">
        <f t="shared" si="345"/>
        <v>0</v>
      </c>
      <c r="AL466" s="122">
        <f t="shared" si="346"/>
        <v>0</v>
      </c>
      <c r="AN466" s="124">
        <v>15</v>
      </c>
      <c r="AO466" s="124">
        <f t="shared" si="347"/>
        <v>0</v>
      </c>
      <c r="AP466" s="124">
        <f t="shared" si="348"/>
        <v>0</v>
      </c>
      <c r="AQ466" s="123" t="s">
        <v>79</v>
      </c>
      <c r="AV466" s="124">
        <f t="shared" si="349"/>
        <v>0</v>
      </c>
      <c r="AW466" s="124">
        <f t="shared" si="350"/>
        <v>0</v>
      </c>
      <c r="AX466" s="124">
        <f t="shared" si="351"/>
        <v>0</v>
      </c>
      <c r="AY466" s="125" t="s">
        <v>649</v>
      </c>
      <c r="AZ466" s="125" t="s">
        <v>1536</v>
      </c>
      <c r="BA466" s="113" t="s">
        <v>1542</v>
      </c>
      <c r="BC466" s="124">
        <f t="shared" si="352"/>
        <v>0</v>
      </c>
      <c r="BD466" s="124">
        <f t="shared" si="353"/>
        <v>0</v>
      </c>
      <c r="BE466" s="124">
        <v>0</v>
      </c>
      <c r="BF466" s="124">
        <f t="shared" si="354"/>
        <v>0</v>
      </c>
      <c r="BH466" s="122">
        <f t="shared" si="355"/>
        <v>0</v>
      </c>
      <c r="BI466" s="122">
        <f t="shared" si="356"/>
        <v>0</v>
      </c>
      <c r="BJ466" s="122">
        <f t="shared" si="357"/>
        <v>0</v>
      </c>
    </row>
    <row r="467" spans="1:62" s="174" customFormat="1" ht="12.75">
      <c r="A467" s="121" t="s">
        <v>899</v>
      </c>
      <c r="B467" s="121" t="s">
        <v>60</v>
      </c>
      <c r="C467" s="121" t="s">
        <v>1197</v>
      </c>
      <c r="D467" s="129" t="s">
        <v>1502</v>
      </c>
      <c r="E467" s="121" t="s">
        <v>606</v>
      </c>
      <c r="F467" s="122">
        <f>'Stavební rozpočet'!F623</f>
        <v>3</v>
      </c>
      <c r="G467" s="172"/>
      <c r="H467" s="122">
        <f t="shared" si="332"/>
        <v>0</v>
      </c>
      <c r="I467" s="122">
        <f t="shared" si="333"/>
        <v>0</v>
      </c>
      <c r="J467" s="122">
        <f t="shared" si="334"/>
        <v>0</v>
      </c>
      <c r="K467" s="122">
        <f>'Stavební rozpočet'!K623</f>
        <v>0</v>
      </c>
      <c r="L467" s="122">
        <f t="shared" si="335"/>
        <v>0</v>
      </c>
      <c r="M467" s="123" t="s">
        <v>622</v>
      </c>
      <c r="Z467" s="124">
        <f t="shared" si="336"/>
        <v>0</v>
      </c>
      <c r="AB467" s="124">
        <f t="shared" si="337"/>
        <v>0</v>
      </c>
      <c r="AC467" s="124">
        <f t="shared" si="338"/>
        <v>0</v>
      </c>
      <c r="AD467" s="124">
        <f t="shared" si="339"/>
        <v>0</v>
      </c>
      <c r="AE467" s="124">
        <f t="shared" si="340"/>
        <v>0</v>
      </c>
      <c r="AF467" s="124">
        <f t="shared" si="341"/>
        <v>0</v>
      </c>
      <c r="AG467" s="124">
        <f t="shared" si="342"/>
        <v>0</v>
      </c>
      <c r="AH467" s="124">
        <f t="shared" si="343"/>
        <v>0</v>
      </c>
      <c r="AI467" s="113" t="s">
        <v>60</v>
      </c>
      <c r="AJ467" s="122">
        <f t="shared" si="344"/>
        <v>0</v>
      </c>
      <c r="AK467" s="122">
        <f t="shared" si="345"/>
        <v>0</v>
      </c>
      <c r="AL467" s="122">
        <f t="shared" si="346"/>
        <v>0</v>
      </c>
      <c r="AN467" s="124">
        <v>15</v>
      </c>
      <c r="AO467" s="124">
        <f t="shared" si="347"/>
        <v>0</v>
      </c>
      <c r="AP467" s="124">
        <f t="shared" si="348"/>
        <v>0</v>
      </c>
      <c r="AQ467" s="123" t="s">
        <v>79</v>
      </c>
      <c r="AV467" s="124">
        <f t="shared" si="349"/>
        <v>0</v>
      </c>
      <c r="AW467" s="124">
        <f t="shared" si="350"/>
        <v>0</v>
      </c>
      <c r="AX467" s="124">
        <f t="shared" si="351"/>
        <v>0</v>
      </c>
      <c r="AY467" s="125" t="s">
        <v>649</v>
      </c>
      <c r="AZ467" s="125" t="s">
        <v>1536</v>
      </c>
      <c r="BA467" s="113" t="s">
        <v>1542</v>
      </c>
      <c r="BC467" s="124">
        <f t="shared" si="352"/>
        <v>0</v>
      </c>
      <c r="BD467" s="124">
        <f t="shared" si="353"/>
        <v>0</v>
      </c>
      <c r="BE467" s="124">
        <v>0</v>
      </c>
      <c r="BF467" s="124">
        <f t="shared" si="354"/>
        <v>0</v>
      </c>
      <c r="BH467" s="122">
        <f t="shared" si="355"/>
        <v>0</v>
      </c>
      <c r="BI467" s="122">
        <f t="shared" si="356"/>
        <v>0</v>
      </c>
      <c r="BJ467" s="122">
        <f t="shared" si="357"/>
        <v>0</v>
      </c>
    </row>
    <row r="468" spans="1:62" s="174" customFormat="1" ht="12.75">
      <c r="A468" s="121" t="s">
        <v>900</v>
      </c>
      <c r="B468" s="121" t="s">
        <v>60</v>
      </c>
      <c r="C468" s="121" t="s">
        <v>1198</v>
      </c>
      <c r="D468" s="129" t="s">
        <v>1503</v>
      </c>
      <c r="E468" s="121" t="s">
        <v>606</v>
      </c>
      <c r="F468" s="122">
        <f>'Stavební rozpočet'!F624</f>
        <v>2</v>
      </c>
      <c r="G468" s="172"/>
      <c r="H468" s="122">
        <f t="shared" si="332"/>
        <v>0</v>
      </c>
      <c r="I468" s="122">
        <f t="shared" si="333"/>
        <v>0</v>
      </c>
      <c r="J468" s="122">
        <f t="shared" si="334"/>
        <v>0</v>
      </c>
      <c r="K468" s="122">
        <f>'Stavební rozpočet'!K624</f>
        <v>0</v>
      </c>
      <c r="L468" s="122">
        <f t="shared" si="335"/>
        <v>0</v>
      </c>
      <c r="M468" s="123" t="s">
        <v>622</v>
      </c>
      <c r="Z468" s="124">
        <f t="shared" si="336"/>
        <v>0</v>
      </c>
      <c r="AB468" s="124">
        <f t="shared" si="337"/>
        <v>0</v>
      </c>
      <c r="AC468" s="124">
        <f t="shared" si="338"/>
        <v>0</v>
      </c>
      <c r="AD468" s="124">
        <f t="shared" si="339"/>
        <v>0</v>
      </c>
      <c r="AE468" s="124">
        <f t="shared" si="340"/>
        <v>0</v>
      </c>
      <c r="AF468" s="124">
        <f t="shared" si="341"/>
        <v>0</v>
      </c>
      <c r="AG468" s="124">
        <f t="shared" si="342"/>
        <v>0</v>
      </c>
      <c r="AH468" s="124">
        <f t="shared" si="343"/>
        <v>0</v>
      </c>
      <c r="AI468" s="113" t="s">
        <v>60</v>
      </c>
      <c r="AJ468" s="122">
        <f t="shared" si="344"/>
        <v>0</v>
      </c>
      <c r="AK468" s="122">
        <f t="shared" si="345"/>
        <v>0</v>
      </c>
      <c r="AL468" s="122">
        <f t="shared" si="346"/>
        <v>0</v>
      </c>
      <c r="AN468" s="124">
        <v>15</v>
      </c>
      <c r="AO468" s="124">
        <f t="shared" si="347"/>
        <v>0</v>
      </c>
      <c r="AP468" s="124">
        <f t="shared" si="348"/>
        <v>0</v>
      </c>
      <c r="AQ468" s="123" t="s">
        <v>79</v>
      </c>
      <c r="AV468" s="124">
        <f t="shared" si="349"/>
        <v>0</v>
      </c>
      <c r="AW468" s="124">
        <f t="shared" si="350"/>
        <v>0</v>
      </c>
      <c r="AX468" s="124">
        <f t="shared" si="351"/>
        <v>0</v>
      </c>
      <c r="AY468" s="125" t="s">
        <v>649</v>
      </c>
      <c r="AZ468" s="125" t="s">
        <v>1536</v>
      </c>
      <c r="BA468" s="113" t="s">
        <v>1542</v>
      </c>
      <c r="BC468" s="124">
        <f t="shared" si="352"/>
        <v>0</v>
      </c>
      <c r="BD468" s="124">
        <f t="shared" si="353"/>
        <v>0</v>
      </c>
      <c r="BE468" s="124">
        <v>0</v>
      </c>
      <c r="BF468" s="124">
        <f t="shared" si="354"/>
        <v>0</v>
      </c>
      <c r="BH468" s="122">
        <f t="shared" si="355"/>
        <v>0</v>
      </c>
      <c r="BI468" s="122">
        <f t="shared" si="356"/>
        <v>0</v>
      </c>
      <c r="BJ468" s="122">
        <f t="shared" si="357"/>
        <v>0</v>
      </c>
    </row>
    <row r="469" spans="1:62" s="174" customFormat="1" ht="12.75">
      <c r="A469" s="121" t="s">
        <v>901</v>
      </c>
      <c r="B469" s="121" t="s">
        <v>60</v>
      </c>
      <c r="C469" s="121" t="s">
        <v>1199</v>
      </c>
      <c r="D469" s="129" t="s">
        <v>1503</v>
      </c>
      <c r="E469" s="121" t="s">
        <v>606</v>
      </c>
      <c r="F469" s="122">
        <f>'Stavební rozpočet'!F625</f>
        <v>2</v>
      </c>
      <c r="G469" s="172"/>
      <c r="H469" s="122">
        <f t="shared" si="332"/>
        <v>0</v>
      </c>
      <c r="I469" s="122">
        <f t="shared" si="333"/>
        <v>0</v>
      </c>
      <c r="J469" s="122">
        <f t="shared" si="334"/>
        <v>0</v>
      </c>
      <c r="K469" s="122">
        <f>'Stavební rozpočet'!K625</f>
        <v>0</v>
      </c>
      <c r="L469" s="122">
        <f t="shared" si="335"/>
        <v>0</v>
      </c>
      <c r="M469" s="123" t="s">
        <v>622</v>
      </c>
      <c r="Z469" s="124">
        <f t="shared" si="336"/>
        <v>0</v>
      </c>
      <c r="AB469" s="124">
        <f t="shared" si="337"/>
        <v>0</v>
      </c>
      <c r="AC469" s="124">
        <f t="shared" si="338"/>
        <v>0</v>
      </c>
      <c r="AD469" s="124">
        <f t="shared" si="339"/>
        <v>0</v>
      </c>
      <c r="AE469" s="124">
        <f t="shared" si="340"/>
        <v>0</v>
      </c>
      <c r="AF469" s="124">
        <f t="shared" si="341"/>
        <v>0</v>
      </c>
      <c r="AG469" s="124">
        <f t="shared" si="342"/>
        <v>0</v>
      </c>
      <c r="AH469" s="124">
        <f t="shared" si="343"/>
        <v>0</v>
      </c>
      <c r="AI469" s="113" t="s">
        <v>60</v>
      </c>
      <c r="AJ469" s="122">
        <f t="shared" si="344"/>
        <v>0</v>
      </c>
      <c r="AK469" s="122">
        <f t="shared" si="345"/>
        <v>0</v>
      </c>
      <c r="AL469" s="122">
        <f t="shared" si="346"/>
        <v>0</v>
      </c>
      <c r="AN469" s="124">
        <v>15</v>
      </c>
      <c r="AO469" s="124">
        <f t="shared" si="347"/>
        <v>0</v>
      </c>
      <c r="AP469" s="124">
        <f t="shared" si="348"/>
        <v>0</v>
      </c>
      <c r="AQ469" s="123" t="s">
        <v>79</v>
      </c>
      <c r="AV469" s="124">
        <f t="shared" si="349"/>
        <v>0</v>
      </c>
      <c r="AW469" s="124">
        <f t="shared" si="350"/>
        <v>0</v>
      </c>
      <c r="AX469" s="124">
        <f t="shared" si="351"/>
        <v>0</v>
      </c>
      <c r="AY469" s="125" t="s">
        <v>649</v>
      </c>
      <c r="AZ469" s="125" t="s">
        <v>1536</v>
      </c>
      <c r="BA469" s="113" t="s">
        <v>1542</v>
      </c>
      <c r="BC469" s="124">
        <f t="shared" si="352"/>
        <v>0</v>
      </c>
      <c r="BD469" s="124">
        <f t="shared" si="353"/>
        <v>0</v>
      </c>
      <c r="BE469" s="124">
        <v>0</v>
      </c>
      <c r="BF469" s="124">
        <f t="shared" si="354"/>
        <v>0</v>
      </c>
      <c r="BH469" s="122">
        <f t="shared" si="355"/>
        <v>0</v>
      </c>
      <c r="BI469" s="122">
        <f t="shared" si="356"/>
        <v>0</v>
      </c>
      <c r="BJ469" s="122">
        <f t="shared" si="357"/>
        <v>0</v>
      </c>
    </row>
    <row r="470" spans="1:62" s="174" customFormat="1" ht="12.75">
      <c r="A470" s="121" t="s">
        <v>902</v>
      </c>
      <c r="B470" s="121" t="s">
        <v>60</v>
      </c>
      <c r="C470" s="121" t="s">
        <v>1200</v>
      </c>
      <c r="D470" s="129" t="s">
        <v>1504</v>
      </c>
      <c r="E470" s="121" t="s">
        <v>606</v>
      </c>
      <c r="F470" s="122">
        <f>'Stavební rozpočet'!F626</f>
        <v>9</v>
      </c>
      <c r="G470" s="172"/>
      <c r="H470" s="122">
        <f t="shared" si="332"/>
        <v>0</v>
      </c>
      <c r="I470" s="122">
        <f t="shared" si="333"/>
        <v>0</v>
      </c>
      <c r="J470" s="122">
        <f t="shared" si="334"/>
        <v>0</v>
      </c>
      <c r="K470" s="122">
        <f>'Stavební rozpočet'!K626</f>
        <v>0</v>
      </c>
      <c r="L470" s="122">
        <f t="shared" si="335"/>
        <v>0</v>
      </c>
      <c r="M470" s="123" t="s">
        <v>622</v>
      </c>
      <c r="Z470" s="124">
        <f t="shared" si="336"/>
        <v>0</v>
      </c>
      <c r="AB470" s="124">
        <f t="shared" si="337"/>
        <v>0</v>
      </c>
      <c r="AC470" s="124">
        <f t="shared" si="338"/>
        <v>0</v>
      </c>
      <c r="AD470" s="124">
        <f t="shared" si="339"/>
        <v>0</v>
      </c>
      <c r="AE470" s="124">
        <f t="shared" si="340"/>
        <v>0</v>
      </c>
      <c r="AF470" s="124">
        <f t="shared" si="341"/>
        <v>0</v>
      </c>
      <c r="AG470" s="124">
        <f t="shared" si="342"/>
        <v>0</v>
      </c>
      <c r="AH470" s="124">
        <f t="shared" si="343"/>
        <v>0</v>
      </c>
      <c r="AI470" s="113" t="s">
        <v>60</v>
      </c>
      <c r="AJ470" s="122">
        <f t="shared" si="344"/>
        <v>0</v>
      </c>
      <c r="AK470" s="122">
        <f t="shared" si="345"/>
        <v>0</v>
      </c>
      <c r="AL470" s="122">
        <f t="shared" si="346"/>
        <v>0</v>
      </c>
      <c r="AN470" s="124">
        <v>15</v>
      </c>
      <c r="AO470" s="124">
        <f t="shared" si="347"/>
        <v>0</v>
      </c>
      <c r="AP470" s="124">
        <f t="shared" si="348"/>
        <v>0</v>
      </c>
      <c r="AQ470" s="123" t="s">
        <v>79</v>
      </c>
      <c r="AV470" s="124">
        <f t="shared" si="349"/>
        <v>0</v>
      </c>
      <c r="AW470" s="124">
        <f t="shared" si="350"/>
        <v>0</v>
      </c>
      <c r="AX470" s="124">
        <f t="shared" si="351"/>
        <v>0</v>
      </c>
      <c r="AY470" s="125" t="s">
        <v>649</v>
      </c>
      <c r="AZ470" s="125" t="s">
        <v>1536</v>
      </c>
      <c r="BA470" s="113" t="s">
        <v>1542</v>
      </c>
      <c r="BC470" s="124">
        <f t="shared" si="352"/>
        <v>0</v>
      </c>
      <c r="BD470" s="124">
        <f t="shared" si="353"/>
        <v>0</v>
      </c>
      <c r="BE470" s="124">
        <v>0</v>
      </c>
      <c r="BF470" s="124">
        <f t="shared" si="354"/>
        <v>0</v>
      </c>
      <c r="BH470" s="122">
        <f t="shared" si="355"/>
        <v>0</v>
      </c>
      <c r="BI470" s="122">
        <f t="shared" si="356"/>
        <v>0</v>
      </c>
      <c r="BJ470" s="122">
        <f t="shared" si="357"/>
        <v>0</v>
      </c>
    </row>
    <row r="471" spans="1:62" s="174" customFormat="1" ht="12.75">
      <c r="A471" s="121" t="s">
        <v>903</v>
      </c>
      <c r="B471" s="121" t="s">
        <v>60</v>
      </c>
      <c r="C471" s="121" t="s">
        <v>1201</v>
      </c>
      <c r="D471" s="129" t="s">
        <v>1504</v>
      </c>
      <c r="E471" s="121" t="s">
        <v>606</v>
      </c>
      <c r="F471" s="122">
        <f>'Stavební rozpočet'!F627</f>
        <v>9</v>
      </c>
      <c r="G471" s="172"/>
      <c r="H471" s="122">
        <f t="shared" si="332"/>
        <v>0</v>
      </c>
      <c r="I471" s="122">
        <f t="shared" si="333"/>
        <v>0</v>
      </c>
      <c r="J471" s="122">
        <f t="shared" si="334"/>
        <v>0</v>
      </c>
      <c r="K471" s="122">
        <f>'Stavební rozpočet'!K627</f>
        <v>0</v>
      </c>
      <c r="L471" s="122">
        <f t="shared" si="335"/>
        <v>0</v>
      </c>
      <c r="M471" s="123" t="s">
        <v>622</v>
      </c>
      <c r="Z471" s="124">
        <f t="shared" si="336"/>
        <v>0</v>
      </c>
      <c r="AB471" s="124">
        <f t="shared" si="337"/>
        <v>0</v>
      </c>
      <c r="AC471" s="124">
        <f t="shared" si="338"/>
        <v>0</v>
      </c>
      <c r="AD471" s="124">
        <f t="shared" si="339"/>
        <v>0</v>
      </c>
      <c r="AE471" s="124">
        <f t="shared" si="340"/>
        <v>0</v>
      </c>
      <c r="AF471" s="124">
        <f t="shared" si="341"/>
        <v>0</v>
      </c>
      <c r="AG471" s="124">
        <f t="shared" si="342"/>
        <v>0</v>
      </c>
      <c r="AH471" s="124">
        <f t="shared" si="343"/>
        <v>0</v>
      </c>
      <c r="AI471" s="113" t="s">
        <v>60</v>
      </c>
      <c r="AJ471" s="122">
        <f t="shared" si="344"/>
        <v>0</v>
      </c>
      <c r="AK471" s="122">
        <f t="shared" si="345"/>
        <v>0</v>
      </c>
      <c r="AL471" s="122">
        <f t="shared" si="346"/>
        <v>0</v>
      </c>
      <c r="AN471" s="124">
        <v>15</v>
      </c>
      <c r="AO471" s="124">
        <f t="shared" si="347"/>
        <v>0</v>
      </c>
      <c r="AP471" s="124">
        <f t="shared" si="348"/>
        <v>0</v>
      </c>
      <c r="AQ471" s="123" t="s">
        <v>79</v>
      </c>
      <c r="AV471" s="124">
        <f t="shared" si="349"/>
        <v>0</v>
      </c>
      <c r="AW471" s="124">
        <f t="shared" si="350"/>
        <v>0</v>
      </c>
      <c r="AX471" s="124">
        <f t="shared" si="351"/>
        <v>0</v>
      </c>
      <c r="AY471" s="125" t="s">
        <v>649</v>
      </c>
      <c r="AZ471" s="125" t="s">
        <v>1536</v>
      </c>
      <c r="BA471" s="113" t="s">
        <v>1542</v>
      </c>
      <c r="BC471" s="124">
        <f t="shared" si="352"/>
        <v>0</v>
      </c>
      <c r="BD471" s="124">
        <f t="shared" si="353"/>
        <v>0</v>
      </c>
      <c r="BE471" s="124">
        <v>0</v>
      </c>
      <c r="BF471" s="124">
        <f t="shared" si="354"/>
        <v>0</v>
      </c>
      <c r="BH471" s="122">
        <f t="shared" si="355"/>
        <v>0</v>
      </c>
      <c r="BI471" s="122">
        <f t="shared" si="356"/>
        <v>0</v>
      </c>
      <c r="BJ471" s="122">
        <f t="shared" si="357"/>
        <v>0</v>
      </c>
    </row>
    <row r="472" spans="1:62" s="174" customFormat="1" ht="12.75">
      <c r="A472" s="121" t="s">
        <v>904</v>
      </c>
      <c r="B472" s="121" t="s">
        <v>60</v>
      </c>
      <c r="C472" s="121" t="s">
        <v>1202</v>
      </c>
      <c r="D472" s="129" t="s">
        <v>1505</v>
      </c>
      <c r="E472" s="121" t="s">
        <v>606</v>
      </c>
      <c r="F472" s="122">
        <f>'Stavební rozpočet'!F628</f>
        <v>1</v>
      </c>
      <c r="G472" s="172"/>
      <c r="H472" s="122">
        <f t="shared" si="332"/>
        <v>0</v>
      </c>
      <c r="I472" s="122">
        <f t="shared" si="333"/>
        <v>0</v>
      </c>
      <c r="J472" s="122">
        <f t="shared" si="334"/>
        <v>0</v>
      </c>
      <c r="K472" s="122">
        <f>'Stavební rozpočet'!K628</f>
        <v>0</v>
      </c>
      <c r="L472" s="122">
        <f t="shared" si="335"/>
        <v>0</v>
      </c>
      <c r="M472" s="123" t="s">
        <v>622</v>
      </c>
      <c r="Z472" s="124">
        <f t="shared" si="336"/>
        <v>0</v>
      </c>
      <c r="AB472" s="124">
        <f t="shared" si="337"/>
        <v>0</v>
      </c>
      <c r="AC472" s="124">
        <f t="shared" si="338"/>
        <v>0</v>
      </c>
      <c r="AD472" s="124">
        <f t="shared" si="339"/>
        <v>0</v>
      </c>
      <c r="AE472" s="124">
        <f t="shared" si="340"/>
        <v>0</v>
      </c>
      <c r="AF472" s="124">
        <f t="shared" si="341"/>
        <v>0</v>
      </c>
      <c r="AG472" s="124">
        <f t="shared" si="342"/>
        <v>0</v>
      </c>
      <c r="AH472" s="124">
        <f t="shared" si="343"/>
        <v>0</v>
      </c>
      <c r="AI472" s="113" t="s">
        <v>60</v>
      </c>
      <c r="AJ472" s="122">
        <f t="shared" si="344"/>
        <v>0</v>
      </c>
      <c r="AK472" s="122">
        <f t="shared" si="345"/>
        <v>0</v>
      </c>
      <c r="AL472" s="122">
        <f t="shared" si="346"/>
        <v>0</v>
      </c>
      <c r="AN472" s="124">
        <v>15</v>
      </c>
      <c r="AO472" s="124">
        <f t="shared" si="347"/>
        <v>0</v>
      </c>
      <c r="AP472" s="124">
        <f t="shared" si="348"/>
        <v>0</v>
      </c>
      <c r="AQ472" s="123" t="s">
        <v>79</v>
      </c>
      <c r="AV472" s="124">
        <f t="shared" si="349"/>
        <v>0</v>
      </c>
      <c r="AW472" s="124">
        <f t="shared" si="350"/>
        <v>0</v>
      </c>
      <c r="AX472" s="124">
        <f t="shared" si="351"/>
        <v>0</v>
      </c>
      <c r="AY472" s="125" t="s">
        <v>649</v>
      </c>
      <c r="AZ472" s="125" t="s">
        <v>1536</v>
      </c>
      <c r="BA472" s="113" t="s">
        <v>1542</v>
      </c>
      <c r="BC472" s="124">
        <f t="shared" si="352"/>
        <v>0</v>
      </c>
      <c r="BD472" s="124">
        <f t="shared" si="353"/>
        <v>0</v>
      </c>
      <c r="BE472" s="124">
        <v>0</v>
      </c>
      <c r="BF472" s="124">
        <f t="shared" si="354"/>
        <v>0</v>
      </c>
      <c r="BH472" s="122">
        <f t="shared" si="355"/>
        <v>0</v>
      </c>
      <c r="BI472" s="122">
        <f t="shared" si="356"/>
        <v>0</v>
      </c>
      <c r="BJ472" s="122">
        <f t="shared" si="357"/>
        <v>0</v>
      </c>
    </row>
    <row r="473" spans="1:62" s="174" customFormat="1" ht="12.75">
      <c r="A473" s="121" t="s">
        <v>905</v>
      </c>
      <c r="B473" s="121" t="s">
        <v>60</v>
      </c>
      <c r="C473" s="121" t="s">
        <v>1203</v>
      </c>
      <c r="D473" s="129" t="s">
        <v>1506</v>
      </c>
      <c r="E473" s="121" t="s">
        <v>606</v>
      </c>
      <c r="F473" s="122">
        <f>'Stavební rozpočet'!F629</f>
        <v>1</v>
      </c>
      <c r="G473" s="172"/>
      <c r="H473" s="122">
        <f t="shared" si="332"/>
        <v>0</v>
      </c>
      <c r="I473" s="122">
        <f t="shared" si="333"/>
        <v>0</v>
      </c>
      <c r="J473" s="122">
        <f t="shared" si="334"/>
        <v>0</v>
      </c>
      <c r="K473" s="122">
        <f>'Stavební rozpočet'!K629</f>
        <v>0</v>
      </c>
      <c r="L473" s="122">
        <f t="shared" si="335"/>
        <v>0</v>
      </c>
      <c r="M473" s="123" t="s">
        <v>622</v>
      </c>
      <c r="Z473" s="124">
        <f t="shared" si="336"/>
        <v>0</v>
      </c>
      <c r="AB473" s="124">
        <f t="shared" si="337"/>
        <v>0</v>
      </c>
      <c r="AC473" s="124">
        <f t="shared" si="338"/>
        <v>0</v>
      </c>
      <c r="AD473" s="124">
        <f t="shared" si="339"/>
        <v>0</v>
      </c>
      <c r="AE473" s="124">
        <f t="shared" si="340"/>
        <v>0</v>
      </c>
      <c r="AF473" s="124">
        <f t="shared" si="341"/>
        <v>0</v>
      </c>
      <c r="AG473" s="124">
        <f t="shared" si="342"/>
        <v>0</v>
      </c>
      <c r="AH473" s="124">
        <f t="shared" si="343"/>
        <v>0</v>
      </c>
      <c r="AI473" s="113" t="s">
        <v>60</v>
      </c>
      <c r="AJ473" s="122">
        <f t="shared" si="344"/>
        <v>0</v>
      </c>
      <c r="AK473" s="122">
        <f t="shared" si="345"/>
        <v>0</v>
      </c>
      <c r="AL473" s="122">
        <f t="shared" si="346"/>
        <v>0</v>
      </c>
      <c r="AN473" s="124">
        <v>15</v>
      </c>
      <c r="AO473" s="124">
        <f t="shared" si="347"/>
        <v>0</v>
      </c>
      <c r="AP473" s="124">
        <f t="shared" si="348"/>
        <v>0</v>
      </c>
      <c r="AQ473" s="123" t="s">
        <v>79</v>
      </c>
      <c r="AV473" s="124">
        <f t="shared" si="349"/>
        <v>0</v>
      </c>
      <c r="AW473" s="124">
        <f t="shared" si="350"/>
        <v>0</v>
      </c>
      <c r="AX473" s="124">
        <f t="shared" si="351"/>
        <v>0</v>
      </c>
      <c r="AY473" s="125" t="s">
        <v>649</v>
      </c>
      <c r="AZ473" s="125" t="s">
        <v>1536</v>
      </c>
      <c r="BA473" s="113" t="s">
        <v>1542</v>
      </c>
      <c r="BC473" s="124">
        <f t="shared" si="352"/>
        <v>0</v>
      </c>
      <c r="BD473" s="124">
        <f t="shared" si="353"/>
        <v>0</v>
      </c>
      <c r="BE473" s="124">
        <v>0</v>
      </c>
      <c r="BF473" s="124">
        <f t="shared" si="354"/>
        <v>0</v>
      </c>
      <c r="BH473" s="122">
        <f t="shared" si="355"/>
        <v>0</v>
      </c>
      <c r="BI473" s="122">
        <f t="shared" si="356"/>
        <v>0</v>
      </c>
      <c r="BJ473" s="122">
        <f t="shared" si="357"/>
        <v>0</v>
      </c>
    </row>
    <row r="474" spans="1:62" s="174" customFormat="1" ht="12.75">
      <c r="A474" s="121" t="s">
        <v>906</v>
      </c>
      <c r="B474" s="121" t="s">
        <v>60</v>
      </c>
      <c r="C474" s="121" t="s">
        <v>1204</v>
      </c>
      <c r="D474" s="129" t="s">
        <v>1507</v>
      </c>
      <c r="E474" s="121" t="s">
        <v>606</v>
      </c>
      <c r="F474" s="122">
        <f>'Stavební rozpočet'!F630</f>
        <v>2</v>
      </c>
      <c r="G474" s="172"/>
      <c r="H474" s="122">
        <f t="shared" si="332"/>
        <v>0</v>
      </c>
      <c r="I474" s="122">
        <f t="shared" si="333"/>
        <v>0</v>
      </c>
      <c r="J474" s="122">
        <f t="shared" si="334"/>
        <v>0</v>
      </c>
      <c r="K474" s="122">
        <f>'Stavební rozpočet'!K630</f>
        <v>0</v>
      </c>
      <c r="L474" s="122">
        <f t="shared" si="335"/>
        <v>0</v>
      </c>
      <c r="M474" s="123" t="s">
        <v>622</v>
      </c>
      <c r="Z474" s="124">
        <f t="shared" si="336"/>
        <v>0</v>
      </c>
      <c r="AB474" s="124">
        <f t="shared" si="337"/>
        <v>0</v>
      </c>
      <c r="AC474" s="124">
        <f t="shared" si="338"/>
        <v>0</v>
      </c>
      <c r="AD474" s="124">
        <f t="shared" si="339"/>
        <v>0</v>
      </c>
      <c r="AE474" s="124">
        <f t="shared" si="340"/>
        <v>0</v>
      </c>
      <c r="AF474" s="124">
        <f t="shared" si="341"/>
        <v>0</v>
      </c>
      <c r="AG474" s="124">
        <f t="shared" si="342"/>
        <v>0</v>
      </c>
      <c r="AH474" s="124">
        <f t="shared" si="343"/>
        <v>0</v>
      </c>
      <c r="AI474" s="113" t="s">
        <v>60</v>
      </c>
      <c r="AJ474" s="122">
        <f t="shared" si="344"/>
        <v>0</v>
      </c>
      <c r="AK474" s="122">
        <f t="shared" si="345"/>
        <v>0</v>
      </c>
      <c r="AL474" s="122">
        <f t="shared" si="346"/>
        <v>0</v>
      </c>
      <c r="AN474" s="124">
        <v>15</v>
      </c>
      <c r="AO474" s="124">
        <f t="shared" si="347"/>
        <v>0</v>
      </c>
      <c r="AP474" s="124">
        <f t="shared" si="348"/>
        <v>0</v>
      </c>
      <c r="AQ474" s="123" t="s">
        <v>79</v>
      </c>
      <c r="AV474" s="124">
        <f t="shared" si="349"/>
        <v>0</v>
      </c>
      <c r="AW474" s="124">
        <f t="shared" si="350"/>
        <v>0</v>
      </c>
      <c r="AX474" s="124">
        <f t="shared" si="351"/>
        <v>0</v>
      </c>
      <c r="AY474" s="125" t="s">
        <v>649</v>
      </c>
      <c r="AZ474" s="125" t="s">
        <v>1536</v>
      </c>
      <c r="BA474" s="113" t="s">
        <v>1542</v>
      </c>
      <c r="BC474" s="124">
        <f t="shared" si="352"/>
        <v>0</v>
      </c>
      <c r="BD474" s="124">
        <f t="shared" si="353"/>
        <v>0</v>
      </c>
      <c r="BE474" s="124">
        <v>0</v>
      </c>
      <c r="BF474" s="124">
        <f t="shared" si="354"/>
        <v>0</v>
      </c>
      <c r="BH474" s="122">
        <f t="shared" si="355"/>
        <v>0</v>
      </c>
      <c r="BI474" s="122">
        <f t="shared" si="356"/>
        <v>0</v>
      </c>
      <c r="BJ474" s="122">
        <f t="shared" si="357"/>
        <v>0</v>
      </c>
    </row>
    <row r="475" spans="1:62" s="174" customFormat="1" ht="25.5">
      <c r="A475" s="121" t="s">
        <v>907</v>
      </c>
      <c r="B475" s="121" t="s">
        <v>60</v>
      </c>
      <c r="C475" s="121" t="s">
        <v>1205</v>
      </c>
      <c r="D475" s="129" t="s">
        <v>1508</v>
      </c>
      <c r="E475" s="121" t="s">
        <v>606</v>
      </c>
      <c r="F475" s="122">
        <f>'Stavební rozpočet'!F631</f>
        <v>2</v>
      </c>
      <c r="G475" s="172"/>
      <c r="H475" s="122">
        <f t="shared" si="332"/>
        <v>0</v>
      </c>
      <c r="I475" s="122">
        <f t="shared" si="333"/>
        <v>0</v>
      </c>
      <c r="J475" s="122">
        <f t="shared" si="334"/>
        <v>0</v>
      </c>
      <c r="K475" s="122">
        <f>'Stavební rozpočet'!K631</f>
        <v>0</v>
      </c>
      <c r="L475" s="122">
        <f t="shared" si="335"/>
        <v>0</v>
      </c>
      <c r="M475" s="123" t="s">
        <v>622</v>
      </c>
      <c r="Z475" s="124">
        <f t="shared" si="336"/>
        <v>0</v>
      </c>
      <c r="AB475" s="124">
        <f t="shared" si="337"/>
        <v>0</v>
      </c>
      <c r="AC475" s="124">
        <f t="shared" si="338"/>
        <v>0</v>
      </c>
      <c r="AD475" s="124">
        <f t="shared" si="339"/>
        <v>0</v>
      </c>
      <c r="AE475" s="124">
        <f t="shared" si="340"/>
        <v>0</v>
      </c>
      <c r="AF475" s="124">
        <f t="shared" si="341"/>
        <v>0</v>
      </c>
      <c r="AG475" s="124">
        <f t="shared" si="342"/>
        <v>0</v>
      </c>
      <c r="AH475" s="124">
        <f t="shared" si="343"/>
        <v>0</v>
      </c>
      <c r="AI475" s="113" t="s">
        <v>60</v>
      </c>
      <c r="AJ475" s="122">
        <f t="shared" si="344"/>
        <v>0</v>
      </c>
      <c r="AK475" s="122">
        <f t="shared" si="345"/>
        <v>0</v>
      </c>
      <c r="AL475" s="122">
        <f t="shared" si="346"/>
        <v>0</v>
      </c>
      <c r="AN475" s="124">
        <v>15</v>
      </c>
      <c r="AO475" s="124">
        <f t="shared" si="347"/>
        <v>0</v>
      </c>
      <c r="AP475" s="124">
        <f t="shared" si="348"/>
        <v>0</v>
      </c>
      <c r="AQ475" s="123" t="s">
        <v>79</v>
      </c>
      <c r="AV475" s="124">
        <f t="shared" si="349"/>
        <v>0</v>
      </c>
      <c r="AW475" s="124">
        <f t="shared" si="350"/>
        <v>0</v>
      </c>
      <c r="AX475" s="124">
        <f t="shared" si="351"/>
        <v>0</v>
      </c>
      <c r="AY475" s="125" t="s">
        <v>649</v>
      </c>
      <c r="AZ475" s="125" t="s">
        <v>1536</v>
      </c>
      <c r="BA475" s="113" t="s">
        <v>1542</v>
      </c>
      <c r="BC475" s="124">
        <f t="shared" si="352"/>
        <v>0</v>
      </c>
      <c r="BD475" s="124">
        <f t="shared" si="353"/>
        <v>0</v>
      </c>
      <c r="BE475" s="124">
        <v>0</v>
      </c>
      <c r="BF475" s="124">
        <f t="shared" si="354"/>
        <v>0</v>
      </c>
      <c r="BH475" s="122">
        <f t="shared" si="355"/>
        <v>0</v>
      </c>
      <c r="BI475" s="122">
        <f t="shared" si="356"/>
        <v>0</v>
      </c>
      <c r="BJ475" s="122">
        <f t="shared" si="357"/>
        <v>0</v>
      </c>
    </row>
    <row r="476" spans="1:62" s="174" customFormat="1" ht="25.5" hidden="1">
      <c r="A476" s="121" t="s">
        <v>908</v>
      </c>
      <c r="B476" s="121" t="s">
        <v>60</v>
      </c>
      <c r="C476" s="121" t="s">
        <v>1206</v>
      </c>
      <c r="D476" s="129" t="s">
        <v>1509</v>
      </c>
      <c r="E476" s="121" t="s">
        <v>606</v>
      </c>
      <c r="F476" s="122">
        <f>'Stavební rozpočet'!F632</f>
        <v>0</v>
      </c>
      <c r="G476" s="172"/>
      <c r="H476" s="122">
        <f t="shared" si="332"/>
        <v>0</v>
      </c>
      <c r="I476" s="122">
        <f t="shared" si="333"/>
        <v>0</v>
      </c>
      <c r="J476" s="122">
        <f t="shared" si="334"/>
        <v>0</v>
      </c>
      <c r="K476" s="122">
        <f>'Stavební rozpočet'!K632</f>
        <v>0</v>
      </c>
      <c r="L476" s="122">
        <f t="shared" si="335"/>
        <v>0</v>
      </c>
      <c r="M476" s="123" t="s">
        <v>622</v>
      </c>
      <c r="Z476" s="124">
        <f t="shared" si="336"/>
        <v>0</v>
      </c>
      <c r="AB476" s="124">
        <f t="shared" si="337"/>
        <v>0</v>
      </c>
      <c r="AC476" s="124">
        <f t="shared" si="338"/>
        <v>0</v>
      </c>
      <c r="AD476" s="124">
        <f t="shared" si="339"/>
        <v>0</v>
      </c>
      <c r="AE476" s="124">
        <f t="shared" si="340"/>
        <v>0</v>
      </c>
      <c r="AF476" s="124">
        <f t="shared" si="341"/>
        <v>0</v>
      </c>
      <c r="AG476" s="124">
        <f t="shared" si="342"/>
        <v>0</v>
      </c>
      <c r="AH476" s="124">
        <f t="shared" si="343"/>
        <v>0</v>
      </c>
      <c r="AI476" s="113" t="s">
        <v>60</v>
      </c>
      <c r="AJ476" s="122">
        <f t="shared" si="344"/>
        <v>0</v>
      </c>
      <c r="AK476" s="122">
        <f t="shared" si="345"/>
        <v>0</v>
      </c>
      <c r="AL476" s="122">
        <f t="shared" si="346"/>
        <v>0</v>
      </c>
      <c r="AN476" s="124">
        <v>15</v>
      </c>
      <c r="AO476" s="124">
        <f t="shared" si="347"/>
        <v>0</v>
      </c>
      <c r="AP476" s="124">
        <f t="shared" si="348"/>
        <v>0</v>
      </c>
      <c r="AQ476" s="123" t="s">
        <v>79</v>
      </c>
      <c r="AV476" s="124">
        <f t="shared" si="349"/>
        <v>0</v>
      </c>
      <c r="AW476" s="124">
        <f t="shared" si="350"/>
        <v>0</v>
      </c>
      <c r="AX476" s="124">
        <f t="shared" si="351"/>
        <v>0</v>
      </c>
      <c r="AY476" s="125" t="s">
        <v>649</v>
      </c>
      <c r="AZ476" s="125" t="s">
        <v>1536</v>
      </c>
      <c r="BA476" s="113" t="s">
        <v>1542</v>
      </c>
      <c r="BC476" s="124">
        <f t="shared" si="352"/>
        <v>0</v>
      </c>
      <c r="BD476" s="124">
        <f t="shared" si="353"/>
        <v>0</v>
      </c>
      <c r="BE476" s="124">
        <v>0</v>
      </c>
      <c r="BF476" s="124">
        <f t="shared" si="354"/>
        <v>0</v>
      </c>
      <c r="BH476" s="122">
        <f t="shared" si="355"/>
        <v>0</v>
      </c>
      <c r="BI476" s="122">
        <f t="shared" si="356"/>
        <v>0</v>
      </c>
      <c r="BJ476" s="122">
        <f t="shared" si="357"/>
        <v>0</v>
      </c>
    </row>
    <row r="477" spans="1:62" s="174" customFormat="1" ht="12.75">
      <c r="A477" s="121" t="s">
        <v>909</v>
      </c>
      <c r="B477" s="121" t="s">
        <v>60</v>
      </c>
      <c r="C477" s="121" t="s">
        <v>1207</v>
      </c>
      <c r="D477" s="129" t="s">
        <v>1510</v>
      </c>
      <c r="E477" s="121" t="s">
        <v>606</v>
      </c>
      <c r="F477" s="122">
        <f>'Stavební rozpočet'!F633</f>
        <v>1</v>
      </c>
      <c r="G477" s="172"/>
      <c r="H477" s="122">
        <f t="shared" si="332"/>
        <v>0</v>
      </c>
      <c r="I477" s="122">
        <f t="shared" si="333"/>
        <v>0</v>
      </c>
      <c r="J477" s="122">
        <f t="shared" si="334"/>
        <v>0</v>
      </c>
      <c r="K477" s="122">
        <f>'Stavební rozpočet'!K633</f>
        <v>0</v>
      </c>
      <c r="L477" s="122">
        <f t="shared" si="335"/>
        <v>0</v>
      </c>
      <c r="M477" s="123" t="s">
        <v>622</v>
      </c>
      <c r="Z477" s="124">
        <f t="shared" si="336"/>
        <v>0</v>
      </c>
      <c r="AB477" s="124">
        <f t="shared" si="337"/>
        <v>0</v>
      </c>
      <c r="AC477" s="124">
        <f t="shared" si="338"/>
        <v>0</v>
      </c>
      <c r="AD477" s="124">
        <f t="shared" si="339"/>
        <v>0</v>
      </c>
      <c r="AE477" s="124">
        <f t="shared" si="340"/>
        <v>0</v>
      </c>
      <c r="AF477" s="124">
        <f t="shared" si="341"/>
        <v>0</v>
      </c>
      <c r="AG477" s="124">
        <f t="shared" si="342"/>
        <v>0</v>
      </c>
      <c r="AH477" s="124">
        <f t="shared" si="343"/>
        <v>0</v>
      </c>
      <c r="AI477" s="113" t="s">
        <v>60</v>
      </c>
      <c r="AJ477" s="122">
        <f t="shared" si="344"/>
        <v>0</v>
      </c>
      <c r="AK477" s="122">
        <f t="shared" si="345"/>
        <v>0</v>
      </c>
      <c r="AL477" s="122">
        <f t="shared" si="346"/>
        <v>0</v>
      </c>
      <c r="AN477" s="124">
        <v>15</v>
      </c>
      <c r="AO477" s="124">
        <f t="shared" si="347"/>
        <v>0</v>
      </c>
      <c r="AP477" s="124">
        <f t="shared" si="348"/>
        <v>0</v>
      </c>
      <c r="AQ477" s="123" t="s">
        <v>79</v>
      </c>
      <c r="AV477" s="124">
        <f t="shared" si="349"/>
        <v>0</v>
      </c>
      <c r="AW477" s="124">
        <f t="shared" si="350"/>
        <v>0</v>
      </c>
      <c r="AX477" s="124">
        <f t="shared" si="351"/>
        <v>0</v>
      </c>
      <c r="AY477" s="125" t="s">
        <v>649</v>
      </c>
      <c r="AZ477" s="125" t="s">
        <v>1536</v>
      </c>
      <c r="BA477" s="113" t="s">
        <v>1542</v>
      </c>
      <c r="BC477" s="124">
        <f t="shared" si="352"/>
        <v>0</v>
      </c>
      <c r="BD477" s="124">
        <f t="shared" si="353"/>
        <v>0</v>
      </c>
      <c r="BE477" s="124">
        <v>0</v>
      </c>
      <c r="BF477" s="124">
        <f t="shared" si="354"/>
        <v>0</v>
      </c>
      <c r="BH477" s="122">
        <f t="shared" si="355"/>
        <v>0</v>
      </c>
      <c r="BI477" s="122">
        <f t="shared" si="356"/>
        <v>0</v>
      </c>
      <c r="BJ477" s="122">
        <f t="shared" si="357"/>
        <v>0</v>
      </c>
    </row>
    <row r="478" spans="1:62" s="174" customFormat="1" ht="25.5">
      <c r="A478" s="121" t="s">
        <v>910</v>
      </c>
      <c r="B478" s="121" t="s">
        <v>60</v>
      </c>
      <c r="C478" s="121" t="s">
        <v>1208</v>
      </c>
      <c r="D478" s="129" t="s">
        <v>1511</v>
      </c>
      <c r="E478" s="121" t="s">
        <v>606</v>
      </c>
      <c r="F478" s="122">
        <f>'Stavební rozpočet'!F634</f>
        <v>1</v>
      </c>
      <c r="G478" s="172"/>
      <c r="H478" s="122">
        <f t="shared" si="332"/>
        <v>0</v>
      </c>
      <c r="I478" s="122">
        <f t="shared" si="333"/>
        <v>0</v>
      </c>
      <c r="J478" s="122">
        <f t="shared" si="334"/>
        <v>0</v>
      </c>
      <c r="K478" s="122">
        <f>'Stavební rozpočet'!K634</f>
        <v>0</v>
      </c>
      <c r="L478" s="122">
        <f t="shared" si="335"/>
        <v>0</v>
      </c>
      <c r="M478" s="123" t="s">
        <v>622</v>
      </c>
      <c r="Z478" s="124">
        <f t="shared" si="336"/>
        <v>0</v>
      </c>
      <c r="AB478" s="124">
        <f t="shared" si="337"/>
        <v>0</v>
      </c>
      <c r="AC478" s="124">
        <f t="shared" si="338"/>
        <v>0</v>
      </c>
      <c r="AD478" s="124">
        <f t="shared" si="339"/>
        <v>0</v>
      </c>
      <c r="AE478" s="124">
        <f t="shared" si="340"/>
        <v>0</v>
      </c>
      <c r="AF478" s="124">
        <f t="shared" si="341"/>
        <v>0</v>
      </c>
      <c r="AG478" s="124">
        <f t="shared" si="342"/>
        <v>0</v>
      </c>
      <c r="AH478" s="124">
        <f t="shared" si="343"/>
        <v>0</v>
      </c>
      <c r="AI478" s="113" t="s">
        <v>60</v>
      </c>
      <c r="AJ478" s="122">
        <f t="shared" si="344"/>
        <v>0</v>
      </c>
      <c r="AK478" s="122">
        <f t="shared" si="345"/>
        <v>0</v>
      </c>
      <c r="AL478" s="122">
        <f t="shared" si="346"/>
        <v>0</v>
      </c>
      <c r="AN478" s="124">
        <v>15</v>
      </c>
      <c r="AO478" s="124">
        <f t="shared" si="347"/>
        <v>0</v>
      </c>
      <c r="AP478" s="124">
        <f t="shared" si="348"/>
        <v>0</v>
      </c>
      <c r="AQ478" s="123" t="s">
        <v>79</v>
      </c>
      <c r="AV478" s="124">
        <f t="shared" si="349"/>
        <v>0</v>
      </c>
      <c r="AW478" s="124">
        <f t="shared" si="350"/>
        <v>0</v>
      </c>
      <c r="AX478" s="124">
        <f t="shared" si="351"/>
        <v>0</v>
      </c>
      <c r="AY478" s="125" t="s">
        <v>649</v>
      </c>
      <c r="AZ478" s="125" t="s">
        <v>1536</v>
      </c>
      <c r="BA478" s="113" t="s">
        <v>1542</v>
      </c>
      <c r="BC478" s="124">
        <f t="shared" si="352"/>
        <v>0</v>
      </c>
      <c r="BD478" s="124">
        <f t="shared" si="353"/>
        <v>0</v>
      </c>
      <c r="BE478" s="124">
        <v>0</v>
      </c>
      <c r="BF478" s="124">
        <f t="shared" si="354"/>
        <v>0</v>
      </c>
      <c r="BH478" s="122">
        <f t="shared" si="355"/>
        <v>0</v>
      </c>
      <c r="BI478" s="122">
        <f t="shared" si="356"/>
        <v>0</v>
      </c>
      <c r="BJ478" s="122">
        <f t="shared" si="357"/>
        <v>0</v>
      </c>
    </row>
    <row r="479" spans="1:62" s="174" customFormat="1" ht="12.75">
      <c r="A479" s="121" t="s">
        <v>911</v>
      </c>
      <c r="B479" s="121" t="s">
        <v>60</v>
      </c>
      <c r="C479" s="121" t="s">
        <v>1209</v>
      </c>
      <c r="D479" s="129" t="s">
        <v>1512</v>
      </c>
      <c r="E479" s="121" t="s">
        <v>611</v>
      </c>
      <c r="F479" s="122">
        <f>'Stavební rozpočet'!F635</f>
        <v>6</v>
      </c>
      <c r="G479" s="172"/>
      <c r="H479" s="122">
        <f t="shared" si="332"/>
        <v>0</v>
      </c>
      <c r="I479" s="122">
        <f t="shared" si="333"/>
        <v>0</v>
      </c>
      <c r="J479" s="122">
        <f t="shared" si="334"/>
        <v>0</v>
      </c>
      <c r="K479" s="122">
        <f>'Stavební rozpočet'!K635</f>
        <v>0</v>
      </c>
      <c r="L479" s="122">
        <f t="shared" si="335"/>
        <v>0</v>
      </c>
      <c r="M479" s="123" t="s">
        <v>622</v>
      </c>
      <c r="Z479" s="124">
        <f t="shared" si="336"/>
        <v>0</v>
      </c>
      <c r="AB479" s="124">
        <f t="shared" si="337"/>
        <v>0</v>
      </c>
      <c r="AC479" s="124">
        <f t="shared" si="338"/>
        <v>0</v>
      </c>
      <c r="AD479" s="124">
        <f t="shared" si="339"/>
        <v>0</v>
      </c>
      <c r="AE479" s="124">
        <f t="shared" si="340"/>
        <v>0</v>
      </c>
      <c r="AF479" s="124">
        <f t="shared" si="341"/>
        <v>0</v>
      </c>
      <c r="AG479" s="124">
        <f t="shared" si="342"/>
        <v>0</v>
      </c>
      <c r="AH479" s="124">
        <f t="shared" si="343"/>
        <v>0</v>
      </c>
      <c r="AI479" s="113" t="s">
        <v>60</v>
      </c>
      <c r="AJ479" s="122">
        <f t="shared" si="344"/>
        <v>0</v>
      </c>
      <c r="AK479" s="122">
        <f t="shared" si="345"/>
        <v>0</v>
      </c>
      <c r="AL479" s="122">
        <f t="shared" si="346"/>
        <v>0</v>
      </c>
      <c r="AN479" s="124">
        <v>15</v>
      </c>
      <c r="AO479" s="124">
        <f t="shared" si="347"/>
        <v>0</v>
      </c>
      <c r="AP479" s="124">
        <f t="shared" si="348"/>
        <v>0</v>
      </c>
      <c r="AQ479" s="123" t="s">
        <v>79</v>
      </c>
      <c r="AV479" s="124">
        <f t="shared" si="349"/>
        <v>0</v>
      </c>
      <c r="AW479" s="124">
        <f t="shared" si="350"/>
        <v>0</v>
      </c>
      <c r="AX479" s="124">
        <f t="shared" si="351"/>
        <v>0</v>
      </c>
      <c r="AY479" s="125" t="s">
        <v>649</v>
      </c>
      <c r="AZ479" s="125" t="s">
        <v>1536</v>
      </c>
      <c r="BA479" s="113" t="s">
        <v>1542</v>
      </c>
      <c r="BC479" s="124">
        <f t="shared" si="352"/>
        <v>0</v>
      </c>
      <c r="BD479" s="124">
        <f t="shared" si="353"/>
        <v>0</v>
      </c>
      <c r="BE479" s="124">
        <v>0</v>
      </c>
      <c r="BF479" s="124">
        <f t="shared" si="354"/>
        <v>0</v>
      </c>
      <c r="BH479" s="122">
        <f t="shared" si="355"/>
        <v>0</v>
      </c>
      <c r="BI479" s="122">
        <f t="shared" si="356"/>
        <v>0</v>
      </c>
      <c r="BJ479" s="122">
        <f t="shared" si="357"/>
        <v>0</v>
      </c>
    </row>
    <row r="480" spans="1:62" s="174" customFormat="1" ht="12.75">
      <c r="A480" s="121" t="s">
        <v>912</v>
      </c>
      <c r="B480" s="121" t="s">
        <v>60</v>
      </c>
      <c r="C480" s="121" t="s">
        <v>1210</v>
      </c>
      <c r="D480" s="129" t="s">
        <v>1513</v>
      </c>
      <c r="E480" s="121" t="s">
        <v>614</v>
      </c>
      <c r="F480" s="122">
        <f>'Stavební rozpočet'!F636</f>
        <v>1</v>
      </c>
      <c r="G480" s="172"/>
      <c r="H480" s="122">
        <f t="shared" si="332"/>
        <v>0</v>
      </c>
      <c r="I480" s="122">
        <f t="shared" si="333"/>
        <v>0</v>
      </c>
      <c r="J480" s="122">
        <f t="shared" si="334"/>
        <v>0</v>
      </c>
      <c r="K480" s="122">
        <f>'Stavební rozpočet'!K636</f>
        <v>0</v>
      </c>
      <c r="L480" s="122">
        <f t="shared" si="335"/>
        <v>0</v>
      </c>
      <c r="M480" s="123" t="s">
        <v>622</v>
      </c>
      <c r="Z480" s="124">
        <f t="shared" si="336"/>
        <v>0</v>
      </c>
      <c r="AB480" s="124">
        <f t="shared" si="337"/>
        <v>0</v>
      </c>
      <c r="AC480" s="124">
        <f t="shared" si="338"/>
        <v>0</v>
      </c>
      <c r="AD480" s="124">
        <f t="shared" si="339"/>
        <v>0</v>
      </c>
      <c r="AE480" s="124">
        <f t="shared" si="340"/>
        <v>0</v>
      </c>
      <c r="AF480" s="124">
        <f t="shared" si="341"/>
        <v>0</v>
      </c>
      <c r="AG480" s="124">
        <f t="shared" si="342"/>
        <v>0</v>
      </c>
      <c r="AH480" s="124">
        <f t="shared" si="343"/>
        <v>0</v>
      </c>
      <c r="AI480" s="113" t="s">
        <v>60</v>
      </c>
      <c r="AJ480" s="122">
        <f t="shared" si="344"/>
        <v>0</v>
      </c>
      <c r="AK480" s="122">
        <f t="shared" si="345"/>
        <v>0</v>
      </c>
      <c r="AL480" s="122">
        <f t="shared" si="346"/>
        <v>0</v>
      </c>
      <c r="AN480" s="124">
        <v>15</v>
      </c>
      <c r="AO480" s="124">
        <f t="shared" si="347"/>
        <v>0</v>
      </c>
      <c r="AP480" s="124">
        <f t="shared" si="348"/>
        <v>0</v>
      </c>
      <c r="AQ480" s="123" t="s">
        <v>79</v>
      </c>
      <c r="AV480" s="124">
        <f t="shared" si="349"/>
        <v>0</v>
      </c>
      <c r="AW480" s="124">
        <f t="shared" si="350"/>
        <v>0</v>
      </c>
      <c r="AX480" s="124">
        <f t="shared" si="351"/>
        <v>0</v>
      </c>
      <c r="AY480" s="125" t="s">
        <v>649</v>
      </c>
      <c r="AZ480" s="125" t="s">
        <v>1536</v>
      </c>
      <c r="BA480" s="113" t="s">
        <v>1542</v>
      </c>
      <c r="BC480" s="124">
        <f t="shared" si="352"/>
        <v>0</v>
      </c>
      <c r="BD480" s="124">
        <f t="shared" si="353"/>
        <v>0</v>
      </c>
      <c r="BE480" s="124">
        <v>0</v>
      </c>
      <c r="BF480" s="124">
        <f t="shared" si="354"/>
        <v>0</v>
      </c>
      <c r="BH480" s="122">
        <f t="shared" si="355"/>
        <v>0</v>
      </c>
      <c r="BI480" s="122">
        <f t="shared" si="356"/>
        <v>0</v>
      </c>
      <c r="BJ480" s="122">
        <f t="shared" si="357"/>
        <v>0</v>
      </c>
    </row>
    <row r="481" spans="1:62" s="174" customFormat="1" ht="12.75">
      <c r="A481" s="121" t="s">
        <v>913</v>
      </c>
      <c r="B481" s="121" t="s">
        <v>60</v>
      </c>
      <c r="C481" s="121" t="s">
        <v>1211</v>
      </c>
      <c r="D481" s="129" t="s">
        <v>1514</v>
      </c>
      <c r="E481" s="121" t="s">
        <v>611</v>
      </c>
      <c r="F481" s="122">
        <f>'Stavební rozpočet'!F637</f>
        <v>3</v>
      </c>
      <c r="G481" s="172"/>
      <c r="H481" s="122">
        <f t="shared" si="332"/>
        <v>0</v>
      </c>
      <c r="I481" s="122">
        <f t="shared" si="333"/>
        <v>0</v>
      </c>
      <c r="J481" s="122">
        <f t="shared" si="334"/>
        <v>0</v>
      </c>
      <c r="K481" s="122">
        <f>'Stavební rozpočet'!K637</f>
        <v>0</v>
      </c>
      <c r="L481" s="122">
        <f t="shared" si="335"/>
        <v>0</v>
      </c>
      <c r="M481" s="123" t="s">
        <v>622</v>
      </c>
      <c r="Z481" s="124">
        <f t="shared" si="336"/>
        <v>0</v>
      </c>
      <c r="AB481" s="124">
        <f t="shared" si="337"/>
        <v>0</v>
      </c>
      <c r="AC481" s="124">
        <f t="shared" si="338"/>
        <v>0</v>
      </c>
      <c r="AD481" s="124">
        <f t="shared" si="339"/>
        <v>0</v>
      </c>
      <c r="AE481" s="124">
        <f t="shared" si="340"/>
        <v>0</v>
      </c>
      <c r="AF481" s="124">
        <f t="shared" si="341"/>
        <v>0</v>
      </c>
      <c r="AG481" s="124">
        <f t="shared" si="342"/>
        <v>0</v>
      </c>
      <c r="AH481" s="124">
        <f t="shared" si="343"/>
        <v>0</v>
      </c>
      <c r="AI481" s="113" t="s">
        <v>60</v>
      </c>
      <c r="AJ481" s="122">
        <f t="shared" si="344"/>
        <v>0</v>
      </c>
      <c r="AK481" s="122">
        <f t="shared" si="345"/>
        <v>0</v>
      </c>
      <c r="AL481" s="122">
        <f t="shared" si="346"/>
        <v>0</v>
      </c>
      <c r="AN481" s="124">
        <v>15</v>
      </c>
      <c r="AO481" s="124">
        <f t="shared" si="347"/>
        <v>0</v>
      </c>
      <c r="AP481" s="124">
        <f t="shared" si="348"/>
        <v>0</v>
      </c>
      <c r="AQ481" s="123" t="s">
        <v>79</v>
      </c>
      <c r="AV481" s="124">
        <f t="shared" si="349"/>
        <v>0</v>
      </c>
      <c r="AW481" s="124">
        <f t="shared" si="350"/>
        <v>0</v>
      </c>
      <c r="AX481" s="124">
        <f t="shared" si="351"/>
        <v>0</v>
      </c>
      <c r="AY481" s="125" t="s">
        <v>649</v>
      </c>
      <c r="AZ481" s="125" t="s">
        <v>1536</v>
      </c>
      <c r="BA481" s="113" t="s">
        <v>1542</v>
      </c>
      <c r="BC481" s="124">
        <f t="shared" si="352"/>
        <v>0</v>
      </c>
      <c r="BD481" s="124">
        <f t="shared" si="353"/>
        <v>0</v>
      </c>
      <c r="BE481" s="124">
        <v>0</v>
      </c>
      <c r="BF481" s="124">
        <f t="shared" si="354"/>
        <v>0</v>
      </c>
      <c r="BH481" s="122">
        <f t="shared" si="355"/>
        <v>0</v>
      </c>
      <c r="BI481" s="122">
        <f t="shared" si="356"/>
        <v>0</v>
      </c>
      <c r="BJ481" s="122">
        <f t="shared" si="357"/>
        <v>0</v>
      </c>
    </row>
    <row r="482" spans="1:62" s="174" customFormat="1" ht="12.75">
      <c r="A482" s="121" t="s">
        <v>914</v>
      </c>
      <c r="B482" s="121" t="s">
        <v>60</v>
      </c>
      <c r="C482" s="121" t="s">
        <v>1212</v>
      </c>
      <c r="D482" s="129" t="s">
        <v>1514</v>
      </c>
      <c r="E482" s="121" t="s">
        <v>613</v>
      </c>
      <c r="F482" s="122">
        <f>'Stavební rozpočet'!F638</f>
        <v>1</v>
      </c>
      <c r="G482" s="172"/>
      <c r="H482" s="122">
        <f t="shared" si="332"/>
        <v>0</v>
      </c>
      <c r="I482" s="122">
        <f t="shared" si="333"/>
        <v>0</v>
      </c>
      <c r="J482" s="122">
        <f t="shared" si="334"/>
        <v>0</v>
      </c>
      <c r="K482" s="122">
        <f>'Stavební rozpočet'!K638</f>
        <v>0</v>
      </c>
      <c r="L482" s="122">
        <f t="shared" si="335"/>
        <v>0</v>
      </c>
      <c r="M482" s="123" t="s">
        <v>622</v>
      </c>
      <c r="Z482" s="124">
        <f t="shared" si="336"/>
        <v>0</v>
      </c>
      <c r="AB482" s="124">
        <f t="shared" si="337"/>
        <v>0</v>
      </c>
      <c r="AC482" s="124">
        <f t="shared" si="338"/>
        <v>0</v>
      </c>
      <c r="AD482" s="124">
        <f t="shared" si="339"/>
        <v>0</v>
      </c>
      <c r="AE482" s="124">
        <f t="shared" si="340"/>
        <v>0</v>
      </c>
      <c r="AF482" s="124">
        <f t="shared" si="341"/>
        <v>0</v>
      </c>
      <c r="AG482" s="124">
        <f t="shared" si="342"/>
        <v>0</v>
      </c>
      <c r="AH482" s="124">
        <f t="shared" si="343"/>
        <v>0</v>
      </c>
      <c r="AI482" s="113" t="s">
        <v>60</v>
      </c>
      <c r="AJ482" s="122">
        <f t="shared" si="344"/>
        <v>0</v>
      </c>
      <c r="AK482" s="122">
        <f t="shared" si="345"/>
        <v>0</v>
      </c>
      <c r="AL482" s="122">
        <f t="shared" si="346"/>
        <v>0</v>
      </c>
      <c r="AN482" s="124">
        <v>15</v>
      </c>
      <c r="AO482" s="124">
        <f t="shared" si="347"/>
        <v>0</v>
      </c>
      <c r="AP482" s="124">
        <f t="shared" si="348"/>
        <v>0</v>
      </c>
      <c r="AQ482" s="123" t="s">
        <v>79</v>
      </c>
      <c r="AV482" s="124">
        <f t="shared" si="349"/>
        <v>0</v>
      </c>
      <c r="AW482" s="124">
        <f t="shared" si="350"/>
        <v>0</v>
      </c>
      <c r="AX482" s="124">
        <f t="shared" si="351"/>
        <v>0</v>
      </c>
      <c r="AY482" s="125" t="s">
        <v>649</v>
      </c>
      <c r="AZ482" s="125" t="s">
        <v>1536</v>
      </c>
      <c r="BA482" s="113" t="s">
        <v>1542</v>
      </c>
      <c r="BC482" s="124">
        <f t="shared" si="352"/>
        <v>0</v>
      </c>
      <c r="BD482" s="124">
        <f t="shared" si="353"/>
        <v>0</v>
      </c>
      <c r="BE482" s="124">
        <v>0</v>
      </c>
      <c r="BF482" s="124">
        <f t="shared" si="354"/>
        <v>0</v>
      </c>
      <c r="BH482" s="122">
        <f t="shared" si="355"/>
        <v>0</v>
      </c>
      <c r="BI482" s="122">
        <f t="shared" si="356"/>
        <v>0</v>
      </c>
      <c r="BJ482" s="122">
        <f t="shared" si="357"/>
        <v>0</v>
      </c>
    </row>
    <row r="483" spans="1:62" s="174" customFormat="1" ht="12.75">
      <c r="A483" s="121" t="s">
        <v>915</v>
      </c>
      <c r="B483" s="121" t="s">
        <v>60</v>
      </c>
      <c r="C483" s="121" t="s">
        <v>1213</v>
      </c>
      <c r="D483" s="129" t="s">
        <v>1515</v>
      </c>
      <c r="E483" s="121" t="s">
        <v>613</v>
      </c>
      <c r="F483" s="122">
        <f>'Stavební rozpočet'!F639</f>
        <v>1</v>
      </c>
      <c r="G483" s="172"/>
      <c r="H483" s="122">
        <f t="shared" si="332"/>
        <v>0</v>
      </c>
      <c r="I483" s="122">
        <f t="shared" si="333"/>
        <v>0</v>
      </c>
      <c r="J483" s="122">
        <f t="shared" si="334"/>
        <v>0</v>
      </c>
      <c r="K483" s="122">
        <f>'Stavební rozpočet'!K639</f>
        <v>0</v>
      </c>
      <c r="L483" s="122">
        <f t="shared" si="335"/>
        <v>0</v>
      </c>
      <c r="M483" s="123" t="s">
        <v>622</v>
      </c>
      <c r="Z483" s="124">
        <f t="shared" si="336"/>
        <v>0</v>
      </c>
      <c r="AB483" s="124">
        <f t="shared" si="337"/>
        <v>0</v>
      </c>
      <c r="AC483" s="124">
        <f t="shared" si="338"/>
        <v>0</v>
      </c>
      <c r="AD483" s="124">
        <f t="shared" si="339"/>
        <v>0</v>
      </c>
      <c r="AE483" s="124">
        <f t="shared" si="340"/>
        <v>0</v>
      </c>
      <c r="AF483" s="124">
        <f t="shared" si="341"/>
        <v>0</v>
      </c>
      <c r="AG483" s="124">
        <f t="shared" si="342"/>
        <v>0</v>
      </c>
      <c r="AH483" s="124">
        <f t="shared" si="343"/>
        <v>0</v>
      </c>
      <c r="AI483" s="113" t="s">
        <v>60</v>
      </c>
      <c r="AJ483" s="122">
        <f t="shared" si="344"/>
        <v>0</v>
      </c>
      <c r="AK483" s="122">
        <f t="shared" si="345"/>
        <v>0</v>
      </c>
      <c r="AL483" s="122">
        <f t="shared" si="346"/>
        <v>0</v>
      </c>
      <c r="AN483" s="124">
        <v>15</v>
      </c>
      <c r="AO483" s="124">
        <f t="shared" si="347"/>
        <v>0</v>
      </c>
      <c r="AP483" s="124">
        <f t="shared" si="348"/>
        <v>0</v>
      </c>
      <c r="AQ483" s="123" t="s">
        <v>79</v>
      </c>
      <c r="AV483" s="124">
        <f t="shared" si="349"/>
        <v>0</v>
      </c>
      <c r="AW483" s="124">
        <f t="shared" si="350"/>
        <v>0</v>
      </c>
      <c r="AX483" s="124">
        <f t="shared" si="351"/>
        <v>0</v>
      </c>
      <c r="AY483" s="125" t="s">
        <v>649</v>
      </c>
      <c r="AZ483" s="125" t="s">
        <v>1536</v>
      </c>
      <c r="BA483" s="113" t="s">
        <v>1542</v>
      </c>
      <c r="BC483" s="124">
        <f t="shared" si="352"/>
        <v>0</v>
      </c>
      <c r="BD483" s="124">
        <f t="shared" si="353"/>
        <v>0</v>
      </c>
      <c r="BE483" s="124">
        <v>0</v>
      </c>
      <c r="BF483" s="124">
        <f t="shared" si="354"/>
        <v>0</v>
      </c>
      <c r="BH483" s="122">
        <f t="shared" si="355"/>
        <v>0</v>
      </c>
      <c r="BI483" s="122">
        <f t="shared" si="356"/>
        <v>0</v>
      </c>
      <c r="BJ483" s="122">
        <f t="shared" si="357"/>
        <v>0</v>
      </c>
    </row>
    <row r="484" spans="1:62" s="174" customFormat="1" ht="12.75">
      <c r="A484" s="121" t="s">
        <v>916</v>
      </c>
      <c r="B484" s="121" t="s">
        <v>60</v>
      </c>
      <c r="C484" s="121" t="s">
        <v>1214</v>
      </c>
      <c r="D484" s="129" t="s">
        <v>1515</v>
      </c>
      <c r="E484" s="121" t="s">
        <v>613</v>
      </c>
      <c r="F484" s="122">
        <f>'Stavební rozpočet'!F640</f>
        <v>1</v>
      </c>
      <c r="G484" s="172"/>
      <c r="H484" s="122">
        <f aca="true" t="shared" si="358" ref="H484:H511">F484*AO484</f>
        <v>0</v>
      </c>
      <c r="I484" s="122">
        <f aca="true" t="shared" si="359" ref="I484:I511">F484*AP484</f>
        <v>0</v>
      </c>
      <c r="J484" s="122">
        <f aca="true" t="shared" si="360" ref="J484:J511">F484*G484</f>
        <v>0</v>
      </c>
      <c r="K484" s="122">
        <f>'Stavební rozpočet'!K640</f>
        <v>0</v>
      </c>
      <c r="L484" s="122">
        <f aca="true" t="shared" si="361" ref="L484:L511">F484*K484</f>
        <v>0</v>
      </c>
      <c r="M484" s="123" t="s">
        <v>622</v>
      </c>
      <c r="Z484" s="124">
        <f aca="true" t="shared" si="362" ref="Z484:Z511">IF(AQ484="5",BJ484,0)</f>
        <v>0</v>
      </c>
      <c r="AB484" s="124">
        <f aca="true" t="shared" si="363" ref="AB484:AB511">IF(AQ484="1",BH484,0)</f>
        <v>0</v>
      </c>
      <c r="AC484" s="124">
        <f aca="true" t="shared" si="364" ref="AC484:AC511">IF(AQ484="1",BI484,0)</f>
        <v>0</v>
      </c>
      <c r="AD484" s="124">
        <f aca="true" t="shared" si="365" ref="AD484:AD511">IF(AQ484="7",BH484,0)</f>
        <v>0</v>
      </c>
      <c r="AE484" s="124">
        <f aca="true" t="shared" si="366" ref="AE484:AE511">IF(AQ484="7",BI484,0)</f>
        <v>0</v>
      </c>
      <c r="AF484" s="124">
        <f aca="true" t="shared" si="367" ref="AF484:AF511">IF(AQ484="2",BH484,0)</f>
        <v>0</v>
      </c>
      <c r="AG484" s="124">
        <f aca="true" t="shared" si="368" ref="AG484:AG511">IF(AQ484="2",BI484,0)</f>
        <v>0</v>
      </c>
      <c r="AH484" s="124">
        <f aca="true" t="shared" si="369" ref="AH484:AH511">IF(AQ484="0",BJ484,0)</f>
        <v>0</v>
      </c>
      <c r="AI484" s="113" t="s">
        <v>60</v>
      </c>
      <c r="AJ484" s="122">
        <f aca="true" t="shared" si="370" ref="AJ484:AJ511">IF(AN484=0,J484,0)</f>
        <v>0</v>
      </c>
      <c r="AK484" s="122">
        <f aca="true" t="shared" si="371" ref="AK484:AK511">IF(AN484=15,J484,0)</f>
        <v>0</v>
      </c>
      <c r="AL484" s="122">
        <f aca="true" t="shared" si="372" ref="AL484:AL511">IF(AN484=21,J484,0)</f>
        <v>0</v>
      </c>
      <c r="AN484" s="124">
        <v>15</v>
      </c>
      <c r="AO484" s="124">
        <f aca="true" t="shared" si="373" ref="AO484:AO510">G484*0</f>
        <v>0</v>
      </c>
      <c r="AP484" s="124">
        <f aca="true" t="shared" si="374" ref="AP484:AP510">G484*(1-0)</f>
        <v>0</v>
      </c>
      <c r="AQ484" s="123" t="s">
        <v>79</v>
      </c>
      <c r="AV484" s="124">
        <f aca="true" t="shared" si="375" ref="AV484:AV511">AW484+AX484</f>
        <v>0</v>
      </c>
      <c r="AW484" s="124">
        <f aca="true" t="shared" si="376" ref="AW484:AW511">F484*AO484</f>
        <v>0</v>
      </c>
      <c r="AX484" s="124">
        <f aca="true" t="shared" si="377" ref="AX484:AX511">F484*AP484</f>
        <v>0</v>
      </c>
      <c r="AY484" s="125" t="s">
        <v>649</v>
      </c>
      <c r="AZ484" s="125" t="s">
        <v>1536</v>
      </c>
      <c r="BA484" s="113" t="s">
        <v>1542</v>
      </c>
      <c r="BC484" s="124">
        <f aca="true" t="shared" si="378" ref="BC484:BC511">AW484+AX484</f>
        <v>0</v>
      </c>
      <c r="BD484" s="124">
        <f aca="true" t="shared" si="379" ref="BD484:BD511">G484/(100-BE484)*100</f>
        <v>0</v>
      </c>
      <c r="BE484" s="124">
        <v>0</v>
      </c>
      <c r="BF484" s="124">
        <f aca="true" t="shared" si="380" ref="BF484:BF511">L484</f>
        <v>0</v>
      </c>
      <c r="BH484" s="122">
        <f aca="true" t="shared" si="381" ref="BH484:BH511">F484*AO484</f>
        <v>0</v>
      </c>
      <c r="BI484" s="122">
        <f aca="true" t="shared" si="382" ref="BI484:BI511">F484*AP484</f>
        <v>0</v>
      </c>
      <c r="BJ484" s="122">
        <f aca="true" t="shared" si="383" ref="BJ484:BJ511">F484*G484</f>
        <v>0</v>
      </c>
    </row>
    <row r="485" spans="1:62" s="174" customFormat="1" ht="12.75">
      <c r="A485" s="121" t="s">
        <v>917</v>
      </c>
      <c r="B485" s="121" t="s">
        <v>60</v>
      </c>
      <c r="C485" s="121" t="s">
        <v>1215</v>
      </c>
      <c r="D485" s="129" t="s">
        <v>1516</v>
      </c>
      <c r="E485" s="121" t="s">
        <v>613</v>
      </c>
      <c r="F485" s="122">
        <f>'Stavební rozpočet'!F641</f>
        <v>1</v>
      </c>
      <c r="G485" s="172"/>
      <c r="H485" s="122">
        <f t="shared" si="358"/>
        <v>0</v>
      </c>
      <c r="I485" s="122">
        <f t="shared" si="359"/>
        <v>0</v>
      </c>
      <c r="J485" s="122">
        <f t="shared" si="360"/>
        <v>0</v>
      </c>
      <c r="K485" s="122">
        <f>'Stavební rozpočet'!K641</f>
        <v>0</v>
      </c>
      <c r="L485" s="122">
        <f t="shared" si="361"/>
        <v>0</v>
      </c>
      <c r="M485" s="123" t="s">
        <v>622</v>
      </c>
      <c r="Z485" s="124">
        <f t="shared" si="362"/>
        <v>0</v>
      </c>
      <c r="AB485" s="124">
        <f t="shared" si="363"/>
        <v>0</v>
      </c>
      <c r="AC485" s="124">
        <f t="shared" si="364"/>
        <v>0</v>
      </c>
      <c r="AD485" s="124">
        <f t="shared" si="365"/>
        <v>0</v>
      </c>
      <c r="AE485" s="124">
        <f t="shared" si="366"/>
        <v>0</v>
      </c>
      <c r="AF485" s="124">
        <f t="shared" si="367"/>
        <v>0</v>
      </c>
      <c r="AG485" s="124">
        <f t="shared" si="368"/>
        <v>0</v>
      </c>
      <c r="AH485" s="124">
        <f t="shared" si="369"/>
        <v>0</v>
      </c>
      <c r="AI485" s="113" t="s">
        <v>60</v>
      </c>
      <c r="AJ485" s="122">
        <f t="shared" si="370"/>
        <v>0</v>
      </c>
      <c r="AK485" s="122">
        <f t="shared" si="371"/>
        <v>0</v>
      </c>
      <c r="AL485" s="122">
        <f t="shared" si="372"/>
        <v>0</v>
      </c>
      <c r="AN485" s="124">
        <v>15</v>
      </c>
      <c r="AO485" s="124">
        <f t="shared" si="373"/>
        <v>0</v>
      </c>
      <c r="AP485" s="124">
        <f t="shared" si="374"/>
        <v>0</v>
      </c>
      <c r="AQ485" s="123" t="s">
        <v>79</v>
      </c>
      <c r="AV485" s="124">
        <f t="shared" si="375"/>
        <v>0</v>
      </c>
      <c r="AW485" s="124">
        <f t="shared" si="376"/>
        <v>0</v>
      </c>
      <c r="AX485" s="124">
        <f t="shared" si="377"/>
        <v>0</v>
      </c>
      <c r="AY485" s="125" t="s">
        <v>649</v>
      </c>
      <c r="AZ485" s="125" t="s">
        <v>1536</v>
      </c>
      <c r="BA485" s="113" t="s">
        <v>1542</v>
      </c>
      <c r="BC485" s="124">
        <f t="shared" si="378"/>
        <v>0</v>
      </c>
      <c r="BD485" s="124">
        <f t="shared" si="379"/>
        <v>0</v>
      </c>
      <c r="BE485" s="124">
        <v>0</v>
      </c>
      <c r="BF485" s="124">
        <f t="shared" si="380"/>
        <v>0</v>
      </c>
      <c r="BH485" s="122">
        <f t="shared" si="381"/>
        <v>0</v>
      </c>
      <c r="BI485" s="122">
        <f t="shared" si="382"/>
        <v>0</v>
      </c>
      <c r="BJ485" s="122">
        <f t="shared" si="383"/>
        <v>0</v>
      </c>
    </row>
    <row r="486" spans="1:62" s="174" customFormat="1" ht="12.75">
      <c r="A486" s="121" t="s">
        <v>918</v>
      </c>
      <c r="B486" s="121" t="s">
        <v>60</v>
      </c>
      <c r="C486" s="121" t="s">
        <v>1205</v>
      </c>
      <c r="D486" s="129" t="s">
        <v>1516</v>
      </c>
      <c r="E486" s="121" t="s">
        <v>613</v>
      </c>
      <c r="F486" s="122">
        <f>'Stavební rozpočet'!F642</f>
        <v>1</v>
      </c>
      <c r="G486" s="172"/>
      <c r="H486" s="122">
        <f t="shared" si="358"/>
        <v>0</v>
      </c>
      <c r="I486" s="122">
        <f t="shared" si="359"/>
        <v>0</v>
      </c>
      <c r="J486" s="122">
        <f t="shared" si="360"/>
        <v>0</v>
      </c>
      <c r="K486" s="122">
        <f>'Stavební rozpočet'!K642</f>
        <v>0</v>
      </c>
      <c r="L486" s="122">
        <f t="shared" si="361"/>
        <v>0</v>
      </c>
      <c r="M486" s="123" t="s">
        <v>622</v>
      </c>
      <c r="Z486" s="124">
        <f t="shared" si="362"/>
        <v>0</v>
      </c>
      <c r="AB486" s="124">
        <f t="shared" si="363"/>
        <v>0</v>
      </c>
      <c r="AC486" s="124">
        <f t="shared" si="364"/>
        <v>0</v>
      </c>
      <c r="AD486" s="124">
        <f t="shared" si="365"/>
        <v>0</v>
      </c>
      <c r="AE486" s="124">
        <f t="shared" si="366"/>
        <v>0</v>
      </c>
      <c r="AF486" s="124">
        <f t="shared" si="367"/>
        <v>0</v>
      </c>
      <c r="AG486" s="124">
        <f t="shared" si="368"/>
        <v>0</v>
      </c>
      <c r="AH486" s="124">
        <f t="shared" si="369"/>
        <v>0</v>
      </c>
      <c r="AI486" s="113" t="s">
        <v>60</v>
      </c>
      <c r="AJ486" s="122">
        <f t="shared" si="370"/>
        <v>0</v>
      </c>
      <c r="AK486" s="122">
        <f t="shared" si="371"/>
        <v>0</v>
      </c>
      <c r="AL486" s="122">
        <f t="shared" si="372"/>
        <v>0</v>
      </c>
      <c r="AN486" s="124">
        <v>15</v>
      </c>
      <c r="AO486" s="124">
        <f t="shared" si="373"/>
        <v>0</v>
      </c>
      <c r="AP486" s="124">
        <f t="shared" si="374"/>
        <v>0</v>
      </c>
      <c r="AQ486" s="123" t="s">
        <v>79</v>
      </c>
      <c r="AV486" s="124">
        <f t="shared" si="375"/>
        <v>0</v>
      </c>
      <c r="AW486" s="124">
        <f t="shared" si="376"/>
        <v>0</v>
      </c>
      <c r="AX486" s="124">
        <f t="shared" si="377"/>
        <v>0</v>
      </c>
      <c r="AY486" s="125" t="s">
        <v>649</v>
      </c>
      <c r="AZ486" s="125" t="s">
        <v>1536</v>
      </c>
      <c r="BA486" s="113" t="s">
        <v>1542</v>
      </c>
      <c r="BC486" s="124">
        <f t="shared" si="378"/>
        <v>0</v>
      </c>
      <c r="BD486" s="124">
        <f t="shared" si="379"/>
        <v>0</v>
      </c>
      <c r="BE486" s="124">
        <v>0</v>
      </c>
      <c r="BF486" s="124">
        <f t="shared" si="380"/>
        <v>0</v>
      </c>
      <c r="BH486" s="122">
        <f t="shared" si="381"/>
        <v>0</v>
      </c>
      <c r="BI486" s="122">
        <f t="shared" si="382"/>
        <v>0</v>
      </c>
      <c r="BJ486" s="122">
        <f t="shared" si="383"/>
        <v>0</v>
      </c>
    </row>
    <row r="487" spans="1:62" s="174" customFormat="1" ht="12.75">
      <c r="A487" s="121" t="s">
        <v>919</v>
      </c>
      <c r="B487" s="121" t="s">
        <v>60</v>
      </c>
      <c r="C487" s="121" t="s">
        <v>1216</v>
      </c>
      <c r="D487" s="129" t="s">
        <v>1517</v>
      </c>
      <c r="E487" s="121" t="s">
        <v>613</v>
      </c>
      <c r="F487" s="122">
        <f>'Stavební rozpočet'!F643</f>
        <v>1</v>
      </c>
      <c r="G487" s="172"/>
      <c r="H487" s="122">
        <f t="shared" si="358"/>
        <v>0</v>
      </c>
      <c r="I487" s="122">
        <f t="shared" si="359"/>
        <v>0</v>
      </c>
      <c r="J487" s="122">
        <f t="shared" si="360"/>
        <v>0</v>
      </c>
      <c r="K487" s="122">
        <f>'Stavební rozpočet'!K643</f>
        <v>0</v>
      </c>
      <c r="L487" s="122">
        <f t="shared" si="361"/>
        <v>0</v>
      </c>
      <c r="M487" s="123" t="s">
        <v>622</v>
      </c>
      <c r="Z487" s="124">
        <f t="shared" si="362"/>
        <v>0</v>
      </c>
      <c r="AB487" s="124">
        <f t="shared" si="363"/>
        <v>0</v>
      </c>
      <c r="AC487" s="124">
        <f t="shared" si="364"/>
        <v>0</v>
      </c>
      <c r="AD487" s="124">
        <f t="shared" si="365"/>
        <v>0</v>
      </c>
      <c r="AE487" s="124">
        <f t="shared" si="366"/>
        <v>0</v>
      </c>
      <c r="AF487" s="124">
        <f t="shared" si="367"/>
        <v>0</v>
      </c>
      <c r="AG487" s="124">
        <f t="shared" si="368"/>
        <v>0</v>
      </c>
      <c r="AH487" s="124">
        <f t="shared" si="369"/>
        <v>0</v>
      </c>
      <c r="AI487" s="113" t="s">
        <v>60</v>
      </c>
      <c r="AJ487" s="122">
        <f t="shared" si="370"/>
        <v>0</v>
      </c>
      <c r="AK487" s="122">
        <f t="shared" si="371"/>
        <v>0</v>
      </c>
      <c r="AL487" s="122">
        <f t="shared" si="372"/>
        <v>0</v>
      </c>
      <c r="AN487" s="124">
        <v>15</v>
      </c>
      <c r="AO487" s="124">
        <f t="shared" si="373"/>
        <v>0</v>
      </c>
      <c r="AP487" s="124">
        <f t="shared" si="374"/>
        <v>0</v>
      </c>
      <c r="AQ487" s="123" t="s">
        <v>79</v>
      </c>
      <c r="AV487" s="124">
        <f t="shared" si="375"/>
        <v>0</v>
      </c>
      <c r="AW487" s="124">
        <f t="shared" si="376"/>
        <v>0</v>
      </c>
      <c r="AX487" s="124">
        <f t="shared" si="377"/>
        <v>0</v>
      </c>
      <c r="AY487" s="125" t="s">
        <v>649</v>
      </c>
      <c r="AZ487" s="125" t="s">
        <v>1536</v>
      </c>
      <c r="BA487" s="113" t="s">
        <v>1542</v>
      </c>
      <c r="BC487" s="124">
        <f t="shared" si="378"/>
        <v>0</v>
      </c>
      <c r="BD487" s="124">
        <f t="shared" si="379"/>
        <v>0</v>
      </c>
      <c r="BE487" s="124">
        <v>0</v>
      </c>
      <c r="BF487" s="124">
        <f t="shared" si="380"/>
        <v>0</v>
      </c>
      <c r="BH487" s="122">
        <f t="shared" si="381"/>
        <v>0</v>
      </c>
      <c r="BI487" s="122">
        <f t="shared" si="382"/>
        <v>0</v>
      </c>
      <c r="BJ487" s="122">
        <f t="shared" si="383"/>
        <v>0</v>
      </c>
    </row>
    <row r="488" spans="1:62" s="174" customFormat="1" ht="12.75">
      <c r="A488" s="121" t="s">
        <v>920</v>
      </c>
      <c r="B488" s="121" t="s">
        <v>60</v>
      </c>
      <c r="C488" s="121" t="s">
        <v>1217</v>
      </c>
      <c r="D488" s="129" t="s">
        <v>1517</v>
      </c>
      <c r="E488" s="121" t="s">
        <v>613</v>
      </c>
      <c r="F488" s="122">
        <f>'Stavební rozpočet'!F644</f>
        <v>1</v>
      </c>
      <c r="G488" s="172"/>
      <c r="H488" s="122">
        <f t="shared" si="358"/>
        <v>0</v>
      </c>
      <c r="I488" s="122">
        <f t="shared" si="359"/>
        <v>0</v>
      </c>
      <c r="J488" s="122">
        <f t="shared" si="360"/>
        <v>0</v>
      </c>
      <c r="K488" s="122">
        <f>'Stavební rozpočet'!K644</f>
        <v>0</v>
      </c>
      <c r="L488" s="122">
        <f t="shared" si="361"/>
        <v>0</v>
      </c>
      <c r="M488" s="123" t="s">
        <v>622</v>
      </c>
      <c r="Z488" s="124">
        <f t="shared" si="362"/>
        <v>0</v>
      </c>
      <c r="AB488" s="124">
        <f t="shared" si="363"/>
        <v>0</v>
      </c>
      <c r="AC488" s="124">
        <f t="shared" si="364"/>
        <v>0</v>
      </c>
      <c r="AD488" s="124">
        <f t="shared" si="365"/>
        <v>0</v>
      </c>
      <c r="AE488" s="124">
        <f t="shared" si="366"/>
        <v>0</v>
      </c>
      <c r="AF488" s="124">
        <f t="shared" si="367"/>
        <v>0</v>
      </c>
      <c r="AG488" s="124">
        <f t="shared" si="368"/>
        <v>0</v>
      </c>
      <c r="AH488" s="124">
        <f t="shared" si="369"/>
        <v>0</v>
      </c>
      <c r="AI488" s="113" t="s">
        <v>60</v>
      </c>
      <c r="AJ488" s="122">
        <f t="shared" si="370"/>
        <v>0</v>
      </c>
      <c r="AK488" s="122">
        <f t="shared" si="371"/>
        <v>0</v>
      </c>
      <c r="AL488" s="122">
        <f t="shared" si="372"/>
        <v>0</v>
      </c>
      <c r="AN488" s="124">
        <v>15</v>
      </c>
      <c r="AO488" s="124">
        <f t="shared" si="373"/>
        <v>0</v>
      </c>
      <c r="AP488" s="124">
        <f t="shared" si="374"/>
        <v>0</v>
      </c>
      <c r="AQ488" s="123" t="s">
        <v>79</v>
      </c>
      <c r="AV488" s="124">
        <f t="shared" si="375"/>
        <v>0</v>
      </c>
      <c r="AW488" s="124">
        <f t="shared" si="376"/>
        <v>0</v>
      </c>
      <c r="AX488" s="124">
        <f t="shared" si="377"/>
        <v>0</v>
      </c>
      <c r="AY488" s="125" t="s">
        <v>649</v>
      </c>
      <c r="AZ488" s="125" t="s">
        <v>1536</v>
      </c>
      <c r="BA488" s="113" t="s">
        <v>1542</v>
      </c>
      <c r="BC488" s="124">
        <f t="shared" si="378"/>
        <v>0</v>
      </c>
      <c r="BD488" s="124">
        <f t="shared" si="379"/>
        <v>0</v>
      </c>
      <c r="BE488" s="124">
        <v>0</v>
      </c>
      <c r="BF488" s="124">
        <f t="shared" si="380"/>
        <v>0</v>
      </c>
      <c r="BH488" s="122">
        <f t="shared" si="381"/>
        <v>0</v>
      </c>
      <c r="BI488" s="122">
        <f t="shared" si="382"/>
        <v>0</v>
      </c>
      <c r="BJ488" s="122">
        <f t="shared" si="383"/>
        <v>0</v>
      </c>
    </row>
    <row r="489" spans="1:62" s="174" customFormat="1" ht="12.75">
      <c r="A489" s="121" t="s">
        <v>921</v>
      </c>
      <c r="B489" s="121" t="s">
        <v>60</v>
      </c>
      <c r="C489" s="121" t="s">
        <v>403</v>
      </c>
      <c r="D489" s="129" t="s">
        <v>589</v>
      </c>
      <c r="E489" s="121" t="s">
        <v>606</v>
      </c>
      <c r="F489" s="122">
        <f>'Stavební rozpočet'!F645</f>
        <v>1</v>
      </c>
      <c r="G489" s="172"/>
      <c r="H489" s="122">
        <f t="shared" si="358"/>
        <v>0</v>
      </c>
      <c r="I489" s="122">
        <f t="shared" si="359"/>
        <v>0</v>
      </c>
      <c r="J489" s="122">
        <f t="shared" si="360"/>
        <v>0</v>
      </c>
      <c r="K489" s="122">
        <f>'Stavební rozpočet'!K645</f>
        <v>0</v>
      </c>
      <c r="L489" s="122">
        <f t="shared" si="361"/>
        <v>0</v>
      </c>
      <c r="M489" s="123" t="s">
        <v>622</v>
      </c>
      <c r="Z489" s="124">
        <f t="shared" si="362"/>
        <v>0</v>
      </c>
      <c r="AB489" s="124">
        <f t="shared" si="363"/>
        <v>0</v>
      </c>
      <c r="AC489" s="124">
        <f t="shared" si="364"/>
        <v>0</v>
      </c>
      <c r="AD489" s="124">
        <f t="shared" si="365"/>
        <v>0</v>
      </c>
      <c r="AE489" s="124">
        <f t="shared" si="366"/>
        <v>0</v>
      </c>
      <c r="AF489" s="124">
        <f t="shared" si="367"/>
        <v>0</v>
      </c>
      <c r="AG489" s="124">
        <f t="shared" si="368"/>
        <v>0</v>
      </c>
      <c r="AH489" s="124">
        <f t="shared" si="369"/>
        <v>0</v>
      </c>
      <c r="AI489" s="113" t="s">
        <v>60</v>
      </c>
      <c r="AJ489" s="122">
        <f t="shared" si="370"/>
        <v>0</v>
      </c>
      <c r="AK489" s="122">
        <f t="shared" si="371"/>
        <v>0</v>
      </c>
      <c r="AL489" s="122">
        <f t="shared" si="372"/>
        <v>0</v>
      </c>
      <c r="AN489" s="124">
        <v>15</v>
      </c>
      <c r="AO489" s="124">
        <f t="shared" si="373"/>
        <v>0</v>
      </c>
      <c r="AP489" s="124">
        <f t="shared" si="374"/>
        <v>0</v>
      </c>
      <c r="AQ489" s="123" t="s">
        <v>79</v>
      </c>
      <c r="AV489" s="124">
        <f t="shared" si="375"/>
        <v>0</v>
      </c>
      <c r="AW489" s="124">
        <f t="shared" si="376"/>
        <v>0</v>
      </c>
      <c r="AX489" s="124">
        <f t="shared" si="377"/>
        <v>0</v>
      </c>
      <c r="AY489" s="125" t="s">
        <v>649</v>
      </c>
      <c r="AZ489" s="125" t="s">
        <v>1536</v>
      </c>
      <c r="BA489" s="113" t="s">
        <v>1542</v>
      </c>
      <c r="BC489" s="124">
        <f t="shared" si="378"/>
        <v>0</v>
      </c>
      <c r="BD489" s="124">
        <f t="shared" si="379"/>
        <v>0</v>
      </c>
      <c r="BE489" s="124">
        <v>0</v>
      </c>
      <c r="BF489" s="124">
        <f t="shared" si="380"/>
        <v>0</v>
      </c>
      <c r="BH489" s="122">
        <f t="shared" si="381"/>
        <v>0</v>
      </c>
      <c r="BI489" s="122">
        <f t="shared" si="382"/>
        <v>0</v>
      </c>
      <c r="BJ489" s="122">
        <f t="shared" si="383"/>
        <v>0</v>
      </c>
    </row>
    <row r="490" spans="1:62" s="174" customFormat="1" ht="12.75">
      <c r="A490" s="121" t="s">
        <v>922</v>
      </c>
      <c r="B490" s="121" t="s">
        <v>60</v>
      </c>
      <c r="C490" s="121" t="s">
        <v>404</v>
      </c>
      <c r="D490" s="129" t="s">
        <v>590</v>
      </c>
      <c r="E490" s="121" t="s">
        <v>606</v>
      </c>
      <c r="F490" s="122">
        <f>'Stavební rozpočet'!F646</f>
        <v>31</v>
      </c>
      <c r="G490" s="172"/>
      <c r="H490" s="122">
        <f t="shared" si="358"/>
        <v>0</v>
      </c>
      <c r="I490" s="122">
        <f t="shared" si="359"/>
        <v>0</v>
      </c>
      <c r="J490" s="122">
        <f t="shared" si="360"/>
        <v>0</v>
      </c>
      <c r="K490" s="122">
        <f>'Stavební rozpočet'!K646</f>
        <v>0</v>
      </c>
      <c r="L490" s="122">
        <f t="shared" si="361"/>
        <v>0</v>
      </c>
      <c r="M490" s="123" t="s">
        <v>622</v>
      </c>
      <c r="Z490" s="124">
        <f t="shared" si="362"/>
        <v>0</v>
      </c>
      <c r="AB490" s="124">
        <f t="shared" si="363"/>
        <v>0</v>
      </c>
      <c r="AC490" s="124">
        <f t="shared" si="364"/>
        <v>0</v>
      </c>
      <c r="AD490" s="124">
        <f t="shared" si="365"/>
        <v>0</v>
      </c>
      <c r="AE490" s="124">
        <f t="shared" si="366"/>
        <v>0</v>
      </c>
      <c r="AF490" s="124">
        <f t="shared" si="367"/>
        <v>0</v>
      </c>
      <c r="AG490" s="124">
        <f t="shared" si="368"/>
        <v>0</v>
      </c>
      <c r="AH490" s="124">
        <f t="shared" si="369"/>
        <v>0</v>
      </c>
      <c r="AI490" s="113" t="s">
        <v>60</v>
      </c>
      <c r="AJ490" s="122">
        <f t="shared" si="370"/>
        <v>0</v>
      </c>
      <c r="AK490" s="122">
        <f t="shared" si="371"/>
        <v>0</v>
      </c>
      <c r="AL490" s="122">
        <f t="shared" si="372"/>
        <v>0</v>
      </c>
      <c r="AN490" s="124">
        <v>15</v>
      </c>
      <c r="AO490" s="124">
        <f t="shared" si="373"/>
        <v>0</v>
      </c>
      <c r="AP490" s="124">
        <f t="shared" si="374"/>
        <v>0</v>
      </c>
      <c r="AQ490" s="123" t="s">
        <v>79</v>
      </c>
      <c r="AV490" s="124">
        <f t="shared" si="375"/>
        <v>0</v>
      </c>
      <c r="AW490" s="124">
        <f t="shared" si="376"/>
        <v>0</v>
      </c>
      <c r="AX490" s="124">
        <f t="shared" si="377"/>
        <v>0</v>
      </c>
      <c r="AY490" s="125" t="s">
        <v>649</v>
      </c>
      <c r="AZ490" s="125" t="s">
        <v>1536</v>
      </c>
      <c r="BA490" s="113" t="s">
        <v>1542</v>
      </c>
      <c r="BC490" s="124">
        <f t="shared" si="378"/>
        <v>0</v>
      </c>
      <c r="BD490" s="124">
        <f t="shared" si="379"/>
        <v>0</v>
      </c>
      <c r="BE490" s="124">
        <v>0</v>
      </c>
      <c r="BF490" s="124">
        <f t="shared" si="380"/>
        <v>0</v>
      </c>
      <c r="BH490" s="122">
        <f t="shared" si="381"/>
        <v>0</v>
      </c>
      <c r="BI490" s="122">
        <f t="shared" si="382"/>
        <v>0</v>
      </c>
      <c r="BJ490" s="122">
        <f t="shared" si="383"/>
        <v>0</v>
      </c>
    </row>
    <row r="491" spans="1:62" s="174" customFormat="1" ht="12.75">
      <c r="A491" s="121" t="s">
        <v>923</v>
      </c>
      <c r="B491" s="121" t="s">
        <v>60</v>
      </c>
      <c r="C491" s="121" t="s">
        <v>1218</v>
      </c>
      <c r="D491" s="129" t="s">
        <v>1518</v>
      </c>
      <c r="E491" s="121" t="s">
        <v>606</v>
      </c>
      <c r="F491" s="122">
        <f>'Stavební rozpočet'!F647</f>
        <v>10</v>
      </c>
      <c r="G491" s="172"/>
      <c r="H491" s="122">
        <f t="shared" si="358"/>
        <v>0</v>
      </c>
      <c r="I491" s="122">
        <f t="shared" si="359"/>
        <v>0</v>
      </c>
      <c r="J491" s="122">
        <f t="shared" si="360"/>
        <v>0</v>
      </c>
      <c r="K491" s="122">
        <f>'Stavební rozpočet'!K647</f>
        <v>0</v>
      </c>
      <c r="L491" s="122">
        <f t="shared" si="361"/>
        <v>0</v>
      </c>
      <c r="M491" s="123" t="s">
        <v>622</v>
      </c>
      <c r="Z491" s="124">
        <f t="shared" si="362"/>
        <v>0</v>
      </c>
      <c r="AB491" s="124">
        <f t="shared" si="363"/>
        <v>0</v>
      </c>
      <c r="AC491" s="124">
        <f t="shared" si="364"/>
        <v>0</v>
      </c>
      <c r="AD491" s="124">
        <f t="shared" si="365"/>
        <v>0</v>
      </c>
      <c r="AE491" s="124">
        <f t="shared" si="366"/>
        <v>0</v>
      </c>
      <c r="AF491" s="124">
        <f t="shared" si="367"/>
        <v>0</v>
      </c>
      <c r="AG491" s="124">
        <f t="shared" si="368"/>
        <v>0</v>
      </c>
      <c r="AH491" s="124">
        <f t="shared" si="369"/>
        <v>0</v>
      </c>
      <c r="AI491" s="113" t="s">
        <v>60</v>
      </c>
      <c r="AJ491" s="122">
        <f t="shared" si="370"/>
        <v>0</v>
      </c>
      <c r="AK491" s="122">
        <f t="shared" si="371"/>
        <v>0</v>
      </c>
      <c r="AL491" s="122">
        <f t="shared" si="372"/>
        <v>0</v>
      </c>
      <c r="AN491" s="124">
        <v>15</v>
      </c>
      <c r="AO491" s="124">
        <f t="shared" si="373"/>
        <v>0</v>
      </c>
      <c r="AP491" s="124">
        <f t="shared" si="374"/>
        <v>0</v>
      </c>
      <c r="AQ491" s="123" t="s">
        <v>79</v>
      </c>
      <c r="AV491" s="124">
        <f t="shared" si="375"/>
        <v>0</v>
      </c>
      <c r="AW491" s="124">
        <f t="shared" si="376"/>
        <v>0</v>
      </c>
      <c r="AX491" s="124">
        <f t="shared" si="377"/>
        <v>0</v>
      </c>
      <c r="AY491" s="125" t="s">
        <v>649</v>
      </c>
      <c r="AZ491" s="125" t="s">
        <v>1536</v>
      </c>
      <c r="BA491" s="113" t="s">
        <v>1542</v>
      </c>
      <c r="BC491" s="124">
        <f t="shared" si="378"/>
        <v>0</v>
      </c>
      <c r="BD491" s="124">
        <f t="shared" si="379"/>
        <v>0</v>
      </c>
      <c r="BE491" s="124">
        <v>0</v>
      </c>
      <c r="BF491" s="124">
        <f t="shared" si="380"/>
        <v>0</v>
      </c>
      <c r="BH491" s="122">
        <f t="shared" si="381"/>
        <v>0</v>
      </c>
      <c r="BI491" s="122">
        <f t="shared" si="382"/>
        <v>0</v>
      </c>
      <c r="BJ491" s="122">
        <f t="shared" si="383"/>
        <v>0</v>
      </c>
    </row>
    <row r="492" spans="1:62" s="174" customFormat="1" ht="12.75">
      <c r="A492" s="121" t="s">
        <v>924</v>
      </c>
      <c r="B492" s="121" t="s">
        <v>60</v>
      </c>
      <c r="C492" s="121" t="s">
        <v>1219</v>
      </c>
      <c r="D492" s="129" t="s">
        <v>1519</v>
      </c>
      <c r="E492" s="121" t="s">
        <v>606</v>
      </c>
      <c r="F492" s="122">
        <f>'Stavební rozpočet'!F648</f>
        <v>2</v>
      </c>
      <c r="G492" s="172"/>
      <c r="H492" s="122">
        <f t="shared" si="358"/>
        <v>0</v>
      </c>
      <c r="I492" s="122">
        <f t="shared" si="359"/>
        <v>0</v>
      </c>
      <c r="J492" s="122">
        <f t="shared" si="360"/>
        <v>0</v>
      </c>
      <c r="K492" s="122">
        <f>'Stavební rozpočet'!K648</f>
        <v>0</v>
      </c>
      <c r="L492" s="122">
        <f t="shared" si="361"/>
        <v>0</v>
      </c>
      <c r="M492" s="123" t="s">
        <v>622</v>
      </c>
      <c r="Z492" s="124">
        <f t="shared" si="362"/>
        <v>0</v>
      </c>
      <c r="AB492" s="124">
        <f t="shared" si="363"/>
        <v>0</v>
      </c>
      <c r="AC492" s="124">
        <f t="shared" si="364"/>
        <v>0</v>
      </c>
      <c r="AD492" s="124">
        <f t="shared" si="365"/>
        <v>0</v>
      </c>
      <c r="AE492" s="124">
        <f t="shared" si="366"/>
        <v>0</v>
      </c>
      <c r="AF492" s="124">
        <f t="shared" si="367"/>
        <v>0</v>
      </c>
      <c r="AG492" s="124">
        <f t="shared" si="368"/>
        <v>0</v>
      </c>
      <c r="AH492" s="124">
        <f t="shared" si="369"/>
        <v>0</v>
      </c>
      <c r="AI492" s="113" t="s">
        <v>60</v>
      </c>
      <c r="AJ492" s="122">
        <f t="shared" si="370"/>
        <v>0</v>
      </c>
      <c r="AK492" s="122">
        <f t="shared" si="371"/>
        <v>0</v>
      </c>
      <c r="AL492" s="122">
        <f t="shared" si="372"/>
        <v>0</v>
      </c>
      <c r="AN492" s="124">
        <v>15</v>
      </c>
      <c r="AO492" s="124">
        <f t="shared" si="373"/>
        <v>0</v>
      </c>
      <c r="AP492" s="124">
        <f t="shared" si="374"/>
        <v>0</v>
      </c>
      <c r="AQ492" s="123" t="s">
        <v>79</v>
      </c>
      <c r="AV492" s="124">
        <f t="shared" si="375"/>
        <v>0</v>
      </c>
      <c r="AW492" s="124">
        <f t="shared" si="376"/>
        <v>0</v>
      </c>
      <c r="AX492" s="124">
        <f t="shared" si="377"/>
        <v>0</v>
      </c>
      <c r="AY492" s="125" t="s">
        <v>649</v>
      </c>
      <c r="AZ492" s="125" t="s">
        <v>1536</v>
      </c>
      <c r="BA492" s="113" t="s">
        <v>1542</v>
      </c>
      <c r="BC492" s="124">
        <f t="shared" si="378"/>
        <v>0</v>
      </c>
      <c r="BD492" s="124">
        <f t="shared" si="379"/>
        <v>0</v>
      </c>
      <c r="BE492" s="124">
        <v>0</v>
      </c>
      <c r="BF492" s="124">
        <f t="shared" si="380"/>
        <v>0</v>
      </c>
      <c r="BH492" s="122">
        <f t="shared" si="381"/>
        <v>0</v>
      </c>
      <c r="BI492" s="122">
        <f t="shared" si="382"/>
        <v>0</v>
      </c>
      <c r="BJ492" s="122">
        <f t="shared" si="383"/>
        <v>0</v>
      </c>
    </row>
    <row r="493" spans="1:62" s="174" customFormat="1" ht="12.75" hidden="1">
      <c r="A493" s="121" t="s">
        <v>925</v>
      </c>
      <c r="B493" s="121" t="s">
        <v>60</v>
      </c>
      <c r="C493" s="121" t="s">
        <v>1220</v>
      </c>
      <c r="D493" s="129" t="s">
        <v>1520</v>
      </c>
      <c r="E493" s="121" t="s">
        <v>606</v>
      </c>
      <c r="F493" s="122">
        <f>'Stavební rozpočet'!F649</f>
        <v>0</v>
      </c>
      <c r="G493" s="172"/>
      <c r="H493" s="122">
        <f t="shared" si="358"/>
        <v>0</v>
      </c>
      <c r="I493" s="122">
        <f t="shared" si="359"/>
        <v>0</v>
      </c>
      <c r="J493" s="122">
        <f t="shared" si="360"/>
        <v>0</v>
      </c>
      <c r="K493" s="122">
        <f>'Stavební rozpočet'!K649</f>
        <v>0</v>
      </c>
      <c r="L493" s="122">
        <f t="shared" si="361"/>
        <v>0</v>
      </c>
      <c r="M493" s="123" t="s">
        <v>622</v>
      </c>
      <c r="Z493" s="124">
        <f t="shared" si="362"/>
        <v>0</v>
      </c>
      <c r="AB493" s="124">
        <f t="shared" si="363"/>
        <v>0</v>
      </c>
      <c r="AC493" s="124">
        <f t="shared" si="364"/>
        <v>0</v>
      </c>
      <c r="AD493" s="124">
        <f t="shared" si="365"/>
        <v>0</v>
      </c>
      <c r="AE493" s="124">
        <f t="shared" si="366"/>
        <v>0</v>
      </c>
      <c r="AF493" s="124">
        <f t="shared" si="367"/>
        <v>0</v>
      </c>
      <c r="AG493" s="124">
        <f t="shared" si="368"/>
        <v>0</v>
      </c>
      <c r="AH493" s="124">
        <f t="shared" si="369"/>
        <v>0</v>
      </c>
      <c r="AI493" s="113" t="s">
        <v>60</v>
      </c>
      <c r="AJ493" s="122">
        <f t="shared" si="370"/>
        <v>0</v>
      </c>
      <c r="AK493" s="122">
        <f t="shared" si="371"/>
        <v>0</v>
      </c>
      <c r="AL493" s="122">
        <f t="shared" si="372"/>
        <v>0</v>
      </c>
      <c r="AN493" s="124">
        <v>15</v>
      </c>
      <c r="AO493" s="124">
        <f t="shared" si="373"/>
        <v>0</v>
      </c>
      <c r="AP493" s="124">
        <f t="shared" si="374"/>
        <v>0</v>
      </c>
      <c r="AQ493" s="123" t="s">
        <v>79</v>
      </c>
      <c r="AV493" s="124">
        <f t="shared" si="375"/>
        <v>0</v>
      </c>
      <c r="AW493" s="124">
        <f t="shared" si="376"/>
        <v>0</v>
      </c>
      <c r="AX493" s="124">
        <f t="shared" si="377"/>
        <v>0</v>
      </c>
      <c r="AY493" s="125" t="s">
        <v>649</v>
      </c>
      <c r="AZ493" s="125" t="s">
        <v>1536</v>
      </c>
      <c r="BA493" s="113" t="s">
        <v>1542</v>
      </c>
      <c r="BC493" s="124">
        <f t="shared" si="378"/>
        <v>0</v>
      </c>
      <c r="BD493" s="124">
        <f t="shared" si="379"/>
        <v>0</v>
      </c>
      <c r="BE493" s="124">
        <v>0</v>
      </c>
      <c r="BF493" s="124">
        <f t="shared" si="380"/>
        <v>0</v>
      </c>
      <c r="BH493" s="122">
        <f t="shared" si="381"/>
        <v>0</v>
      </c>
      <c r="BI493" s="122">
        <f t="shared" si="382"/>
        <v>0</v>
      </c>
      <c r="BJ493" s="122">
        <f t="shared" si="383"/>
        <v>0</v>
      </c>
    </row>
    <row r="494" spans="1:62" s="174" customFormat="1" ht="12.75" hidden="1">
      <c r="A494" s="121" t="s">
        <v>926</v>
      </c>
      <c r="B494" s="121" t="s">
        <v>60</v>
      </c>
      <c r="C494" s="121" t="s">
        <v>405</v>
      </c>
      <c r="D494" s="129" t="s">
        <v>591</v>
      </c>
      <c r="E494" s="121" t="s">
        <v>606</v>
      </c>
      <c r="F494" s="122">
        <f>'Stavební rozpočet'!F650</f>
        <v>0</v>
      </c>
      <c r="G494" s="172"/>
      <c r="H494" s="122">
        <f t="shared" si="358"/>
        <v>0</v>
      </c>
      <c r="I494" s="122">
        <f t="shared" si="359"/>
        <v>0</v>
      </c>
      <c r="J494" s="122">
        <f t="shared" si="360"/>
        <v>0</v>
      </c>
      <c r="K494" s="122">
        <f>'Stavební rozpočet'!K650</f>
        <v>0</v>
      </c>
      <c r="L494" s="122">
        <f t="shared" si="361"/>
        <v>0</v>
      </c>
      <c r="M494" s="123" t="s">
        <v>622</v>
      </c>
      <c r="Z494" s="124">
        <f t="shared" si="362"/>
        <v>0</v>
      </c>
      <c r="AB494" s="124">
        <f t="shared" si="363"/>
        <v>0</v>
      </c>
      <c r="AC494" s="124">
        <f t="shared" si="364"/>
        <v>0</v>
      </c>
      <c r="AD494" s="124">
        <f t="shared" si="365"/>
        <v>0</v>
      </c>
      <c r="AE494" s="124">
        <f t="shared" si="366"/>
        <v>0</v>
      </c>
      <c r="AF494" s="124">
        <f t="shared" si="367"/>
        <v>0</v>
      </c>
      <c r="AG494" s="124">
        <f t="shared" si="368"/>
        <v>0</v>
      </c>
      <c r="AH494" s="124">
        <f t="shared" si="369"/>
        <v>0</v>
      </c>
      <c r="AI494" s="113" t="s">
        <v>60</v>
      </c>
      <c r="AJ494" s="122">
        <f t="shared" si="370"/>
        <v>0</v>
      </c>
      <c r="AK494" s="122">
        <f t="shared" si="371"/>
        <v>0</v>
      </c>
      <c r="AL494" s="122">
        <f t="shared" si="372"/>
        <v>0</v>
      </c>
      <c r="AN494" s="124">
        <v>15</v>
      </c>
      <c r="AO494" s="124">
        <f t="shared" si="373"/>
        <v>0</v>
      </c>
      <c r="AP494" s="124">
        <f t="shared" si="374"/>
        <v>0</v>
      </c>
      <c r="AQ494" s="123" t="s">
        <v>79</v>
      </c>
      <c r="AV494" s="124">
        <f t="shared" si="375"/>
        <v>0</v>
      </c>
      <c r="AW494" s="124">
        <f t="shared" si="376"/>
        <v>0</v>
      </c>
      <c r="AX494" s="124">
        <f t="shared" si="377"/>
        <v>0</v>
      </c>
      <c r="AY494" s="125" t="s">
        <v>649</v>
      </c>
      <c r="AZ494" s="125" t="s">
        <v>1536</v>
      </c>
      <c r="BA494" s="113" t="s">
        <v>1542</v>
      </c>
      <c r="BC494" s="124">
        <f t="shared" si="378"/>
        <v>0</v>
      </c>
      <c r="BD494" s="124">
        <f t="shared" si="379"/>
        <v>0</v>
      </c>
      <c r="BE494" s="124">
        <v>0</v>
      </c>
      <c r="BF494" s="124">
        <f t="shared" si="380"/>
        <v>0</v>
      </c>
      <c r="BH494" s="122">
        <f t="shared" si="381"/>
        <v>0</v>
      </c>
      <c r="BI494" s="122">
        <f t="shared" si="382"/>
        <v>0</v>
      </c>
      <c r="BJ494" s="122">
        <f t="shared" si="383"/>
        <v>0</v>
      </c>
    </row>
    <row r="495" spans="1:62" s="174" customFormat="1" ht="12.75" hidden="1">
      <c r="A495" s="121" t="s">
        <v>927</v>
      </c>
      <c r="B495" s="121" t="s">
        <v>60</v>
      </c>
      <c r="C495" s="121" t="s">
        <v>406</v>
      </c>
      <c r="D495" s="129" t="s">
        <v>592</v>
      </c>
      <c r="E495" s="121" t="s">
        <v>606</v>
      </c>
      <c r="F495" s="122">
        <f>'Stavební rozpočet'!F651</f>
        <v>0</v>
      </c>
      <c r="G495" s="172"/>
      <c r="H495" s="122">
        <f t="shared" si="358"/>
        <v>0</v>
      </c>
      <c r="I495" s="122">
        <f t="shared" si="359"/>
        <v>0</v>
      </c>
      <c r="J495" s="122">
        <f t="shared" si="360"/>
        <v>0</v>
      </c>
      <c r="K495" s="122">
        <f>'Stavební rozpočet'!K651</f>
        <v>0</v>
      </c>
      <c r="L495" s="122">
        <f t="shared" si="361"/>
        <v>0</v>
      </c>
      <c r="M495" s="123" t="s">
        <v>622</v>
      </c>
      <c r="Z495" s="124">
        <f t="shared" si="362"/>
        <v>0</v>
      </c>
      <c r="AB495" s="124">
        <f t="shared" si="363"/>
        <v>0</v>
      </c>
      <c r="AC495" s="124">
        <f t="shared" si="364"/>
        <v>0</v>
      </c>
      <c r="AD495" s="124">
        <f t="shared" si="365"/>
        <v>0</v>
      </c>
      <c r="AE495" s="124">
        <f t="shared" si="366"/>
        <v>0</v>
      </c>
      <c r="AF495" s="124">
        <f t="shared" si="367"/>
        <v>0</v>
      </c>
      <c r="AG495" s="124">
        <f t="shared" si="368"/>
        <v>0</v>
      </c>
      <c r="AH495" s="124">
        <f t="shared" si="369"/>
        <v>0</v>
      </c>
      <c r="AI495" s="113" t="s">
        <v>60</v>
      </c>
      <c r="AJ495" s="122">
        <f t="shared" si="370"/>
        <v>0</v>
      </c>
      <c r="AK495" s="122">
        <f t="shared" si="371"/>
        <v>0</v>
      </c>
      <c r="AL495" s="122">
        <f t="shared" si="372"/>
        <v>0</v>
      </c>
      <c r="AN495" s="124">
        <v>15</v>
      </c>
      <c r="AO495" s="124">
        <f t="shared" si="373"/>
        <v>0</v>
      </c>
      <c r="AP495" s="124">
        <f t="shared" si="374"/>
        <v>0</v>
      </c>
      <c r="AQ495" s="123" t="s">
        <v>79</v>
      </c>
      <c r="AV495" s="124">
        <f t="shared" si="375"/>
        <v>0</v>
      </c>
      <c r="AW495" s="124">
        <f t="shared" si="376"/>
        <v>0</v>
      </c>
      <c r="AX495" s="124">
        <f t="shared" si="377"/>
        <v>0</v>
      </c>
      <c r="AY495" s="125" t="s">
        <v>649</v>
      </c>
      <c r="AZ495" s="125" t="s">
        <v>1536</v>
      </c>
      <c r="BA495" s="113" t="s">
        <v>1542</v>
      </c>
      <c r="BC495" s="124">
        <f t="shared" si="378"/>
        <v>0</v>
      </c>
      <c r="BD495" s="124">
        <f t="shared" si="379"/>
        <v>0</v>
      </c>
      <c r="BE495" s="124">
        <v>0</v>
      </c>
      <c r="BF495" s="124">
        <f t="shared" si="380"/>
        <v>0</v>
      </c>
      <c r="BH495" s="122">
        <f t="shared" si="381"/>
        <v>0</v>
      </c>
      <c r="BI495" s="122">
        <f t="shared" si="382"/>
        <v>0</v>
      </c>
      <c r="BJ495" s="122">
        <f t="shared" si="383"/>
        <v>0</v>
      </c>
    </row>
    <row r="496" spans="1:62" s="174" customFormat="1" ht="12.75">
      <c r="A496" s="121" t="s">
        <v>928</v>
      </c>
      <c r="B496" s="121" t="s">
        <v>60</v>
      </c>
      <c r="C496" s="121" t="s">
        <v>407</v>
      </c>
      <c r="D496" s="129" t="s">
        <v>593</v>
      </c>
      <c r="E496" s="121" t="s">
        <v>606</v>
      </c>
      <c r="F496" s="122">
        <f>'Stavební rozpočet'!F652</f>
        <v>3</v>
      </c>
      <c r="G496" s="172"/>
      <c r="H496" s="122">
        <f t="shared" si="358"/>
        <v>0</v>
      </c>
      <c r="I496" s="122">
        <f t="shared" si="359"/>
        <v>0</v>
      </c>
      <c r="J496" s="122">
        <f t="shared" si="360"/>
        <v>0</v>
      </c>
      <c r="K496" s="122">
        <f>'Stavební rozpočet'!K652</f>
        <v>0</v>
      </c>
      <c r="L496" s="122">
        <f t="shared" si="361"/>
        <v>0</v>
      </c>
      <c r="M496" s="123" t="s">
        <v>622</v>
      </c>
      <c r="Z496" s="124">
        <f t="shared" si="362"/>
        <v>0</v>
      </c>
      <c r="AB496" s="124">
        <f t="shared" si="363"/>
        <v>0</v>
      </c>
      <c r="AC496" s="124">
        <f t="shared" si="364"/>
        <v>0</v>
      </c>
      <c r="AD496" s="124">
        <f t="shared" si="365"/>
        <v>0</v>
      </c>
      <c r="AE496" s="124">
        <f t="shared" si="366"/>
        <v>0</v>
      </c>
      <c r="AF496" s="124">
        <f t="shared" si="367"/>
        <v>0</v>
      </c>
      <c r="AG496" s="124">
        <f t="shared" si="368"/>
        <v>0</v>
      </c>
      <c r="AH496" s="124">
        <f t="shared" si="369"/>
        <v>0</v>
      </c>
      <c r="AI496" s="113" t="s">
        <v>60</v>
      </c>
      <c r="AJ496" s="122">
        <f t="shared" si="370"/>
        <v>0</v>
      </c>
      <c r="AK496" s="122">
        <f t="shared" si="371"/>
        <v>0</v>
      </c>
      <c r="AL496" s="122">
        <f t="shared" si="372"/>
        <v>0</v>
      </c>
      <c r="AN496" s="124">
        <v>15</v>
      </c>
      <c r="AO496" s="124">
        <f t="shared" si="373"/>
        <v>0</v>
      </c>
      <c r="AP496" s="124">
        <f t="shared" si="374"/>
        <v>0</v>
      </c>
      <c r="AQ496" s="123" t="s">
        <v>79</v>
      </c>
      <c r="AV496" s="124">
        <f t="shared" si="375"/>
        <v>0</v>
      </c>
      <c r="AW496" s="124">
        <f t="shared" si="376"/>
        <v>0</v>
      </c>
      <c r="AX496" s="124">
        <f t="shared" si="377"/>
        <v>0</v>
      </c>
      <c r="AY496" s="125" t="s">
        <v>649</v>
      </c>
      <c r="AZ496" s="125" t="s">
        <v>1536</v>
      </c>
      <c r="BA496" s="113" t="s">
        <v>1542</v>
      </c>
      <c r="BC496" s="124">
        <f t="shared" si="378"/>
        <v>0</v>
      </c>
      <c r="BD496" s="124">
        <f t="shared" si="379"/>
        <v>0</v>
      </c>
      <c r="BE496" s="124">
        <v>0</v>
      </c>
      <c r="BF496" s="124">
        <f t="shared" si="380"/>
        <v>0</v>
      </c>
      <c r="BH496" s="122">
        <f t="shared" si="381"/>
        <v>0</v>
      </c>
      <c r="BI496" s="122">
        <f t="shared" si="382"/>
        <v>0</v>
      </c>
      <c r="BJ496" s="122">
        <f t="shared" si="383"/>
        <v>0</v>
      </c>
    </row>
    <row r="497" spans="1:62" s="174" customFormat="1" ht="12.75">
      <c r="A497" s="121" t="s">
        <v>929</v>
      </c>
      <c r="B497" s="121" t="s">
        <v>60</v>
      </c>
      <c r="C497" s="121" t="s">
        <v>1221</v>
      </c>
      <c r="D497" s="129" t="s">
        <v>1521</v>
      </c>
      <c r="E497" s="121" t="s">
        <v>606</v>
      </c>
      <c r="F497" s="122">
        <f>'Stavební rozpočet'!F653</f>
        <v>16</v>
      </c>
      <c r="G497" s="172"/>
      <c r="H497" s="122">
        <f t="shared" si="358"/>
        <v>0</v>
      </c>
      <c r="I497" s="122">
        <f t="shared" si="359"/>
        <v>0</v>
      </c>
      <c r="J497" s="122">
        <f t="shared" si="360"/>
        <v>0</v>
      </c>
      <c r="K497" s="122">
        <f>'Stavební rozpočet'!K653</f>
        <v>0</v>
      </c>
      <c r="L497" s="122">
        <f t="shared" si="361"/>
        <v>0</v>
      </c>
      <c r="M497" s="123" t="s">
        <v>622</v>
      </c>
      <c r="Z497" s="124">
        <f t="shared" si="362"/>
        <v>0</v>
      </c>
      <c r="AB497" s="124">
        <f t="shared" si="363"/>
        <v>0</v>
      </c>
      <c r="AC497" s="124">
        <f t="shared" si="364"/>
        <v>0</v>
      </c>
      <c r="AD497" s="124">
        <f t="shared" si="365"/>
        <v>0</v>
      </c>
      <c r="AE497" s="124">
        <f t="shared" si="366"/>
        <v>0</v>
      </c>
      <c r="AF497" s="124">
        <f t="shared" si="367"/>
        <v>0</v>
      </c>
      <c r="AG497" s="124">
        <f t="shared" si="368"/>
        <v>0</v>
      </c>
      <c r="AH497" s="124">
        <f t="shared" si="369"/>
        <v>0</v>
      </c>
      <c r="AI497" s="113" t="s">
        <v>60</v>
      </c>
      <c r="AJ497" s="122">
        <f t="shared" si="370"/>
        <v>0</v>
      </c>
      <c r="AK497" s="122">
        <f t="shared" si="371"/>
        <v>0</v>
      </c>
      <c r="AL497" s="122">
        <f t="shared" si="372"/>
        <v>0</v>
      </c>
      <c r="AN497" s="124">
        <v>15</v>
      </c>
      <c r="AO497" s="124">
        <f t="shared" si="373"/>
        <v>0</v>
      </c>
      <c r="AP497" s="124">
        <f t="shared" si="374"/>
        <v>0</v>
      </c>
      <c r="AQ497" s="123" t="s">
        <v>79</v>
      </c>
      <c r="AV497" s="124">
        <f t="shared" si="375"/>
        <v>0</v>
      </c>
      <c r="AW497" s="124">
        <f t="shared" si="376"/>
        <v>0</v>
      </c>
      <c r="AX497" s="124">
        <f t="shared" si="377"/>
        <v>0</v>
      </c>
      <c r="AY497" s="125" t="s">
        <v>649</v>
      </c>
      <c r="AZ497" s="125" t="s">
        <v>1536</v>
      </c>
      <c r="BA497" s="113" t="s">
        <v>1542</v>
      </c>
      <c r="BC497" s="124">
        <f t="shared" si="378"/>
        <v>0</v>
      </c>
      <c r="BD497" s="124">
        <f t="shared" si="379"/>
        <v>0</v>
      </c>
      <c r="BE497" s="124">
        <v>0</v>
      </c>
      <c r="BF497" s="124">
        <f t="shared" si="380"/>
        <v>0</v>
      </c>
      <c r="BH497" s="122">
        <f t="shared" si="381"/>
        <v>0</v>
      </c>
      <c r="BI497" s="122">
        <f t="shared" si="382"/>
        <v>0</v>
      </c>
      <c r="BJ497" s="122">
        <f t="shared" si="383"/>
        <v>0</v>
      </c>
    </row>
    <row r="498" spans="1:62" s="174" customFormat="1" ht="12.75">
      <c r="A498" s="121" t="s">
        <v>930</v>
      </c>
      <c r="B498" s="121" t="s">
        <v>60</v>
      </c>
      <c r="C498" s="121" t="s">
        <v>408</v>
      </c>
      <c r="D498" s="129" t="s">
        <v>594</v>
      </c>
      <c r="E498" s="121" t="s">
        <v>606</v>
      </c>
      <c r="F498" s="122">
        <f>'Stavební rozpočet'!F654</f>
        <v>3</v>
      </c>
      <c r="G498" s="172"/>
      <c r="H498" s="122">
        <f t="shared" si="358"/>
        <v>0</v>
      </c>
      <c r="I498" s="122">
        <f t="shared" si="359"/>
        <v>0</v>
      </c>
      <c r="J498" s="122">
        <f t="shared" si="360"/>
        <v>0</v>
      </c>
      <c r="K498" s="122">
        <f>'Stavební rozpočet'!K654</f>
        <v>0</v>
      </c>
      <c r="L498" s="122">
        <f t="shared" si="361"/>
        <v>0</v>
      </c>
      <c r="M498" s="123" t="s">
        <v>622</v>
      </c>
      <c r="Z498" s="124">
        <f t="shared" si="362"/>
        <v>0</v>
      </c>
      <c r="AB498" s="124">
        <f t="shared" si="363"/>
        <v>0</v>
      </c>
      <c r="AC498" s="124">
        <f t="shared" si="364"/>
        <v>0</v>
      </c>
      <c r="AD498" s="124">
        <f t="shared" si="365"/>
        <v>0</v>
      </c>
      <c r="AE498" s="124">
        <f t="shared" si="366"/>
        <v>0</v>
      </c>
      <c r="AF498" s="124">
        <f t="shared" si="367"/>
        <v>0</v>
      </c>
      <c r="AG498" s="124">
        <f t="shared" si="368"/>
        <v>0</v>
      </c>
      <c r="AH498" s="124">
        <f t="shared" si="369"/>
        <v>0</v>
      </c>
      <c r="AI498" s="113" t="s">
        <v>60</v>
      </c>
      <c r="AJ498" s="122">
        <f t="shared" si="370"/>
        <v>0</v>
      </c>
      <c r="AK498" s="122">
        <f t="shared" si="371"/>
        <v>0</v>
      </c>
      <c r="AL498" s="122">
        <f t="shared" si="372"/>
        <v>0</v>
      </c>
      <c r="AN498" s="124">
        <v>15</v>
      </c>
      <c r="AO498" s="124">
        <f t="shared" si="373"/>
        <v>0</v>
      </c>
      <c r="AP498" s="124">
        <f t="shared" si="374"/>
        <v>0</v>
      </c>
      <c r="AQ498" s="123" t="s">
        <v>79</v>
      </c>
      <c r="AV498" s="124">
        <f t="shared" si="375"/>
        <v>0</v>
      </c>
      <c r="AW498" s="124">
        <f t="shared" si="376"/>
        <v>0</v>
      </c>
      <c r="AX498" s="124">
        <f t="shared" si="377"/>
        <v>0</v>
      </c>
      <c r="AY498" s="125" t="s">
        <v>649</v>
      </c>
      <c r="AZ498" s="125" t="s">
        <v>1536</v>
      </c>
      <c r="BA498" s="113" t="s">
        <v>1542</v>
      </c>
      <c r="BC498" s="124">
        <f t="shared" si="378"/>
        <v>0</v>
      </c>
      <c r="BD498" s="124">
        <f t="shared" si="379"/>
        <v>0</v>
      </c>
      <c r="BE498" s="124">
        <v>0</v>
      </c>
      <c r="BF498" s="124">
        <f t="shared" si="380"/>
        <v>0</v>
      </c>
      <c r="BH498" s="122">
        <f t="shared" si="381"/>
        <v>0</v>
      </c>
      <c r="BI498" s="122">
        <f t="shared" si="382"/>
        <v>0</v>
      </c>
      <c r="BJ498" s="122">
        <f t="shared" si="383"/>
        <v>0</v>
      </c>
    </row>
    <row r="499" spans="1:62" s="174" customFormat="1" ht="12.75">
      <c r="A499" s="121" t="s">
        <v>931</v>
      </c>
      <c r="B499" s="121" t="s">
        <v>60</v>
      </c>
      <c r="C499" s="121" t="s">
        <v>409</v>
      </c>
      <c r="D499" s="129" t="s">
        <v>595</v>
      </c>
      <c r="E499" s="121" t="s">
        <v>606</v>
      </c>
      <c r="F499" s="122">
        <f>'Stavební rozpočet'!F655</f>
        <v>3</v>
      </c>
      <c r="G499" s="172"/>
      <c r="H499" s="122">
        <f t="shared" si="358"/>
        <v>0</v>
      </c>
      <c r="I499" s="122">
        <f t="shared" si="359"/>
        <v>0</v>
      </c>
      <c r="J499" s="122">
        <f t="shared" si="360"/>
        <v>0</v>
      </c>
      <c r="K499" s="122">
        <f>'Stavební rozpočet'!K655</f>
        <v>0</v>
      </c>
      <c r="L499" s="122">
        <f t="shared" si="361"/>
        <v>0</v>
      </c>
      <c r="M499" s="123" t="s">
        <v>622</v>
      </c>
      <c r="Z499" s="124">
        <f t="shared" si="362"/>
        <v>0</v>
      </c>
      <c r="AB499" s="124">
        <f t="shared" si="363"/>
        <v>0</v>
      </c>
      <c r="AC499" s="124">
        <f t="shared" si="364"/>
        <v>0</v>
      </c>
      <c r="AD499" s="124">
        <f t="shared" si="365"/>
        <v>0</v>
      </c>
      <c r="AE499" s="124">
        <f t="shared" si="366"/>
        <v>0</v>
      </c>
      <c r="AF499" s="124">
        <f t="shared" si="367"/>
        <v>0</v>
      </c>
      <c r="AG499" s="124">
        <f t="shared" si="368"/>
        <v>0</v>
      </c>
      <c r="AH499" s="124">
        <f t="shared" si="369"/>
        <v>0</v>
      </c>
      <c r="AI499" s="113" t="s">
        <v>60</v>
      </c>
      <c r="AJ499" s="122">
        <f t="shared" si="370"/>
        <v>0</v>
      </c>
      <c r="AK499" s="122">
        <f t="shared" si="371"/>
        <v>0</v>
      </c>
      <c r="AL499" s="122">
        <f t="shared" si="372"/>
        <v>0</v>
      </c>
      <c r="AN499" s="124">
        <v>15</v>
      </c>
      <c r="AO499" s="124">
        <f t="shared" si="373"/>
        <v>0</v>
      </c>
      <c r="AP499" s="124">
        <f t="shared" si="374"/>
        <v>0</v>
      </c>
      <c r="AQ499" s="123" t="s">
        <v>79</v>
      </c>
      <c r="AV499" s="124">
        <f t="shared" si="375"/>
        <v>0</v>
      </c>
      <c r="AW499" s="124">
        <f t="shared" si="376"/>
        <v>0</v>
      </c>
      <c r="AX499" s="124">
        <f t="shared" si="377"/>
        <v>0</v>
      </c>
      <c r="AY499" s="125" t="s">
        <v>649</v>
      </c>
      <c r="AZ499" s="125" t="s">
        <v>1536</v>
      </c>
      <c r="BA499" s="113" t="s">
        <v>1542</v>
      </c>
      <c r="BC499" s="124">
        <f t="shared" si="378"/>
        <v>0</v>
      </c>
      <c r="BD499" s="124">
        <f t="shared" si="379"/>
        <v>0</v>
      </c>
      <c r="BE499" s="124">
        <v>0</v>
      </c>
      <c r="BF499" s="124">
        <f t="shared" si="380"/>
        <v>0</v>
      </c>
      <c r="BH499" s="122">
        <f t="shared" si="381"/>
        <v>0</v>
      </c>
      <c r="BI499" s="122">
        <f t="shared" si="382"/>
        <v>0</v>
      </c>
      <c r="BJ499" s="122">
        <f t="shared" si="383"/>
        <v>0</v>
      </c>
    </row>
    <row r="500" spans="1:62" s="174" customFormat="1" ht="12.75">
      <c r="A500" s="121" t="s">
        <v>932</v>
      </c>
      <c r="B500" s="121" t="s">
        <v>60</v>
      </c>
      <c r="C500" s="121" t="s">
        <v>410</v>
      </c>
      <c r="D500" s="129" t="s">
        <v>596</v>
      </c>
      <c r="E500" s="121" t="s">
        <v>611</v>
      </c>
      <c r="F500" s="122">
        <f>'Stavební rozpočet'!F656</f>
        <v>1</v>
      </c>
      <c r="G500" s="172"/>
      <c r="H500" s="122">
        <f t="shared" si="358"/>
        <v>0</v>
      </c>
      <c r="I500" s="122">
        <f t="shared" si="359"/>
        <v>0</v>
      </c>
      <c r="J500" s="122">
        <f t="shared" si="360"/>
        <v>0</v>
      </c>
      <c r="K500" s="122">
        <f>'Stavební rozpočet'!K656</f>
        <v>0</v>
      </c>
      <c r="L500" s="122">
        <f t="shared" si="361"/>
        <v>0</v>
      </c>
      <c r="M500" s="123" t="s">
        <v>622</v>
      </c>
      <c r="Z500" s="124">
        <f t="shared" si="362"/>
        <v>0</v>
      </c>
      <c r="AB500" s="124">
        <f t="shared" si="363"/>
        <v>0</v>
      </c>
      <c r="AC500" s="124">
        <f t="shared" si="364"/>
        <v>0</v>
      </c>
      <c r="AD500" s="124">
        <f t="shared" si="365"/>
        <v>0</v>
      </c>
      <c r="AE500" s="124">
        <f t="shared" si="366"/>
        <v>0</v>
      </c>
      <c r="AF500" s="124">
        <f t="shared" si="367"/>
        <v>0</v>
      </c>
      <c r="AG500" s="124">
        <f t="shared" si="368"/>
        <v>0</v>
      </c>
      <c r="AH500" s="124">
        <f t="shared" si="369"/>
        <v>0</v>
      </c>
      <c r="AI500" s="113" t="s">
        <v>60</v>
      </c>
      <c r="AJ500" s="122">
        <f t="shared" si="370"/>
        <v>0</v>
      </c>
      <c r="AK500" s="122">
        <f t="shared" si="371"/>
        <v>0</v>
      </c>
      <c r="AL500" s="122">
        <f t="shared" si="372"/>
        <v>0</v>
      </c>
      <c r="AN500" s="124">
        <v>15</v>
      </c>
      <c r="AO500" s="124">
        <f t="shared" si="373"/>
        <v>0</v>
      </c>
      <c r="AP500" s="124">
        <f t="shared" si="374"/>
        <v>0</v>
      </c>
      <c r="AQ500" s="123" t="s">
        <v>79</v>
      </c>
      <c r="AV500" s="124">
        <f t="shared" si="375"/>
        <v>0</v>
      </c>
      <c r="AW500" s="124">
        <f t="shared" si="376"/>
        <v>0</v>
      </c>
      <c r="AX500" s="124">
        <f t="shared" si="377"/>
        <v>0</v>
      </c>
      <c r="AY500" s="125" t="s">
        <v>649</v>
      </c>
      <c r="AZ500" s="125" t="s">
        <v>1536</v>
      </c>
      <c r="BA500" s="113" t="s">
        <v>1542</v>
      </c>
      <c r="BC500" s="124">
        <f t="shared" si="378"/>
        <v>0</v>
      </c>
      <c r="BD500" s="124">
        <f t="shared" si="379"/>
        <v>0</v>
      </c>
      <c r="BE500" s="124">
        <v>0</v>
      </c>
      <c r="BF500" s="124">
        <f t="shared" si="380"/>
        <v>0</v>
      </c>
      <c r="BH500" s="122">
        <f t="shared" si="381"/>
        <v>0</v>
      </c>
      <c r="BI500" s="122">
        <f t="shared" si="382"/>
        <v>0</v>
      </c>
      <c r="BJ500" s="122">
        <f t="shared" si="383"/>
        <v>0</v>
      </c>
    </row>
    <row r="501" spans="1:62" s="174" customFormat="1" ht="12.75">
      <c r="A501" s="121" t="s">
        <v>933</v>
      </c>
      <c r="B501" s="121" t="s">
        <v>60</v>
      </c>
      <c r="C501" s="121" t="s">
        <v>411</v>
      </c>
      <c r="D501" s="129" t="s">
        <v>597</v>
      </c>
      <c r="E501" s="121" t="s">
        <v>614</v>
      </c>
      <c r="F501" s="122">
        <f>'Stavební rozpočet'!F657</f>
        <v>1</v>
      </c>
      <c r="G501" s="172"/>
      <c r="H501" s="122">
        <f t="shared" si="358"/>
        <v>0</v>
      </c>
      <c r="I501" s="122">
        <f t="shared" si="359"/>
        <v>0</v>
      </c>
      <c r="J501" s="122">
        <f t="shared" si="360"/>
        <v>0</v>
      </c>
      <c r="K501" s="122">
        <f>'Stavební rozpočet'!K657</f>
        <v>0</v>
      </c>
      <c r="L501" s="122">
        <f t="shared" si="361"/>
        <v>0</v>
      </c>
      <c r="M501" s="123" t="s">
        <v>622</v>
      </c>
      <c r="Z501" s="124">
        <f t="shared" si="362"/>
        <v>0</v>
      </c>
      <c r="AB501" s="124">
        <f t="shared" si="363"/>
        <v>0</v>
      </c>
      <c r="AC501" s="124">
        <f t="shared" si="364"/>
        <v>0</v>
      </c>
      <c r="AD501" s="124">
        <f t="shared" si="365"/>
        <v>0</v>
      </c>
      <c r="AE501" s="124">
        <f t="shared" si="366"/>
        <v>0</v>
      </c>
      <c r="AF501" s="124">
        <f t="shared" si="367"/>
        <v>0</v>
      </c>
      <c r="AG501" s="124">
        <f t="shared" si="368"/>
        <v>0</v>
      </c>
      <c r="AH501" s="124">
        <f t="shared" si="369"/>
        <v>0</v>
      </c>
      <c r="AI501" s="113" t="s">
        <v>60</v>
      </c>
      <c r="AJ501" s="122">
        <f t="shared" si="370"/>
        <v>0</v>
      </c>
      <c r="AK501" s="122">
        <f t="shared" si="371"/>
        <v>0</v>
      </c>
      <c r="AL501" s="122">
        <f t="shared" si="372"/>
        <v>0</v>
      </c>
      <c r="AN501" s="124">
        <v>15</v>
      </c>
      <c r="AO501" s="124">
        <f t="shared" si="373"/>
        <v>0</v>
      </c>
      <c r="AP501" s="124">
        <f t="shared" si="374"/>
        <v>0</v>
      </c>
      <c r="AQ501" s="123" t="s">
        <v>79</v>
      </c>
      <c r="AV501" s="124">
        <f t="shared" si="375"/>
        <v>0</v>
      </c>
      <c r="AW501" s="124">
        <f t="shared" si="376"/>
        <v>0</v>
      </c>
      <c r="AX501" s="124">
        <f t="shared" si="377"/>
        <v>0</v>
      </c>
      <c r="AY501" s="125" t="s">
        <v>649</v>
      </c>
      <c r="AZ501" s="125" t="s">
        <v>1536</v>
      </c>
      <c r="BA501" s="113" t="s">
        <v>1542</v>
      </c>
      <c r="BC501" s="124">
        <f t="shared" si="378"/>
        <v>0</v>
      </c>
      <c r="BD501" s="124">
        <f t="shared" si="379"/>
        <v>0</v>
      </c>
      <c r="BE501" s="124">
        <v>0</v>
      </c>
      <c r="BF501" s="124">
        <f t="shared" si="380"/>
        <v>0</v>
      </c>
      <c r="BH501" s="122">
        <f t="shared" si="381"/>
        <v>0</v>
      </c>
      <c r="BI501" s="122">
        <f t="shared" si="382"/>
        <v>0</v>
      </c>
      <c r="BJ501" s="122">
        <f t="shared" si="383"/>
        <v>0</v>
      </c>
    </row>
    <row r="502" spans="1:62" s="174" customFormat="1" ht="12.75">
      <c r="A502" s="121" t="s">
        <v>934</v>
      </c>
      <c r="B502" s="121" t="s">
        <v>60</v>
      </c>
      <c r="C502" s="121" t="s">
        <v>412</v>
      </c>
      <c r="D502" s="129" t="s">
        <v>598</v>
      </c>
      <c r="E502" s="121" t="s">
        <v>606</v>
      </c>
      <c r="F502" s="122">
        <f>'Stavební rozpočet'!F658</f>
        <v>1</v>
      </c>
      <c r="G502" s="172"/>
      <c r="H502" s="122">
        <f t="shared" si="358"/>
        <v>0</v>
      </c>
      <c r="I502" s="122">
        <f t="shared" si="359"/>
        <v>0</v>
      </c>
      <c r="J502" s="122">
        <f t="shared" si="360"/>
        <v>0</v>
      </c>
      <c r="K502" s="122">
        <f>'Stavební rozpočet'!K658</f>
        <v>0</v>
      </c>
      <c r="L502" s="122">
        <f t="shared" si="361"/>
        <v>0</v>
      </c>
      <c r="M502" s="123" t="s">
        <v>622</v>
      </c>
      <c r="Z502" s="124">
        <f t="shared" si="362"/>
        <v>0</v>
      </c>
      <c r="AB502" s="124">
        <f t="shared" si="363"/>
        <v>0</v>
      </c>
      <c r="AC502" s="124">
        <f t="shared" si="364"/>
        <v>0</v>
      </c>
      <c r="AD502" s="124">
        <f t="shared" si="365"/>
        <v>0</v>
      </c>
      <c r="AE502" s="124">
        <f t="shared" si="366"/>
        <v>0</v>
      </c>
      <c r="AF502" s="124">
        <f t="shared" si="367"/>
        <v>0</v>
      </c>
      <c r="AG502" s="124">
        <f t="shared" si="368"/>
        <v>0</v>
      </c>
      <c r="AH502" s="124">
        <f t="shared" si="369"/>
        <v>0</v>
      </c>
      <c r="AI502" s="113" t="s">
        <v>60</v>
      </c>
      <c r="AJ502" s="122">
        <f t="shared" si="370"/>
        <v>0</v>
      </c>
      <c r="AK502" s="122">
        <f t="shared" si="371"/>
        <v>0</v>
      </c>
      <c r="AL502" s="122">
        <f t="shared" si="372"/>
        <v>0</v>
      </c>
      <c r="AN502" s="124">
        <v>15</v>
      </c>
      <c r="AO502" s="124">
        <f t="shared" si="373"/>
        <v>0</v>
      </c>
      <c r="AP502" s="124">
        <f t="shared" si="374"/>
        <v>0</v>
      </c>
      <c r="AQ502" s="123" t="s">
        <v>79</v>
      </c>
      <c r="AV502" s="124">
        <f t="shared" si="375"/>
        <v>0</v>
      </c>
      <c r="AW502" s="124">
        <f t="shared" si="376"/>
        <v>0</v>
      </c>
      <c r="AX502" s="124">
        <f t="shared" si="377"/>
        <v>0</v>
      </c>
      <c r="AY502" s="125" t="s">
        <v>649</v>
      </c>
      <c r="AZ502" s="125" t="s">
        <v>1536</v>
      </c>
      <c r="BA502" s="113" t="s">
        <v>1542</v>
      </c>
      <c r="BC502" s="124">
        <f t="shared" si="378"/>
        <v>0</v>
      </c>
      <c r="BD502" s="124">
        <f t="shared" si="379"/>
        <v>0</v>
      </c>
      <c r="BE502" s="124">
        <v>0</v>
      </c>
      <c r="BF502" s="124">
        <f t="shared" si="380"/>
        <v>0</v>
      </c>
      <c r="BH502" s="122">
        <f t="shared" si="381"/>
        <v>0</v>
      </c>
      <c r="BI502" s="122">
        <f t="shared" si="382"/>
        <v>0</v>
      </c>
      <c r="BJ502" s="122">
        <f t="shared" si="383"/>
        <v>0</v>
      </c>
    </row>
    <row r="503" spans="1:62" s="174" customFormat="1" ht="12.75">
      <c r="A503" s="121" t="s">
        <v>935</v>
      </c>
      <c r="B503" s="121" t="s">
        <v>60</v>
      </c>
      <c r="C503" s="121" t="s">
        <v>413</v>
      </c>
      <c r="D503" s="129" t="s">
        <v>1522</v>
      </c>
      <c r="E503" s="121" t="s">
        <v>606</v>
      </c>
      <c r="F503" s="122">
        <f>'Stavební rozpočet'!F659</f>
        <v>1</v>
      </c>
      <c r="G503" s="172"/>
      <c r="H503" s="122">
        <f t="shared" si="358"/>
        <v>0</v>
      </c>
      <c r="I503" s="122">
        <f t="shared" si="359"/>
        <v>0</v>
      </c>
      <c r="J503" s="122">
        <f t="shared" si="360"/>
        <v>0</v>
      </c>
      <c r="K503" s="122">
        <f>'Stavební rozpočet'!K659</f>
        <v>0</v>
      </c>
      <c r="L503" s="122">
        <f t="shared" si="361"/>
        <v>0</v>
      </c>
      <c r="M503" s="123" t="s">
        <v>622</v>
      </c>
      <c r="Z503" s="124">
        <f t="shared" si="362"/>
        <v>0</v>
      </c>
      <c r="AB503" s="124">
        <f t="shared" si="363"/>
        <v>0</v>
      </c>
      <c r="AC503" s="124">
        <f t="shared" si="364"/>
        <v>0</v>
      </c>
      <c r="AD503" s="124">
        <f t="shared" si="365"/>
        <v>0</v>
      </c>
      <c r="AE503" s="124">
        <f t="shared" si="366"/>
        <v>0</v>
      </c>
      <c r="AF503" s="124">
        <f t="shared" si="367"/>
        <v>0</v>
      </c>
      <c r="AG503" s="124">
        <f t="shared" si="368"/>
        <v>0</v>
      </c>
      <c r="AH503" s="124">
        <f t="shared" si="369"/>
        <v>0</v>
      </c>
      <c r="AI503" s="113" t="s">
        <v>60</v>
      </c>
      <c r="AJ503" s="122">
        <f t="shared" si="370"/>
        <v>0</v>
      </c>
      <c r="AK503" s="122">
        <f t="shared" si="371"/>
        <v>0</v>
      </c>
      <c r="AL503" s="122">
        <f t="shared" si="372"/>
        <v>0</v>
      </c>
      <c r="AN503" s="124">
        <v>15</v>
      </c>
      <c r="AO503" s="124">
        <f t="shared" si="373"/>
        <v>0</v>
      </c>
      <c r="AP503" s="124">
        <f t="shared" si="374"/>
        <v>0</v>
      </c>
      <c r="AQ503" s="123" t="s">
        <v>79</v>
      </c>
      <c r="AV503" s="124">
        <f t="shared" si="375"/>
        <v>0</v>
      </c>
      <c r="AW503" s="124">
        <f t="shared" si="376"/>
        <v>0</v>
      </c>
      <c r="AX503" s="124">
        <f t="shared" si="377"/>
        <v>0</v>
      </c>
      <c r="AY503" s="125" t="s">
        <v>649</v>
      </c>
      <c r="AZ503" s="125" t="s">
        <v>1536</v>
      </c>
      <c r="BA503" s="113" t="s">
        <v>1542</v>
      </c>
      <c r="BC503" s="124">
        <f t="shared" si="378"/>
        <v>0</v>
      </c>
      <c r="BD503" s="124">
        <f t="shared" si="379"/>
        <v>0</v>
      </c>
      <c r="BE503" s="124">
        <v>0</v>
      </c>
      <c r="BF503" s="124">
        <f t="shared" si="380"/>
        <v>0</v>
      </c>
      <c r="BH503" s="122">
        <f t="shared" si="381"/>
        <v>0</v>
      </c>
      <c r="BI503" s="122">
        <f t="shared" si="382"/>
        <v>0</v>
      </c>
      <c r="BJ503" s="122">
        <f t="shared" si="383"/>
        <v>0</v>
      </c>
    </row>
    <row r="504" spans="1:62" s="174" customFormat="1" ht="12.75">
      <c r="A504" s="121" t="s">
        <v>936</v>
      </c>
      <c r="B504" s="121" t="s">
        <v>60</v>
      </c>
      <c r="C504" s="121" t="s">
        <v>414</v>
      </c>
      <c r="D504" s="129" t="s">
        <v>600</v>
      </c>
      <c r="E504" s="121" t="s">
        <v>611</v>
      </c>
      <c r="F504" s="122">
        <f>'Stavební rozpočet'!F660</f>
        <v>5</v>
      </c>
      <c r="G504" s="172"/>
      <c r="H504" s="122">
        <f t="shared" si="358"/>
        <v>0</v>
      </c>
      <c r="I504" s="122">
        <f t="shared" si="359"/>
        <v>0</v>
      </c>
      <c r="J504" s="122">
        <f t="shared" si="360"/>
        <v>0</v>
      </c>
      <c r="K504" s="122">
        <f>'Stavební rozpočet'!K660</f>
        <v>0</v>
      </c>
      <c r="L504" s="122">
        <f t="shared" si="361"/>
        <v>0</v>
      </c>
      <c r="M504" s="123" t="s">
        <v>622</v>
      </c>
      <c r="Z504" s="124">
        <f t="shared" si="362"/>
        <v>0</v>
      </c>
      <c r="AB504" s="124">
        <f t="shared" si="363"/>
        <v>0</v>
      </c>
      <c r="AC504" s="124">
        <f t="shared" si="364"/>
        <v>0</v>
      </c>
      <c r="AD504" s="124">
        <f t="shared" si="365"/>
        <v>0</v>
      </c>
      <c r="AE504" s="124">
        <f t="shared" si="366"/>
        <v>0</v>
      </c>
      <c r="AF504" s="124">
        <f t="shared" si="367"/>
        <v>0</v>
      </c>
      <c r="AG504" s="124">
        <f t="shared" si="368"/>
        <v>0</v>
      </c>
      <c r="AH504" s="124">
        <f t="shared" si="369"/>
        <v>0</v>
      </c>
      <c r="AI504" s="113" t="s">
        <v>60</v>
      </c>
      <c r="AJ504" s="122">
        <f t="shared" si="370"/>
        <v>0</v>
      </c>
      <c r="AK504" s="122">
        <f t="shared" si="371"/>
        <v>0</v>
      </c>
      <c r="AL504" s="122">
        <f t="shared" si="372"/>
        <v>0</v>
      </c>
      <c r="AN504" s="124">
        <v>15</v>
      </c>
      <c r="AO504" s="124">
        <f t="shared" si="373"/>
        <v>0</v>
      </c>
      <c r="AP504" s="124">
        <f t="shared" si="374"/>
        <v>0</v>
      </c>
      <c r="AQ504" s="123" t="s">
        <v>79</v>
      </c>
      <c r="AV504" s="124">
        <f t="shared" si="375"/>
        <v>0</v>
      </c>
      <c r="AW504" s="124">
        <f t="shared" si="376"/>
        <v>0</v>
      </c>
      <c r="AX504" s="124">
        <f t="shared" si="377"/>
        <v>0</v>
      </c>
      <c r="AY504" s="125" t="s">
        <v>649</v>
      </c>
      <c r="AZ504" s="125" t="s">
        <v>1536</v>
      </c>
      <c r="BA504" s="113" t="s">
        <v>1542</v>
      </c>
      <c r="BC504" s="124">
        <f t="shared" si="378"/>
        <v>0</v>
      </c>
      <c r="BD504" s="124">
        <f t="shared" si="379"/>
        <v>0</v>
      </c>
      <c r="BE504" s="124">
        <v>0</v>
      </c>
      <c r="BF504" s="124">
        <f t="shared" si="380"/>
        <v>0</v>
      </c>
      <c r="BH504" s="122">
        <f t="shared" si="381"/>
        <v>0</v>
      </c>
      <c r="BI504" s="122">
        <f t="shared" si="382"/>
        <v>0</v>
      </c>
      <c r="BJ504" s="122">
        <f t="shared" si="383"/>
        <v>0</v>
      </c>
    </row>
    <row r="505" spans="1:62" s="174" customFormat="1" ht="12.75">
      <c r="A505" s="121" t="s">
        <v>937</v>
      </c>
      <c r="B505" s="121" t="s">
        <v>60</v>
      </c>
      <c r="C505" s="121" t="s">
        <v>415</v>
      </c>
      <c r="D505" s="129" t="s">
        <v>601</v>
      </c>
      <c r="E505" s="121" t="s">
        <v>611</v>
      </c>
      <c r="F505" s="122">
        <f>'Stavební rozpočet'!F661</f>
        <v>6</v>
      </c>
      <c r="G505" s="172"/>
      <c r="H505" s="122">
        <f t="shared" si="358"/>
        <v>0</v>
      </c>
      <c r="I505" s="122">
        <f t="shared" si="359"/>
        <v>0</v>
      </c>
      <c r="J505" s="122">
        <f t="shared" si="360"/>
        <v>0</v>
      </c>
      <c r="K505" s="122">
        <f>'Stavební rozpočet'!K661</f>
        <v>0</v>
      </c>
      <c r="L505" s="122">
        <f t="shared" si="361"/>
        <v>0</v>
      </c>
      <c r="M505" s="123" t="s">
        <v>622</v>
      </c>
      <c r="Z505" s="124">
        <f t="shared" si="362"/>
        <v>0</v>
      </c>
      <c r="AB505" s="124">
        <f t="shared" si="363"/>
        <v>0</v>
      </c>
      <c r="AC505" s="124">
        <f t="shared" si="364"/>
        <v>0</v>
      </c>
      <c r="AD505" s="124">
        <f t="shared" si="365"/>
        <v>0</v>
      </c>
      <c r="AE505" s="124">
        <f t="shared" si="366"/>
        <v>0</v>
      </c>
      <c r="AF505" s="124">
        <f t="shared" si="367"/>
        <v>0</v>
      </c>
      <c r="AG505" s="124">
        <f t="shared" si="368"/>
        <v>0</v>
      </c>
      <c r="AH505" s="124">
        <f t="shared" si="369"/>
        <v>0</v>
      </c>
      <c r="AI505" s="113" t="s">
        <v>60</v>
      </c>
      <c r="AJ505" s="122">
        <f t="shared" si="370"/>
        <v>0</v>
      </c>
      <c r="AK505" s="122">
        <f t="shared" si="371"/>
        <v>0</v>
      </c>
      <c r="AL505" s="122">
        <f t="shared" si="372"/>
        <v>0</v>
      </c>
      <c r="AN505" s="124">
        <v>15</v>
      </c>
      <c r="AO505" s="124">
        <f t="shared" si="373"/>
        <v>0</v>
      </c>
      <c r="AP505" s="124">
        <f t="shared" si="374"/>
        <v>0</v>
      </c>
      <c r="AQ505" s="123" t="s">
        <v>79</v>
      </c>
      <c r="AV505" s="124">
        <f t="shared" si="375"/>
        <v>0</v>
      </c>
      <c r="AW505" s="124">
        <f t="shared" si="376"/>
        <v>0</v>
      </c>
      <c r="AX505" s="124">
        <f t="shared" si="377"/>
        <v>0</v>
      </c>
      <c r="AY505" s="125" t="s">
        <v>649</v>
      </c>
      <c r="AZ505" s="125" t="s">
        <v>1536</v>
      </c>
      <c r="BA505" s="113" t="s">
        <v>1542</v>
      </c>
      <c r="BC505" s="124">
        <f t="shared" si="378"/>
        <v>0</v>
      </c>
      <c r="BD505" s="124">
        <f t="shared" si="379"/>
        <v>0</v>
      </c>
      <c r="BE505" s="124">
        <v>0</v>
      </c>
      <c r="BF505" s="124">
        <f t="shared" si="380"/>
        <v>0</v>
      </c>
      <c r="BH505" s="122">
        <f t="shared" si="381"/>
        <v>0</v>
      </c>
      <c r="BI505" s="122">
        <f t="shared" si="382"/>
        <v>0</v>
      </c>
      <c r="BJ505" s="122">
        <f t="shared" si="383"/>
        <v>0</v>
      </c>
    </row>
    <row r="506" spans="1:62" s="174" customFormat="1" ht="12.75">
      <c r="A506" s="121" t="s">
        <v>938</v>
      </c>
      <c r="B506" s="121" t="s">
        <v>60</v>
      </c>
      <c r="C506" s="121" t="s">
        <v>416</v>
      </c>
      <c r="D506" s="129" t="s">
        <v>602</v>
      </c>
      <c r="E506" s="121" t="s">
        <v>611</v>
      </c>
      <c r="F506" s="122">
        <f>'Stavební rozpočet'!F662</f>
        <v>20</v>
      </c>
      <c r="G506" s="172"/>
      <c r="H506" s="122">
        <f t="shared" si="358"/>
        <v>0</v>
      </c>
      <c r="I506" s="122">
        <f t="shared" si="359"/>
        <v>0</v>
      </c>
      <c r="J506" s="122">
        <f t="shared" si="360"/>
        <v>0</v>
      </c>
      <c r="K506" s="122">
        <f>'Stavební rozpočet'!K662</f>
        <v>0</v>
      </c>
      <c r="L506" s="122">
        <f t="shared" si="361"/>
        <v>0</v>
      </c>
      <c r="M506" s="123" t="s">
        <v>622</v>
      </c>
      <c r="Z506" s="124">
        <f t="shared" si="362"/>
        <v>0</v>
      </c>
      <c r="AB506" s="124">
        <f t="shared" si="363"/>
        <v>0</v>
      </c>
      <c r="AC506" s="124">
        <f t="shared" si="364"/>
        <v>0</v>
      </c>
      <c r="AD506" s="124">
        <f t="shared" si="365"/>
        <v>0</v>
      </c>
      <c r="AE506" s="124">
        <f t="shared" si="366"/>
        <v>0</v>
      </c>
      <c r="AF506" s="124">
        <f t="shared" si="367"/>
        <v>0</v>
      </c>
      <c r="AG506" s="124">
        <f t="shared" si="368"/>
        <v>0</v>
      </c>
      <c r="AH506" s="124">
        <f t="shared" si="369"/>
        <v>0</v>
      </c>
      <c r="AI506" s="113" t="s">
        <v>60</v>
      </c>
      <c r="AJ506" s="122">
        <f t="shared" si="370"/>
        <v>0</v>
      </c>
      <c r="AK506" s="122">
        <f t="shared" si="371"/>
        <v>0</v>
      </c>
      <c r="AL506" s="122">
        <f t="shared" si="372"/>
        <v>0</v>
      </c>
      <c r="AN506" s="124">
        <v>15</v>
      </c>
      <c r="AO506" s="124">
        <f t="shared" si="373"/>
        <v>0</v>
      </c>
      <c r="AP506" s="124">
        <f t="shared" si="374"/>
        <v>0</v>
      </c>
      <c r="AQ506" s="123" t="s">
        <v>79</v>
      </c>
      <c r="AV506" s="124">
        <f t="shared" si="375"/>
        <v>0</v>
      </c>
      <c r="AW506" s="124">
        <f t="shared" si="376"/>
        <v>0</v>
      </c>
      <c r="AX506" s="124">
        <f t="shared" si="377"/>
        <v>0</v>
      </c>
      <c r="AY506" s="125" t="s">
        <v>649</v>
      </c>
      <c r="AZ506" s="125" t="s">
        <v>1536</v>
      </c>
      <c r="BA506" s="113" t="s">
        <v>1542</v>
      </c>
      <c r="BC506" s="124">
        <f t="shared" si="378"/>
        <v>0</v>
      </c>
      <c r="BD506" s="124">
        <f t="shared" si="379"/>
        <v>0</v>
      </c>
      <c r="BE506" s="124">
        <v>0</v>
      </c>
      <c r="BF506" s="124">
        <f t="shared" si="380"/>
        <v>0</v>
      </c>
      <c r="BH506" s="122">
        <f t="shared" si="381"/>
        <v>0</v>
      </c>
      <c r="BI506" s="122">
        <f t="shared" si="382"/>
        <v>0</v>
      </c>
      <c r="BJ506" s="122">
        <f t="shared" si="383"/>
        <v>0</v>
      </c>
    </row>
    <row r="507" spans="1:62" s="174" customFormat="1" ht="12.75" hidden="1">
      <c r="A507" s="121" t="s">
        <v>939</v>
      </c>
      <c r="B507" s="121" t="s">
        <v>60</v>
      </c>
      <c r="C507" s="121" t="s">
        <v>1222</v>
      </c>
      <c r="D507" s="129" t="s">
        <v>1523</v>
      </c>
      <c r="E507" s="121" t="s">
        <v>611</v>
      </c>
      <c r="F507" s="122">
        <f>'Stavební rozpočet'!F663</f>
        <v>0</v>
      </c>
      <c r="G507" s="172"/>
      <c r="H507" s="122">
        <f t="shared" si="358"/>
        <v>0</v>
      </c>
      <c r="I507" s="122">
        <f t="shared" si="359"/>
        <v>0</v>
      </c>
      <c r="J507" s="122">
        <f t="shared" si="360"/>
        <v>0</v>
      </c>
      <c r="K507" s="122">
        <f>'Stavební rozpočet'!K663</f>
        <v>0</v>
      </c>
      <c r="L507" s="122">
        <f t="shared" si="361"/>
        <v>0</v>
      </c>
      <c r="M507" s="123" t="s">
        <v>622</v>
      </c>
      <c r="Z507" s="124">
        <f t="shared" si="362"/>
        <v>0</v>
      </c>
      <c r="AB507" s="124">
        <f t="shared" si="363"/>
        <v>0</v>
      </c>
      <c r="AC507" s="124">
        <f t="shared" si="364"/>
        <v>0</v>
      </c>
      <c r="AD507" s="124">
        <f t="shared" si="365"/>
        <v>0</v>
      </c>
      <c r="AE507" s="124">
        <f t="shared" si="366"/>
        <v>0</v>
      </c>
      <c r="AF507" s="124">
        <f t="shared" si="367"/>
        <v>0</v>
      </c>
      <c r="AG507" s="124">
        <f t="shared" si="368"/>
        <v>0</v>
      </c>
      <c r="AH507" s="124">
        <f t="shared" si="369"/>
        <v>0</v>
      </c>
      <c r="AI507" s="113" t="s">
        <v>60</v>
      </c>
      <c r="AJ507" s="122">
        <f t="shared" si="370"/>
        <v>0</v>
      </c>
      <c r="AK507" s="122">
        <f t="shared" si="371"/>
        <v>0</v>
      </c>
      <c r="AL507" s="122">
        <f t="shared" si="372"/>
        <v>0</v>
      </c>
      <c r="AN507" s="124">
        <v>15</v>
      </c>
      <c r="AO507" s="124">
        <f t="shared" si="373"/>
        <v>0</v>
      </c>
      <c r="AP507" s="124">
        <f t="shared" si="374"/>
        <v>0</v>
      </c>
      <c r="AQ507" s="123" t="s">
        <v>79</v>
      </c>
      <c r="AV507" s="124">
        <f t="shared" si="375"/>
        <v>0</v>
      </c>
      <c r="AW507" s="124">
        <f t="shared" si="376"/>
        <v>0</v>
      </c>
      <c r="AX507" s="124">
        <f t="shared" si="377"/>
        <v>0</v>
      </c>
      <c r="AY507" s="125" t="s">
        <v>649</v>
      </c>
      <c r="AZ507" s="125" t="s">
        <v>1536</v>
      </c>
      <c r="BA507" s="113" t="s">
        <v>1542</v>
      </c>
      <c r="BC507" s="124">
        <f t="shared" si="378"/>
        <v>0</v>
      </c>
      <c r="BD507" s="124">
        <f t="shared" si="379"/>
        <v>0</v>
      </c>
      <c r="BE507" s="124">
        <v>0</v>
      </c>
      <c r="BF507" s="124">
        <f t="shared" si="380"/>
        <v>0</v>
      </c>
      <c r="BH507" s="122">
        <f t="shared" si="381"/>
        <v>0</v>
      </c>
      <c r="BI507" s="122">
        <f t="shared" si="382"/>
        <v>0</v>
      </c>
      <c r="BJ507" s="122">
        <f t="shared" si="383"/>
        <v>0</v>
      </c>
    </row>
    <row r="508" spans="1:62" s="174" customFormat="1" ht="12.75" hidden="1">
      <c r="A508" s="121" t="s">
        <v>940</v>
      </c>
      <c r="B508" s="121" t="s">
        <v>60</v>
      </c>
      <c r="C508" s="121" t="s">
        <v>1223</v>
      </c>
      <c r="D508" s="129" t="s">
        <v>1524</v>
      </c>
      <c r="E508" s="121" t="s">
        <v>606</v>
      </c>
      <c r="F508" s="122">
        <f>'Stavební rozpočet'!F664</f>
        <v>0</v>
      </c>
      <c r="G508" s="172"/>
      <c r="H508" s="122">
        <f t="shared" si="358"/>
        <v>0</v>
      </c>
      <c r="I508" s="122">
        <f t="shared" si="359"/>
        <v>0</v>
      </c>
      <c r="J508" s="122">
        <f t="shared" si="360"/>
        <v>0</v>
      </c>
      <c r="K508" s="122">
        <f>'Stavební rozpočet'!K664</f>
        <v>0</v>
      </c>
      <c r="L508" s="122">
        <f t="shared" si="361"/>
        <v>0</v>
      </c>
      <c r="M508" s="123" t="s">
        <v>622</v>
      </c>
      <c r="Z508" s="124">
        <f t="shared" si="362"/>
        <v>0</v>
      </c>
      <c r="AB508" s="124">
        <f t="shared" si="363"/>
        <v>0</v>
      </c>
      <c r="AC508" s="124">
        <f t="shared" si="364"/>
        <v>0</v>
      </c>
      <c r="AD508" s="124">
        <f t="shared" si="365"/>
        <v>0</v>
      </c>
      <c r="AE508" s="124">
        <f t="shared" si="366"/>
        <v>0</v>
      </c>
      <c r="AF508" s="124">
        <f t="shared" si="367"/>
        <v>0</v>
      </c>
      <c r="AG508" s="124">
        <f t="shared" si="368"/>
        <v>0</v>
      </c>
      <c r="AH508" s="124">
        <f t="shared" si="369"/>
        <v>0</v>
      </c>
      <c r="AI508" s="113" t="s">
        <v>60</v>
      </c>
      <c r="AJ508" s="122">
        <f t="shared" si="370"/>
        <v>0</v>
      </c>
      <c r="AK508" s="122">
        <f t="shared" si="371"/>
        <v>0</v>
      </c>
      <c r="AL508" s="122">
        <f t="shared" si="372"/>
        <v>0</v>
      </c>
      <c r="AN508" s="124">
        <v>15</v>
      </c>
      <c r="AO508" s="124">
        <f t="shared" si="373"/>
        <v>0</v>
      </c>
      <c r="AP508" s="124">
        <f t="shared" si="374"/>
        <v>0</v>
      </c>
      <c r="AQ508" s="123" t="s">
        <v>79</v>
      </c>
      <c r="AV508" s="124">
        <f t="shared" si="375"/>
        <v>0</v>
      </c>
      <c r="AW508" s="124">
        <f t="shared" si="376"/>
        <v>0</v>
      </c>
      <c r="AX508" s="124">
        <f t="shared" si="377"/>
        <v>0</v>
      </c>
      <c r="AY508" s="125" t="s">
        <v>649</v>
      </c>
      <c r="AZ508" s="125" t="s">
        <v>1536</v>
      </c>
      <c r="BA508" s="113" t="s">
        <v>1542</v>
      </c>
      <c r="BC508" s="124">
        <f t="shared" si="378"/>
        <v>0</v>
      </c>
      <c r="BD508" s="124">
        <f t="shared" si="379"/>
        <v>0</v>
      </c>
      <c r="BE508" s="124">
        <v>0</v>
      </c>
      <c r="BF508" s="124">
        <f t="shared" si="380"/>
        <v>0</v>
      </c>
      <c r="BH508" s="122">
        <f t="shared" si="381"/>
        <v>0</v>
      </c>
      <c r="BI508" s="122">
        <f t="shared" si="382"/>
        <v>0</v>
      </c>
      <c r="BJ508" s="122">
        <f t="shared" si="383"/>
        <v>0</v>
      </c>
    </row>
    <row r="509" spans="1:62" s="174" customFormat="1" ht="12.75">
      <c r="A509" s="121" t="s">
        <v>941</v>
      </c>
      <c r="B509" s="121" t="s">
        <v>60</v>
      </c>
      <c r="C509" s="121" t="s">
        <v>416</v>
      </c>
      <c r="D509" s="129" t="s">
        <v>603</v>
      </c>
      <c r="E509" s="121" t="s">
        <v>616</v>
      </c>
      <c r="F509" s="122">
        <f>'Stavební rozpočet'!F665</f>
        <v>1</v>
      </c>
      <c r="G509" s="172"/>
      <c r="H509" s="122">
        <f t="shared" si="358"/>
        <v>0</v>
      </c>
      <c r="I509" s="122">
        <f t="shared" si="359"/>
        <v>0</v>
      </c>
      <c r="J509" s="122">
        <f t="shared" si="360"/>
        <v>0</v>
      </c>
      <c r="K509" s="122">
        <f>'Stavební rozpočet'!K665</f>
        <v>0</v>
      </c>
      <c r="L509" s="122">
        <f t="shared" si="361"/>
        <v>0</v>
      </c>
      <c r="M509" s="123" t="s">
        <v>622</v>
      </c>
      <c r="Z509" s="124">
        <f t="shared" si="362"/>
        <v>0</v>
      </c>
      <c r="AB509" s="124">
        <f t="shared" si="363"/>
        <v>0</v>
      </c>
      <c r="AC509" s="124">
        <f t="shared" si="364"/>
        <v>0</v>
      </c>
      <c r="AD509" s="124">
        <f t="shared" si="365"/>
        <v>0</v>
      </c>
      <c r="AE509" s="124">
        <f t="shared" si="366"/>
        <v>0</v>
      </c>
      <c r="AF509" s="124">
        <f t="shared" si="367"/>
        <v>0</v>
      </c>
      <c r="AG509" s="124">
        <f t="shared" si="368"/>
        <v>0</v>
      </c>
      <c r="AH509" s="124">
        <f t="shared" si="369"/>
        <v>0</v>
      </c>
      <c r="AI509" s="113" t="s">
        <v>60</v>
      </c>
      <c r="AJ509" s="122">
        <f t="shared" si="370"/>
        <v>0</v>
      </c>
      <c r="AK509" s="122">
        <f t="shared" si="371"/>
        <v>0</v>
      </c>
      <c r="AL509" s="122">
        <f t="shared" si="372"/>
        <v>0</v>
      </c>
      <c r="AN509" s="124">
        <v>15</v>
      </c>
      <c r="AO509" s="124">
        <f t="shared" si="373"/>
        <v>0</v>
      </c>
      <c r="AP509" s="124">
        <f t="shared" si="374"/>
        <v>0</v>
      </c>
      <c r="AQ509" s="123" t="s">
        <v>79</v>
      </c>
      <c r="AV509" s="124">
        <f t="shared" si="375"/>
        <v>0</v>
      </c>
      <c r="AW509" s="124">
        <f t="shared" si="376"/>
        <v>0</v>
      </c>
      <c r="AX509" s="124">
        <f t="shared" si="377"/>
        <v>0</v>
      </c>
      <c r="AY509" s="125" t="s">
        <v>649</v>
      </c>
      <c r="AZ509" s="125" t="s">
        <v>1536</v>
      </c>
      <c r="BA509" s="113" t="s">
        <v>1542</v>
      </c>
      <c r="BC509" s="124">
        <f t="shared" si="378"/>
        <v>0</v>
      </c>
      <c r="BD509" s="124">
        <f t="shared" si="379"/>
        <v>0</v>
      </c>
      <c r="BE509" s="124">
        <v>0</v>
      </c>
      <c r="BF509" s="124">
        <f t="shared" si="380"/>
        <v>0</v>
      </c>
      <c r="BH509" s="122">
        <f t="shared" si="381"/>
        <v>0</v>
      </c>
      <c r="BI509" s="122">
        <f t="shared" si="382"/>
        <v>0</v>
      </c>
      <c r="BJ509" s="122">
        <f t="shared" si="383"/>
        <v>0</v>
      </c>
    </row>
    <row r="510" spans="1:62" s="174" customFormat="1" ht="12.75">
      <c r="A510" s="121" t="s">
        <v>942</v>
      </c>
      <c r="B510" s="121" t="s">
        <v>60</v>
      </c>
      <c r="C510" s="121" t="s">
        <v>417</v>
      </c>
      <c r="D510" s="129" t="s">
        <v>604</v>
      </c>
      <c r="E510" s="121" t="s">
        <v>611</v>
      </c>
      <c r="F510" s="122">
        <f>'Stavební rozpočet'!F666</f>
        <v>16</v>
      </c>
      <c r="G510" s="172"/>
      <c r="H510" s="122">
        <f t="shared" si="358"/>
        <v>0</v>
      </c>
      <c r="I510" s="122">
        <f t="shared" si="359"/>
        <v>0</v>
      </c>
      <c r="J510" s="122">
        <f t="shared" si="360"/>
        <v>0</v>
      </c>
      <c r="K510" s="122">
        <f>'Stavební rozpočet'!K666</f>
        <v>0</v>
      </c>
      <c r="L510" s="122">
        <f t="shared" si="361"/>
        <v>0</v>
      </c>
      <c r="M510" s="123" t="s">
        <v>622</v>
      </c>
      <c r="Z510" s="124">
        <f t="shared" si="362"/>
        <v>0</v>
      </c>
      <c r="AB510" s="124">
        <f t="shared" si="363"/>
        <v>0</v>
      </c>
      <c r="AC510" s="124">
        <f t="shared" si="364"/>
        <v>0</v>
      </c>
      <c r="AD510" s="124">
        <f t="shared" si="365"/>
        <v>0</v>
      </c>
      <c r="AE510" s="124">
        <f t="shared" si="366"/>
        <v>0</v>
      </c>
      <c r="AF510" s="124">
        <f t="shared" si="367"/>
        <v>0</v>
      </c>
      <c r="AG510" s="124">
        <f t="shared" si="368"/>
        <v>0</v>
      </c>
      <c r="AH510" s="124">
        <f t="shared" si="369"/>
        <v>0</v>
      </c>
      <c r="AI510" s="113" t="s">
        <v>60</v>
      </c>
      <c r="AJ510" s="122">
        <f t="shared" si="370"/>
        <v>0</v>
      </c>
      <c r="AK510" s="122">
        <f t="shared" si="371"/>
        <v>0</v>
      </c>
      <c r="AL510" s="122">
        <f t="shared" si="372"/>
        <v>0</v>
      </c>
      <c r="AN510" s="124">
        <v>15</v>
      </c>
      <c r="AO510" s="124">
        <f t="shared" si="373"/>
        <v>0</v>
      </c>
      <c r="AP510" s="124">
        <f t="shared" si="374"/>
        <v>0</v>
      </c>
      <c r="AQ510" s="123" t="s">
        <v>79</v>
      </c>
      <c r="AV510" s="124">
        <f t="shared" si="375"/>
        <v>0</v>
      </c>
      <c r="AW510" s="124">
        <f t="shared" si="376"/>
        <v>0</v>
      </c>
      <c r="AX510" s="124">
        <f t="shared" si="377"/>
        <v>0</v>
      </c>
      <c r="AY510" s="125" t="s">
        <v>649</v>
      </c>
      <c r="AZ510" s="125" t="s">
        <v>1536</v>
      </c>
      <c r="BA510" s="113" t="s">
        <v>1542</v>
      </c>
      <c r="BC510" s="124">
        <f t="shared" si="378"/>
        <v>0</v>
      </c>
      <c r="BD510" s="124">
        <f t="shared" si="379"/>
        <v>0</v>
      </c>
      <c r="BE510" s="124">
        <v>0</v>
      </c>
      <c r="BF510" s="124">
        <f t="shared" si="380"/>
        <v>0</v>
      </c>
      <c r="BH510" s="122">
        <f t="shared" si="381"/>
        <v>0</v>
      </c>
      <c r="BI510" s="122">
        <f t="shared" si="382"/>
        <v>0</v>
      </c>
      <c r="BJ510" s="122">
        <f t="shared" si="383"/>
        <v>0</v>
      </c>
    </row>
    <row r="511" spans="1:62" s="174" customFormat="1" ht="12.75">
      <c r="A511" s="130" t="s">
        <v>943</v>
      </c>
      <c r="B511" s="130" t="s">
        <v>60</v>
      </c>
      <c r="C511" s="130" t="s">
        <v>1224</v>
      </c>
      <c r="D511" s="138" t="s">
        <v>1525</v>
      </c>
      <c r="E511" s="130" t="s">
        <v>606</v>
      </c>
      <c r="F511" s="131">
        <f>'Stavební rozpočet'!F667</f>
        <v>66</v>
      </c>
      <c r="G511" s="177"/>
      <c r="H511" s="131">
        <f t="shared" si="358"/>
        <v>0</v>
      </c>
      <c r="I511" s="131">
        <f t="shared" si="359"/>
        <v>0</v>
      </c>
      <c r="J511" s="131">
        <f t="shared" si="360"/>
        <v>0</v>
      </c>
      <c r="K511" s="131">
        <f>'Stavební rozpočet'!K667</f>
        <v>0</v>
      </c>
      <c r="L511" s="131">
        <f t="shared" si="361"/>
        <v>0</v>
      </c>
      <c r="M511" s="132" t="s">
        <v>622</v>
      </c>
      <c r="Z511" s="124">
        <f t="shared" si="362"/>
        <v>0</v>
      </c>
      <c r="AB511" s="124">
        <f t="shared" si="363"/>
        <v>0</v>
      </c>
      <c r="AC511" s="124">
        <f t="shared" si="364"/>
        <v>0</v>
      </c>
      <c r="AD511" s="124">
        <f t="shared" si="365"/>
        <v>0</v>
      </c>
      <c r="AE511" s="124">
        <f t="shared" si="366"/>
        <v>0</v>
      </c>
      <c r="AF511" s="124">
        <f t="shared" si="367"/>
        <v>0</v>
      </c>
      <c r="AG511" s="124">
        <f t="shared" si="368"/>
        <v>0</v>
      </c>
      <c r="AH511" s="124">
        <f t="shared" si="369"/>
        <v>0</v>
      </c>
      <c r="AI511" s="113" t="s">
        <v>60</v>
      </c>
      <c r="AJ511" s="127">
        <f t="shared" si="370"/>
        <v>0</v>
      </c>
      <c r="AK511" s="127">
        <f t="shared" si="371"/>
        <v>0</v>
      </c>
      <c r="AL511" s="127">
        <f t="shared" si="372"/>
        <v>0</v>
      </c>
      <c r="AN511" s="124">
        <v>15</v>
      </c>
      <c r="AO511" s="124">
        <f>G511*1</f>
        <v>0</v>
      </c>
      <c r="AP511" s="124">
        <f>G511*(1-1)</f>
        <v>0</v>
      </c>
      <c r="AQ511" s="128" t="s">
        <v>79</v>
      </c>
      <c r="AV511" s="124">
        <f t="shared" si="375"/>
        <v>0</v>
      </c>
      <c r="AW511" s="124">
        <f t="shared" si="376"/>
        <v>0</v>
      </c>
      <c r="AX511" s="124">
        <f t="shared" si="377"/>
        <v>0</v>
      </c>
      <c r="AY511" s="125" t="s">
        <v>649</v>
      </c>
      <c r="AZ511" s="125" t="s">
        <v>1536</v>
      </c>
      <c r="BA511" s="113" t="s">
        <v>1542</v>
      </c>
      <c r="BC511" s="124">
        <f t="shared" si="378"/>
        <v>0</v>
      </c>
      <c r="BD511" s="124">
        <f t="shared" si="379"/>
        <v>0</v>
      </c>
      <c r="BE511" s="124">
        <v>0</v>
      </c>
      <c r="BF511" s="124">
        <f t="shared" si="380"/>
        <v>0</v>
      </c>
      <c r="BH511" s="127">
        <f t="shared" si="381"/>
        <v>0</v>
      </c>
      <c r="BI511" s="127">
        <f t="shared" si="382"/>
        <v>0</v>
      </c>
      <c r="BJ511" s="127">
        <f t="shared" si="383"/>
        <v>0</v>
      </c>
    </row>
    <row r="512" spans="1:13" ht="12.75">
      <c r="A512" s="5"/>
      <c r="B512" s="5"/>
      <c r="C512" s="5"/>
      <c r="D512" s="178"/>
      <c r="E512" s="5"/>
      <c r="F512" s="5"/>
      <c r="G512" s="5"/>
      <c r="H512" s="225" t="s">
        <v>74</v>
      </c>
      <c r="I512" s="187"/>
      <c r="J512" s="31">
        <f>J13+J19+J33+J38+J53+J59+J62+J67+J72+J84+J91+J93+J153+J201+J251+J316+J330+J338+J353+J362+J382+J387</f>
        <v>0</v>
      </c>
      <c r="K512" s="5"/>
      <c r="L512" s="5"/>
      <c r="M512" s="5"/>
    </row>
    <row r="513" ht="11.25" customHeight="1">
      <c r="A513" s="24" t="s">
        <v>18</v>
      </c>
    </row>
    <row r="514" spans="1:13" ht="12.75">
      <c r="A514" s="194"/>
      <c r="B514" s="185"/>
      <c r="C514" s="185"/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</row>
  </sheetData>
  <sheetProtection algorithmName="SHA-512" hashValue="tiqnh/svT0oRUwn1J2RYEr406TCuOKvWZGYMGZflZozUNLoGzesYBpEFFcoJLOiDFw2vNyUtfWNH1GVqHF8Byg==" saltValue="DL4pbtHFVjvpoqYKBu+1og==" spinCount="100000" sheet="1" objects="1" scenarios="1"/>
  <mergeCells count="29">
    <mergeCell ref="H10:J10"/>
    <mergeCell ref="K10:L10"/>
    <mergeCell ref="H512:I512"/>
    <mergeCell ref="A514:M514"/>
    <mergeCell ref="A8:C9"/>
    <mergeCell ref="D8:D9"/>
    <mergeCell ref="E8:F9"/>
    <mergeCell ref="G8:G9"/>
    <mergeCell ref="H8:H9"/>
    <mergeCell ref="I8:M9"/>
    <mergeCell ref="I6:M7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9"/>
  <sheetViews>
    <sheetView workbookViewId="0" topLeftCell="A1">
      <selection activeCell="G462" sqref="A462:XFD463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90.00390625" style="82" customWidth="1"/>
    <col min="5" max="5" width="14.7109375" style="0" customWidth="1"/>
    <col min="6" max="6" width="38.57421875" style="82" customWidth="1"/>
    <col min="7" max="7" width="20.421875" style="0" customWidth="1"/>
    <col min="8" max="8" width="16.421875" style="0" customWidth="1"/>
  </cols>
  <sheetData>
    <row r="1" spans="1:8" ht="72.95" customHeight="1">
      <c r="A1" s="219" t="s">
        <v>1543</v>
      </c>
      <c r="B1" s="181"/>
      <c r="C1" s="181"/>
      <c r="D1" s="181"/>
      <c r="E1" s="181"/>
      <c r="F1" s="181"/>
      <c r="G1" s="181"/>
      <c r="H1" s="181"/>
    </row>
    <row r="2" spans="1:9" ht="12.75">
      <c r="A2" s="182" t="s">
        <v>0</v>
      </c>
      <c r="B2" s="183"/>
      <c r="C2" s="186" t="str">
        <f>'Stavební rozpočet'!D2</f>
        <v>"Snížení energetické náročnosti bytových domů v ul.Komenského"-změna vnitřních prostorů</v>
      </c>
      <c r="D2" s="187"/>
      <c r="E2" s="189" t="s">
        <v>31</v>
      </c>
      <c r="F2" s="189"/>
      <c r="G2" s="183"/>
      <c r="H2" s="220"/>
      <c r="I2" s="18"/>
    </row>
    <row r="3" spans="1:9" ht="12.75">
      <c r="A3" s="184"/>
      <c r="B3" s="185"/>
      <c r="C3" s="188"/>
      <c r="D3" s="188"/>
      <c r="E3" s="185"/>
      <c r="F3" s="185"/>
      <c r="G3" s="185"/>
      <c r="H3" s="191"/>
      <c r="I3" s="18"/>
    </row>
    <row r="4" spans="1:9" ht="12.75">
      <c r="A4" s="193" t="s">
        <v>1</v>
      </c>
      <c r="B4" s="185"/>
      <c r="C4" s="194"/>
      <c r="D4" s="185"/>
      <c r="E4" s="194" t="s">
        <v>32</v>
      </c>
      <c r="F4" s="194"/>
      <c r="G4" s="185"/>
      <c r="H4" s="191"/>
      <c r="I4" s="18"/>
    </row>
    <row r="5" spans="1:9" ht="12.75">
      <c r="A5" s="184"/>
      <c r="B5" s="185"/>
      <c r="C5" s="185"/>
      <c r="D5" s="185"/>
      <c r="E5" s="185"/>
      <c r="F5" s="185"/>
      <c r="G5" s="185"/>
      <c r="H5" s="191"/>
      <c r="I5" s="18"/>
    </row>
    <row r="6" spans="1:9" ht="12.75">
      <c r="A6" s="193" t="s">
        <v>2</v>
      </c>
      <c r="B6" s="185"/>
      <c r="C6" s="194"/>
      <c r="D6" s="185"/>
      <c r="E6" s="194" t="s">
        <v>33</v>
      </c>
      <c r="F6" s="194"/>
      <c r="G6" s="185"/>
      <c r="H6" s="191"/>
      <c r="I6" s="18"/>
    </row>
    <row r="7" spans="1:9" ht="12.75">
      <c r="A7" s="184"/>
      <c r="B7" s="185"/>
      <c r="C7" s="185"/>
      <c r="D7" s="185"/>
      <c r="E7" s="185"/>
      <c r="F7" s="185"/>
      <c r="G7" s="185"/>
      <c r="H7" s="191"/>
      <c r="I7" s="18"/>
    </row>
    <row r="8" spans="1:9" ht="12.75">
      <c r="A8" s="193" t="s">
        <v>35</v>
      </c>
      <c r="B8" s="185"/>
      <c r="C8" s="194"/>
      <c r="D8" s="185"/>
      <c r="E8" s="194" t="s">
        <v>71</v>
      </c>
      <c r="F8" s="194"/>
      <c r="G8" s="185"/>
      <c r="H8" s="191"/>
      <c r="I8" s="18"/>
    </row>
    <row r="9" spans="1:9" ht="12.75">
      <c r="A9" s="223"/>
      <c r="B9" s="221"/>
      <c r="C9" s="221"/>
      <c r="D9" s="221"/>
      <c r="E9" s="221"/>
      <c r="F9" s="221"/>
      <c r="G9" s="221"/>
      <c r="H9" s="222"/>
      <c r="I9" s="18"/>
    </row>
    <row r="10" spans="1:9" ht="12.75">
      <c r="A10" s="60" t="s">
        <v>78</v>
      </c>
      <c r="B10" s="62" t="s">
        <v>58</v>
      </c>
      <c r="C10" s="62" t="s">
        <v>245</v>
      </c>
      <c r="D10" s="81" t="s">
        <v>418</v>
      </c>
      <c r="E10" s="62" t="s">
        <v>605</v>
      </c>
      <c r="F10" s="81" t="s">
        <v>419</v>
      </c>
      <c r="G10" s="63" t="s">
        <v>617</v>
      </c>
      <c r="H10" s="65" t="s">
        <v>662</v>
      </c>
      <c r="I10" s="19"/>
    </row>
    <row r="11" spans="1:8" s="87" customFormat="1" ht="12.75">
      <c r="A11" s="83" t="s">
        <v>79</v>
      </c>
      <c r="B11" s="83" t="s">
        <v>60</v>
      </c>
      <c r="C11" s="83" t="s">
        <v>944</v>
      </c>
      <c r="D11" s="84" t="s">
        <v>1225</v>
      </c>
      <c r="E11" s="83" t="s">
        <v>606</v>
      </c>
      <c r="F11" s="84" t="s">
        <v>2176</v>
      </c>
      <c r="G11" s="85">
        <v>14</v>
      </c>
      <c r="H11" s="86" t="s">
        <v>622</v>
      </c>
    </row>
    <row r="12" spans="1:8" s="87" customFormat="1" ht="12.75">
      <c r="A12" s="88" t="s">
        <v>80</v>
      </c>
      <c r="B12" s="88" t="s">
        <v>60</v>
      </c>
      <c r="C12" s="88" t="s">
        <v>246</v>
      </c>
      <c r="D12" s="89" t="s">
        <v>421</v>
      </c>
      <c r="E12" s="88" t="s">
        <v>606</v>
      </c>
      <c r="F12" s="89" t="s">
        <v>2177</v>
      </c>
      <c r="G12" s="90">
        <v>12</v>
      </c>
      <c r="H12" s="91" t="s">
        <v>622</v>
      </c>
    </row>
    <row r="13" spans="1:8" s="87" customFormat="1" ht="12.75" hidden="1">
      <c r="A13" s="88" t="s">
        <v>81</v>
      </c>
      <c r="B13" s="88" t="s">
        <v>60</v>
      </c>
      <c r="C13" s="88" t="s">
        <v>247</v>
      </c>
      <c r="D13" s="89" t="s">
        <v>422</v>
      </c>
      <c r="E13" s="88" t="s">
        <v>606</v>
      </c>
      <c r="F13" s="92"/>
      <c r="G13" s="90">
        <v>0</v>
      </c>
      <c r="H13" s="91" t="s">
        <v>622</v>
      </c>
    </row>
    <row r="14" spans="1:8" s="87" customFormat="1" ht="12.75">
      <c r="A14" s="88" t="s">
        <v>82</v>
      </c>
      <c r="B14" s="88" t="s">
        <v>60</v>
      </c>
      <c r="C14" s="88" t="s">
        <v>248</v>
      </c>
      <c r="D14" s="89" t="s">
        <v>423</v>
      </c>
      <c r="E14" s="88" t="s">
        <v>607</v>
      </c>
      <c r="F14" s="92"/>
      <c r="G14" s="90">
        <v>5.4</v>
      </c>
      <c r="H14" s="91" t="s">
        <v>622</v>
      </c>
    </row>
    <row r="15" spans="1:8" s="87" customFormat="1" ht="38.25">
      <c r="A15" s="88" t="s">
        <v>83</v>
      </c>
      <c r="B15" s="88" t="s">
        <v>60</v>
      </c>
      <c r="C15" s="88" t="s">
        <v>249</v>
      </c>
      <c r="D15" s="89" t="s">
        <v>426</v>
      </c>
      <c r="E15" s="88" t="s">
        <v>608</v>
      </c>
      <c r="F15" s="89" t="s">
        <v>1544</v>
      </c>
      <c r="G15" s="90">
        <v>98.93</v>
      </c>
      <c r="H15" s="91" t="s">
        <v>622</v>
      </c>
    </row>
    <row r="16" spans="1:8" s="87" customFormat="1" ht="12.75" hidden="1">
      <c r="A16" s="88" t="s">
        <v>84</v>
      </c>
      <c r="B16" s="88" t="s">
        <v>60</v>
      </c>
      <c r="C16" s="88" t="s">
        <v>250</v>
      </c>
      <c r="D16" s="89" t="s">
        <v>427</v>
      </c>
      <c r="E16" s="88" t="s">
        <v>608</v>
      </c>
      <c r="F16" s="89"/>
      <c r="G16" s="90">
        <v>0</v>
      </c>
      <c r="H16" s="91" t="s">
        <v>622</v>
      </c>
    </row>
    <row r="17" spans="1:8" s="87" customFormat="1" ht="12.75" hidden="1">
      <c r="A17" s="88" t="s">
        <v>85</v>
      </c>
      <c r="B17" s="88" t="s">
        <v>60</v>
      </c>
      <c r="C17" s="88" t="s">
        <v>945</v>
      </c>
      <c r="D17" s="89" t="s">
        <v>1226</v>
      </c>
      <c r="E17" s="88" t="s">
        <v>608</v>
      </c>
      <c r="F17" s="89"/>
      <c r="G17" s="90">
        <v>0</v>
      </c>
      <c r="H17" s="91" t="s">
        <v>622</v>
      </c>
    </row>
    <row r="18" spans="1:8" s="87" customFormat="1" ht="12.75" hidden="1">
      <c r="A18" s="88" t="s">
        <v>86</v>
      </c>
      <c r="B18" s="88" t="s">
        <v>60</v>
      </c>
      <c r="C18" s="88" t="s">
        <v>251</v>
      </c>
      <c r="D18" s="89" t="s">
        <v>429</v>
      </c>
      <c r="E18" s="88" t="s">
        <v>606</v>
      </c>
      <c r="F18" s="92"/>
      <c r="G18" s="90">
        <v>0</v>
      </c>
      <c r="H18" s="91" t="s">
        <v>622</v>
      </c>
    </row>
    <row r="19" spans="1:8" s="87" customFormat="1" ht="12.75">
      <c r="A19" s="88" t="s">
        <v>87</v>
      </c>
      <c r="B19" s="88" t="s">
        <v>60</v>
      </c>
      <c r="C19" s="88" t="s">
        <v>252</v>
      </c>
      <c r="D19" s="89" t="s">
        <v>431</v>
      </c>
      <c r="E19" s="88" t="s">
        <v>609</v>
      </c>
      <c r="F19" s="89" t="s">
        <v>2181</v>
      </c>
      <c r="G19" s="90">
        <v>41.73</v>
      </c>
      <c r="H19" s="91" t="s">
        <v>622</v>
      </c>
    </row>
    <row r="20" spans="1:8" s="87" customFormat="1" ht="12.75">
      <c r="A20" s="88" t="s">
        <v>88</v>
      </c>
      <c r="B20" s="88" t="s">
        <v>60</v>
      </c>
      <c r="C20" s="88" t="s">
        <v>253</v>
      </c>
      <c r="D20" s="89" t="s">
        <v>432</v>
      </c>
      <c r="E20" s="88" t="s">
        <v>608</v>
      </c>
      <c r="F20" s="89" t="s">
        <v>2182</v>
      </c>
      <c r="G20" s="90">
        <v>11.65</v>
      </c>
      <c r="H20" s="91" t="s">
        <v>622</v>
      </c>
    </row>
    <row r="21" spans="1:8" s="87" customFormat="1" ht="12.75">
      <c r="A21" s="88" t="s">
        <v>89</v>
      </c>
      <c r="B21" s="88" t="s">
        <v>60</v>
      </c>
      <c r="C21" s="88" t="s">
        <v>946</v>
      </c>
      <c r="D21" s="89" t="s">
        <v>1227</v>
      </c>
      <c r="E21" s="88" t="s">
        <v>608</v>
      </c>
      <c r="F21" s="89" t="s">
        <v>2183</v>
      </c>
      <c r="G21" s="90">
        <v>4.08</v>
      </c>
      <c r="H21" s="91" t="s">
        <v>622</v>
      </c>
    </row>
    <row r="22" spans="1:8" s="87" customFormat="1" ht="12.75" hidden="1">
      <c r="A22" s="88" t="s">
        <v>90</v>
      </c>
      <c r="B22" s="88" t="s">
        <v>60</v>
      </c>
      <c r="C22" s="88" t="s">
        <v>947</v>
      </c>
      <c r="D22" s="89" t="s">
        <v>1228</v>
      </c>
      <c r="E22" s="88" t="s">
        <v>608</v>
      </c>
      <c r="F22" s="89"/>
      <c r="G22" s="90">
        <v>0</v>
      </c>
      <c r="H22" s="91" t="s">
        <v>622</v>
      </c>
    </row>
    <row r="23" spans="1:8" s="87" customFormat="1" ht="12.75">
      <c r="A23" s="88" t="s">
        <v>91</v>
      </c>
      <c r="B23" s="88" t="s">
        <v>60</v>
      </c>
      <c r="C23" s="88" t="s">
        <v>948</v>
      </c>
      <c r="D23" s="89" t="s">
        <v>1229</v>
      </c>
      <c r="E23" s="88" t="s">
        <v>608</v>
      </c>
      <c r="F23" s="89" t="s">
        <v>2184</v>
      </c>
      <c r="G23" s="90">
        <v>22.59</v>
      </c>
      <c r="H23" s="91" t="s">
        <v>622</v>
      </c>
    </row>
    <row r="24" spans="1:8" s="87" customFormat="1" ht="25.5">
      <c r="A24" s="88" t="s">
        <v>92</v>
      </c>
      <c r="B24" s="88" t="s">
        <v>60</v>
      </c>
      <c r="C24" s="88" t="s">
        <v>949</v>
      </c>
      <c r="D24" s="89" t="s">
        <v>1231</v>
      </c>
      <c r="E24" s="88" t="s">
        <v>608</v>
      </c>
      <c r="F24" s="89" t="s">
        <v>2178</v>
      </c>
      <c r="G24" s="90">
        <v>38.76</v>
      </c>
      <c r="H24" s="91" t="s">
        <v>622</v>
      </c>
    </row>
    <row r="25" spans="1:8" s="87" customFormat="1" ht="12.75">
      <c r="A25" s="88" t="s">
        <v>93</v>
      </c>
      <c r="B25" s="88" t="s">
        <v>60</v>
      </c>
      <c r="C25" s="88" t="s">
        <v>950</v>
      </c>
      <c r="D25" s="89" t="s">
        <v>1233</v>
      </c>
      <c r="E25" s="88" t="s">
        <v>608</v>
      </c>
      <c r="F25" s="89" t="s">
        <v>2179</v>
      </c>
      <c r="G25" s="90">
        <v>151.5</v>
      </c>
      <c r="H25" s="91" t="s">
        <v>622</v>
      </c>
    </row>
    <row r="26" spans="1:8" s="87" customFormat="1" ht="12.75">
      <c r="A26" s="88" t="s">
        <v>94</v>
      </c>
      <c r="B26" s="88" t="s">
        <v>60</v>
      </c>
      <c r="C26" s="88" t="s">
        <v>254</v>
      </c>
      <c r="D26" s="89" t="s">
        <v>435</v>
      </c>
      <c r="E26" s="88" t="s">
        <v>608</v>
      </c>
      <c r="F26" s="89" t="s">
        <v>2180</v>
      </c>
      <c r="G26" s="90">
        <v>12.65</v>
      </c>
      <c r="H26" s="91" t="s">
        <v>622</v>
      </c>
    </row>
    <row r="27" spans="1:8" s="87" customFormat="1" ht="12.75">
      <c r="A27" s="88" t="s">
        <v>95</v>
      </c>
      <c r="B27" s="88" t="s">
        <v>60</v>
      </c>
      <c r="C27" s="88" t="s">
        <v>255</v>
      </c>
      <c r="D27" s="89" t="s">
        <v>437</v>
      </c>
      <c r="E27" s="88" t="s">
        <v>609</v>
      </c>
      <c r="F27" s="89" t="s">
        <v>1545</v>
      </c>
      <c r="G27" s="90">
        <v>145.42</v>
      </c>
      <c r="H27" s="91" t="s">
        <v>622</v>
      </c>
    </row>
    <row r="28" spans="1:8" s="87" customFormat="1" ht="12.75">
      <c r="A28" s="88" t="s">
        <v>96</v>
      </c>
      <c r="B28" s="88" t="s">
        <v>60</v>
      </c>
      <c r="C28" s="88" t="s">
        <v>256</v>
      </c>
      <c r="D28" s="89" t="s">
        <v>439</v>
      </c>
      <c r="E28" s="88" t="s">
        <v>608</v>
      </c>
      <c r="F28" s="92"/>
      <c r="G28" s="90">
        <v>193.72</v>
      </c>
      <c r="H28" s="91" t="s">
        <v>622</v>
      </c>
    </row>
    <row r="29" spans="1:8" s="87" customFormat="1" ht="25.5">
      <c r="A29" s="88" t="s">
        <v>97</v>
      </c>
      <c r="B29" s="88" t="s">
        <v>60</v>
      </c>
      <c r="C29" s="88" t="s">
        <v>257</v>
      </c>
      <c r="D29" s="89" t="s">
        <v>440</v>
      </c>
      <c r="E29" s="88" t="s">
        <v>608</v>
      </c>
      <c r="F29" s="92" t="s">
        <v>2194</v>
      </c>
      <c r="G29" s="90">
        <v>193.72</v>
      </c>
      <c r="H29" s="91" t="s">
        <v>622</v>
      </c>
    </row>
    <row r="30" spans="1:8" s="87" customFormat="1" ht="12.75">
      <c r="A30" s="88" t="s">
        <v>98</v>
      </c>
      <c r="B30" s="88" t="s">
        <v>60</v>
      </c>
      <c r="C30" s="88" t="s">
        <v>258</v>
      </c>
      <c r="D30" s="89" t="s">
        <v>442</v>
      </c>
      <c r="E30" s="88" t="s">
        <v>608</v>
      </c>
      <c r="F30" s="92"/>
      <c r="G30" s="90">
        <v>212.19</v>
      </c>
      <c r="H30" s="91" t="s">
        <v>622</v>
      </c>
    </row>
    <row r="31" spans="1:8" s="87" customFormat="1" ht="51">
      <c r="A31" s="88" t="s">
        <v>99</v>
      </c>
      <c r="B31" s="88" t="s">
        <v>60</v>
      </c>
      <c r="C31" s="88" t="s">
        <v>259</v>
      </c>
      <c r="D31" s="89" t="s">
        <v>443</v>
      </c>
      <c r="E31" s="88" t="s">
        <v>608</v>
      </c>
      <c r="F31" s="89" t="s">
        <v>2185</v>
      </c>
      <c r="G31" s="90">
        <v>212.19</v>
      </c>
      <c r="H31" s="91" t="s">
        <v>622</v>
      </c>
    </row>
    <row r="32" spans="1:8" s="87" customFormat="1" ht="12.75">
      <c r="A32" s="88" t="s">
        <v>100</v>
      </c>
      <c r="B32" s="88" t="s">
        <v>60</v>
      </c>
      <c r="C32" s="88" t="s">
        <v>260</v>
      </c>
      <c r="D32" s="89" t="s">
        <v>445</v>
      </c>
      <c r="E32" s="88" t="s">
        <v>608</v>
      </c>
      <c r="F32" s="92"/>
      <c r="G32" s="90">
        <v>193.72</v>
      </c>
      <c r="H32" s="91" t="s">
        <v>622</v>
      </c>
    </row>
    <row r="33" spans="1:8" s="87" customFormat="1" ht="12.75" hidden="1">
      <c r="A33" s="88" t="s">
        <v>101</v>
      </c>
      <c r="B33" s="88" t="s">
        <v>60</v>
      </c>
      <c r="C33" s="88" t="s">
        <v>261</v>
      </c>
      <c r="D33" s="89" t="s">
        <v>447</v>
      </c>
      <c r="E33" s="88" t="s">
        <v>609</v>
      </c>
      <c r="F33" s="89" t="s">
        <v>1705</v>
      </c>
      <c r="G33" s="90">
        <v>0</v>
      </c>
      <c r="H33" s="91" t="s">
        <v>622</v>
      </c>
    </row>
    <row r="34" spans="1:8" s="87" customFormat="1" ht="12.75" hidden="1">
      <c r="A34" s="88" t="s">
        <v>102</v>
      </c>
      <c r="B34" s="88" t="s">
        <v>60</v>
      </c>
      <c r="C34" s="88" t="s">
        <v>951</v>
      </c>
      <c r="D34" s="89" t="s">
        <v>1234</v>
      </c>
      <c r="E34" s="88" t="s">
        <v>608</v>
      </c>
      <c r="F34" s="89"/>
      <c r="G34" s="90">
        <v>0</v>
      </c>
      <c r="H34" s="91" t="s">
        <v>622</v>
      </c>
    </row>
    <row r="35" spans="1:8" s="87" customFormat="1" ht="12.75" hidden="1">
      <c r="A35" s="88" t="s">
        <v>103</v>
      </c>
      <c r="B35" s="88" t="s">
        <v>60</v>
      </c>
      <c r="C35" s="88" t="s">
        <v>262</v>
      </c>
      <c r="D35" s="89" t="s">
        <v>450</v>
      </c>
      <c r="E35" s="88" t="s">
        <v>608</v>
      </c>
      <c r="F35" s="89"/>
      <c r="G35" s="90">
        <v>0</v>
      </c>
      <c r="H35" s="91" t="s">
        <v>622</v>
      </c>
    </row>
    <row r="36" spans="1:8" s="87" customFormat="1" ht="25.5">
      <c r="A36" s="88" t="s">
        <v>104</v>
      </c>
      <c r="B36" s="88" t="s">
        <v>60</v>
      </c>
      <c r="C36" s="88" t="s">
        <v>263</v>
      </c>
      <c r="D36" s="89" t="s">
        <v>1236</v>
      </c>
      <c r="E36" s="88" t="s">
        <v>608</v>
      </c>
      <c r="F36" s="89" t="s">
        <v>2186</v>
      </c>
      <c r="G36" s="90">
        <v>190.26</v>
      </c>
      <c r="H36" s="91" t="s">
        <v>622</v>
      </c>
    </row>
    <row r="37" spans="1:8" s="87" customFormat="1" ht="12.75">
      <c r="A37" s="88" t="s">
        <v>105</v>
      </c>
      <c r="B37" s="88" t="s">
        <v>60</v>
      </c>
      <c r="C37" s="88" t="s">
        <v>952</v>
      </c>
      <c r="D37" s="89" t="s">
        <v>1238</v>
      </c>
      <c r="E37" s="88" t="s">
        <v>609</v>
      </c>
      <c r="F37" s="89" t="s">
        <v>2189</v>
      </c>
      <c r="G37" s="90">
        <v>18.9</v>
      </c>
      <c r="H37" s="91" t="s">
        <v>622</v>
      </c>
    </row>
    <row r="38" spans="1:8" s="87" customFormat="1" ht="12.75">
      <c r="A38" s="88" t="s">
        <v>106</v>
      </c>
      <c r="B38" s="88" t="s">
        <v>60</v>
      </c>
      <c r="C38" s="88" t="s">
        <v>264</v>
      </c>
      <c r="D38" s="89" t="s">
        <v>454</v>
      </c>
      <c r="E38" s="88" t="s">
        <v>608</v>
      </c>
      <c r="F38" s="92"/>
      <c r="G38" s="90">
        <v>185</v>
      </c>
      <c r="H38" s="91" t="s">
        <v>622</v>
      </c>
    </row>
    <row r="39" spans="1:8" s="87" customFormat="1" ht="25.5">
      <c r="A39" s="88" t="s">
        <v>107</v>
      </c>
      <c r="B39" s="88" t="s">
        <v>60</v>
      </c>
      <c r="C39" s="88" t="s">
        <v>265</v>
      </c>
      <c r="D39" s="89" t="s">
        <v>455</v>
      </c>
      <c r="E39" s="88" t="s">
        <v>610</v>
      </c>
      <c r="F39" s="89" t="s">
        <v>2187</v>
      </c>
      <c r="G39" s="90">
        <v>555.28</v>
      </c>
      <c r="H39" s="91" t="s">
        <v>622</v>
      </c>
    </row>
    <row r="40" spans="1:8" s="87" customFormat="1" ht="12.75">
      <c r="A40" s="88" t="s">
        <v>108</v>
      </c>
      <c r="B40" s="88" t="s">
        <v>60</v>
      </c>
      <c r="C40" s="88" t="s">
        <v>266</v>
      </c>
      <c r="D40" s="89" t="s">
        <v>456</v>
      </c>
      <c r="E40" s="88" t="s">
        <v>610</v>
      </c>
      <c r="F40" s="89" t="s">
        <v>2188</v>
      </c>
      <c r="G40" s="90">
        <v>1110.56</v>
      </c>
      <c r="H40" s="91" t="s">
        <v>622</v>
      </c>
    </row>
    <row r="41" spans="1:8" s="87" customFormat="1" ht="12.75">
      <c r="A41" s="88" t="s">
        <v>109</v>
      </c>
      <c r="B41" s="88" t="s">
        <v>60</v>
      </c>
      <c r="C41" s="88" t="s">
        <v>267</v>
      </c>
      <c r="D41" s="89" t="s">
        <v>457</v>
      </c>
      <c r="E41" s="88" t="s">
        <v>610</v>
      </c>
      <c r="F41" s="92"/>
      <c r="G41" s="90">
        <v>555.28</v>
      </c>
      <c r="H41" s="91" t="s">
        <v>622</v>
      </c>
    </row>
    <row r="42" spans="1:8" s="87" customFormat="1" ht="25.5">
      <c r="A42" s="88" t="s">
        <v>110</v>
      </c>
      <c r="B42" s="88" t="s">
        <v>60</v>
      </c>
      <c r="C42" s="88" t="s">
        <v>268</v>
      </c>
      <c r="D42" s="89" t="s">
        <v>459</v>
      </c>
      <c r="E42" s="88" t="s">
        <v>608</v>
      </c>
      <c r="F42" s="89" t="s">
        <v>2186</v>
      </c>
      <c r="G42" s="90">
        <v>190.26</v>
      </c>
      <c r="H42" s="91" t="s">
        <v>622</v>
      </c>
    </row>
    <row r="43" spans="1:8" s="87" customFormat="1" ht="12.75">
      <c r="A43" s="88" t="s">
        <v>111</v>
      </c>
      <c r="B43" s="88" t="s">
        <v>60</v>
      </c>
      <c r="C43" s="88" t="s">
        <v>269</v>
      </c>
      <c r="D43" s="89" t="s">
        <v>460</v>
      </c>
      <c r="E43" s="88" t="s">
        <v>606</v>
      </c>
      <c r="F43" s="92"/>
      <c r="G43" s="90">
        <v>2</v>
      </c>
      <c r="H43" s="91" t="s">
        <v>622</v>
      </c>
    </row>
    <row r="44" spans="1:8" s="87" customFormat="1" ht="12.75">
      <c r="A44" s="88" t="s">
        <v>112</v>
      </c>
      <c r="B44" s="88" t="s">
        <v>60</v>
      </c>
      <c r="C44" s="88" t="s">
        <v>270</v>
      </c>
      <c r="D44" s="89" t="s">
        <v>461</v>
      </c>
      <c r="E44" s="88" t="s">
        <v>606</v>
      </c>
      <c r="F44" s="92"/>
      <c r="G44" s="90">
        <v>15</v>
      </c>
      <c r="H44" s="91" t="s">
        <v>622</v>
      </c>
    </row>
    <row r="45" spans="1:8" s="87" customFormat="1" ht="12.75">
      <c r="A45" s="88" t="s">
        <v>113</v>
      </c>
      <c r="B45" s="88" t="s">
        <v>60</v>
      </c>
      <c r="C45" s="88" t="s">
        <v>271</v>
      </c>
      <c r="D45" s="89" t="s">
        <v>462</v>
      </c>
      <c r="E45" s="88" t="s">
        <v>611</v>
      </c>
      <c r="F45" s="92"/>
      <c r="G45" s="90">
        <v>15</v>
      </c>
      <c r="H45" s="91" t="s">
        <v>622</v>
      </c>
    </row>
    <row r="46" spans="1:8" s="87" customFormat="1" ht="12.75" hidden="1">
      <c r="A46" s="88" t="s">
        <v>114</v>
      </c>
      <c r="B46" s="88" t="s">
        <v>60</v>
      </c>
      <c r="C46" s="88" t="s">
        <v>272</v>
      </c>
      <c r="D46" s="89" t="s">
        <v>464</v>
      </c>
      <c r="E46" s="88" t="s">
        <v>608</v>
      </c>
      <c r="F46" s="89" t="s">
        <v>1705</v>
      </c>
      <c r="G46" s="90">
        <v>0</v>
      </c>
      <c r="H46" s="91" t="s">
        <v>622</v>
      </c>
    </row>
    <row r="47" spans="1:8" s="87" customFormat="1" ht="12.75">
      <c r="A47" s="88" t="s">
        <v>115</v>
      </c>
      <c r="B47" s="88" t="s">
        <v>60</v>
      </c>
      <c r="C47" s="88" t="s">
        <v>273</v>
      </c>
      <c r="D47" s="89" t="s">
        <v>465</v>
      </c>
      <c r="E47" s="88" t="s">
        <v>608</v>
      </c>
      <c r="F47" s="89" t="s">
        <v>2190</v>
      </c>
      <c r="G47" s="90">
        <v>27</v>
      </c>
      <c r="H47" s="91" t="s">
        <v>622</v>
      </c>
    </row>
    <row r="48" spans="1:8" s="87" customFormat="1" ht="12.75">
      <c r="A48" s="88" t="s">
        <v>116</v>
      </c>
      <c r="B48" s="88" t="s">
        <v>60</v>
      </c>
      <c r="C48" s="88" t="s">
        <v>953</v>
      </c>
      <c r="D48" s="89" t="s">
        <v>1240</v>
      </c>
      <c r="E48" s="88" t="s">
        <v>610</v>
      </c>
      <c r="F48" s="89" t="s">
        <v>2191</v>
      </c>
      <c r="G48" s="90">
        <v>34.2</v>
      </c>
      <c r="H48" s="91" t="s">
        <v>622</v>
      </c>
    </row>
    <row r="49" spans="1:8" s="87" customFormat="1" ht="12.75">
      <c r="A49" s="88" t="s">
        <v>117</v>
      </c>
      <c r="B49" s="88" t="s">
        <v>60</v>
      </c>
      <c r="C49" s="88" t="s">
        <v>954</v>
      </c>
      <c r="D49" s="89" t="s">
        <v>1242</v>
      </c>
      <c r="E49" s="88" t="s">
        <v>610</v>
      </c>
      <c r="F49" s="89" t="s">
        <v>2192</v>
      </c>
      <c r="G49" s="90">
        <v>23.94</v>
      </c>
      <c r="H49" s="91" t="s">
        <v>622</v>
      </c>
    </row>
    <row r="50" spans="1:8" s="87" customFormat="1" ht="12.75">
      <c r="A50" s="88" t="s">
        <v>118</v>
      </c>
      <c r="B50" s="88" t="s">
        <v>60</v>
      </c>
      <c r="C50" s="88" t="s">
        <v>955</v>
      </c>
      <c r="D50" s="89" t="s">
        <v>1244</v>
      </c>
      <c r="E50" s="88" t="s">
        <v>610</v>
      </c>
      <c r="F50" s="92"/>
      <c r="G50" s="90">
        <v>34.2</v>
      </c>
      <c r="H50" s="91" t="s">
        <v>622</v>
      </c>
    </row>
    <row r="51" spans="1:8" s="87" customFormat="1" ht="12.75">
      <c r="A51" s="88" t="s">
        <v>119</v>
      </c>
      <c r="B51" s="88" t="s">
        <v>60</v>
      </c>
      <c r="C51" s="88" t="s">
        <v>276</v>
      </c>
      <c r="D51" s="89" t="s">
        <v>468</v>
      </c>
      <c r="E51" s="88" t="s">
        <v>608</v>
      </c>
      <c r="F51" s="89" t="s">
        <v>1546</v>
      </c>
      <c r="G51" s="90">
        <v>2.91</v>
      </c>
      <c r="H51" s="91" t="s">
        <v>622</v>
      </c>
    </row>
    <row r="52" spans="1:8" s="87" customFormat="1" ht="12.75">
      <c r="A52" s="88" t="s">
        <v>120</v>
      </c>
      <c r="B52" s="88" t="s">
        <v>60</v>
      </c>
      <c r="C52" s="88" t="s">
        <v>956</v>
      </c>
      <c r="D52" s="89" t="s">
        <v>1246</v>
      </c>
      <c r="E52" s="88" t="s">
        <v>606</v>
      </c>
      <c r="F52" s="92"/>
      <c r="G52" s="90">
        <v>7</v>
      </c>
      <c r="H52" s="91" t="s">
        <v>622</v>
      </c>
    </row>
    <row r="53" spans="1:8" s="87" customFormat="1" ht="12.75" hidden="1">
      <c r="A53" s="88" t="s">
        <v>121</v>
      </c>
      <c r="B53" s="88" t="s">
        <v>60</v>
      </c>
      <c r="C53" s="88" t="s">
        <v>957</v>
      </c>
      <c r="D53" s="89" t="s">
        <v>1247</v>
      </c>
      <c r="E53" s="88" t="s">
        <v>609</v>
      </c>
      <c r="F53" s="92"/>
      <c r="G53" s="90">
        <v>0</v>
      </c>
      <c r="H53" s="91" t="s">
        <v>622</v>
      </c>
    </row>
    <row r="54" spans="1:8" s="87" customFormat="1" ht="12.75">
      <c r="A54" s="88" t="s">
        <v>122</v>
      </c>
      <c r="B54" s="88" t="s">
        <v>60</v>
      </c>
      <c r="C54" s="88" t="s">
        <v>281</v>
      </c>
      <c r="D54" s="89" t="s">
        <v>474</v>
      </c>
      <c r="E54" s="88" t="s">
        <v>612</v>
      </c>
      <c r="F54" s="92"/>
      <c r="G54" s="90">
        <v>131.89</v>
      </c>
      <c r="H54" s="91" t="s">
        <v>622</v>
      </c>
    </row>
    <row r="55" spans="1:8" s="87" customFormat="1" ht="12.75">
      <c r="A55" s="88" t="s">
        <v>123</v>
      </c>
      <c r="B55" s="88" t="s">
        <v>60</v>
      </c>
      <c r="C55" s="88" t="s">
        <v>282</v>
      </c>
      <c r="D55" s="89" t="s">
        <v>475</v>
      </c>
      <c r="E55" s="88" t="s">
        <v>612</v>
      </c>
      <c r="F55" s="89" t="s">
        <v>2195</v>
      </c>
      <c r="G55" s="90">
        <v>1318.9</v>
      </c>
      <c r="H55" s="91" t="s">
        <v>622</v>
      </c>
    </row>
    <row r="56" spans="1:8" s="87" customFormat="1" ht="12.75">
      <c r="A56" s="88" t="s">
        <v>124</v>
      </c>
      <c r="B56" s="88" t="s">
        <v>60</v>
      </c>
      <c r="C56" s="88" t="s">
        <v>283</v>
      </c>
      <c r="D56" s="89" t="s">
        <v>476</v>
      </c>
      <c r="E56" s="88" t="s">
        <v>612</v>
      </c>
      <c r="F56" s="92"/>
      <c r="G56" s="90">
        <v>131.89</v>
      </c>
      <c r="H56" s="91" t="s">
        <v>622</v>
      </c>
    </row>
    <row r="57" spans="1:8" s="87" customFormat="1" ht="12.75">
      <c r="A57" s="88" t="s">
        <v>125</v>
      </c>
      <c r="B57" s="88" t="s">
        <v>60</v>
      </c>
      <c r="C57" s="88" t="s">
        <v>284</v>
      </c>
      <c r="D57" s="89" t="s">
        <v>477</v>
      </c>
      <c r="E57" s="88" t="s">
        <v>612</v>
      </c>
      <c r="F57" s="89" t="s">
        <v>2196</v>
      </c>
      <c r="G57" s="90">
        <v>527.56</v>
      </c>
      <c r="H57" s="91" t="s">
        <v>622</v>
      </c>
    </row>
    <row r="58" spans="1:8" s="87" customFormat="1" ht="12.75">
      <c r="A58" s="88" t="s">
        <v>126</v>
      </c>
      <c r="B58" s="88" t="s">
        <v>60</v>
      </c>
      <c r="C58" s="88" t="s">
        <v>285</v>
      </c>
      <c r="D58" s="89" t="s">
        <v>478</v>
      </c>
      <c r="E58" s="88" t="s">
        <v>612</v>
      </c>
      <c r="F58" s="92"/>
      <c r="G58" s="90">
        <v>131.89</v>
      </c>
      <c r="H58" s="91" t="s">
        <v>622</v>
      </c>
    </row>
    <row r="59" spans="1:8" s="87" customFormat="1" ht="12.75">
      <c r="A59" s="88" t="s">
        <v>127</v>
      </c>
      <c r="B59" s="88" t="s">
        <v>60</v>
      </c>
      <c r="C59" s="88" t="s">
        <v>286</v>
      </c>
      <c r="D59" s="89" t="s">
        <v>479</v>
      </c>
      <c r="E59" s="88" t="s">
        <v>612</v>
      </c>
      <c r="F59" s="92"/>
      <c r="G59" s="90">
        <v>131.89</v>
      </c>
      <c r="H59" s="91" t="s">
        <v>622</v>
      </c>
    </row>
    <row r="60" spans="1:8" s="87" customFormat="1" ht="12.75">
      <c r="A60" s="88" t="s">
        <v>128</v>
      </c>
      <c r="B60" s="88" t="s">
        <v>60</v>
      </c>
      <c r="C60" s="88" t="s">
        <v>289</v>
      </c>
      <c r="D60" s="89" t="s">
        <v>482</v>
      </c>
      <c r="E60" s="88" t="s">
        <v>612</v>
      </c>
      <c r="F60" s="89"/>
      <c r="G60" s="90">
        <v>204.49</v>
      </c>
      <c r="H60" s="91" t="s">
        <v>622</v>
      </c>
    </row>
    <row r="61" spans="1:8" s="87" customFormat="1" ht="25.5">
      <c r="A61" s="88" t="s">
        <v>129</v>
      </c>
      <c r="B61" s="88" t="s">
        <v>60</v>
      </c>
      <c r="C61" s="88" t="s">
        <v>291</v>
      </c>
      <c r="D61" s="89" t="s">
        <v>1248</v>
      </c>
      <c r="E61" s="88" t="s">
        <v>609</v>
      </c>
      <c r="F61" s="92"/>
      <c r="G61" s="90">
        <v>87.8</v>
      </c>
      <c r="H61" s="91" t="s">
        <v>622</v>
      </c>
    </row>
    <row r="62" spans="1:8" s="87" customFormat="1" ht="12.75">
      <c r="A62" s="88" t="s">
        <v>130</v>
      </c>
      <c r="B62" s="88" t="s">
        <v>60</v>
      </c>
      <c r="C62" s="88" t="s">
        <v>292</v>
      </c>
      <c r="D62" s="89" t="s">
        <v>1249</v>
      </c>
      <c r="E62" s="88" t="s">
        <v>609</v>
      </c>
      <c r="F62" s="92"/>
      <c r="G62" s="90">
        <v>43.5</v>
      </c>
      <c r="H62" s="91" t="s">
        <v>622</v>
      </c>
    </row>
    <row r="63" spans="1:8" s="87" customFormat="1" ht="12.75">
      <c r="A63" s="88" t="s">
        <v>131</v>
      </c>
      <c r="B63" s="88" t="s">
        <v>60</v>
      </c>
      <c r="C63" s="88" t="s">
        <v>293</v>
      </c>
      <c r="D63" s="89" t="s">
        <v>1250</v>
      </c>
      <c r="E63" s="88" t="s">
        <v>609</v>
      </c>
      <c r="F63" s="92"/>
      <c r="G63" s="90">
        <v>5.2</v>
      </c>
      <c r="H63" s="91" t="s">
        <v>622</v>
      </c>
    </row>
    <row r="64" spans="1:8" s="87" customFormat="1" ht="12.75">
      <c r="A64" s="88" t="s">
        <v>132</v>
      </c>
      <c r="B64" s="88" t="s">
        <v>60</v>
      </c>
      <c r="C64" s="88" t="s">
        <v>958</v>
      </c>
      <c r="D64" s="89" t="s">
        <v>1251</v>
      </c>
      <c r="E64" s="88" t="s">
        <v>609</v>
      </c>
      <c r="F64" s="92"/>
      <c r="G64" s="90">
        <v>25.7</v>
      </c>
      <c r="H64" s="91" t="s">
        <v>622</v>
      </c>
    </row>
    <row r="65" spans="1:8" s="87" customFormat="1" ht="12.75">
      <c r="A65" s="88" t="s">
        <v>133</v>
      </c>
      <c r="B65" s="88" t="s">
        <v>60</v>
      </c>
      <c r="C65" s="88" t="s">
        <v>959</v>
      </c>
      <c r="D65" s="89" t="s">
        <v>1252</v>
      </c>
      <c r="E65" s="88" t="s">
        <v>609</v>
      </c>
      <c r="F65" s="92"/>
      <c r="G65" s="90">
        <v>30.7</v>
      </c>
      <c r="H65" s="91" t="s">
        <v>622</v>
      </c>
    </row>
    <row r="66" spans="1:8" s="87" customFormat="1" ht="12.75">
      <c r="A66" s="88" t="s">
        <v>134</v>
      </c>
      <c r="B66" s="88" t="s">
        <v>60</v>
      </c>
      <c r="C66" s="88" t="s">
        <v>960</v>
      </c>
      <c r="D66" s="89" t="s">
        <v>1253</v>
      </c>
      <c r="E66" s="88" t="s">
        <v>609</v>
      </c>
      <c r="F66" s="92"/>
      <c r="G66" s="90">
        <v>15.3</v>
      </c>
      <c r="H66" s="91" t="s">
        <v>622</v>
      </c>
    </row>
    <row r="67" spans="1:8" s="87" customFormat="1" ht="12.75">
      <c r="A67" s="88" t="s">
        <v>135</v>
      </c>
      <c r="B67" s="88" t="s">
        <v>60</v>
      </c>
      <c r="C67" s="88" t="s">
        <v>294</v>
      </c>
      <c r="D67" s="89" t="s">
        <v>1254</v>
      </c>
      <c r="E67" s="88" t="s">
        <v>609</v>
      </c>
      <c r="F67" s="92"/>
      <c r="G67" s="90">
        <v>13.4</v>
      </c>
      <c r="H67" s="91" t="s">
        <v>622</v>
      </c>
    </row>
    <row r="68" spans="1:8" s="87" customFormat="1" ht="12.75">
      <c r="A68" s="88" t="s">
        <v>136</v>
      </c>
      <c r="B68" s="88" t="s">
        <v>60</v>
      </c>
      <c r="C68" s="88" t="s">
        <v>295</v>
      </c>
      <c r="D68" s="89" t="s">
        <v>1255</v>
      </c>
      <c r="E68" s="88" t="s">
        <v>609</v>
      </c>
      <c r="F68" s="92"/>
      <c r="G68" s="90">
        <v>13.2</v>
      </c>
      <c r="H68" s="91" t="s">
        <v>622</v>
      </c>
    </row>
    <row r="69" spans="1:8" s="87" customFormat="1" ht="12.75">
      <c r="A69" s="88" t="s">
        <v>137</v>
      </c>
      <c r="B69" s="88" t="s">
        <v>60</v>
      </c>
      <c r="C69" s="88" t="s">
        <v>296</v>
      </c>
      <c r="D69" s="89" t="s">
        <v>1256</v>
      </c>
      <c r="E69" s="88" t="s">
        <v>609</v>
      </c>
      <c r="F69" s="92"/>
      <c r="G69" s="90">
        <v>33.4</v>
      </c>
      <c r="H69" s="91" t="s">
        <v>622</v>
      </c>
    </row>
    <row r="70" spans="1:8" s="87" customFormat="1" ht="12.75">
      <c r="A70" s="88" t="s">
        <v>138</v>
      </c>
      <c r="B70" s="88" t="s">
        <v>60</v>
      </c>
      <c r="C70" s="88" t="s">
        <v>297</v>
      </c>
      <c r="D70" s="89" t="s">
        <v>1257</v>
      </c>
      <c r="E70" s="88" t="s">
        <v>609</v>
      </c>
      <c r="F70" s="92"/>
      <c r="G70" s="90">
        <v>18.7</v>
      </c>
      <c r="H70" s="91" t="s">
        <v>622</v>
      </c>
    </row>
    <row r="71" spans="1:8" s="87" customFormat="1" ht="12.75">
      <c r="A71" s="88" t="s">
        <v>139</v>
      </c>
      <c r="B71" s="88" t="s">
        <v>60</v>
      </c>
      <c r="C71" s="88" t="s">
        <v>961</v>
      </c>
      <c r="D71" s="89" t="s">
        <v>1258</v>
      </c>
      <c r="E71" s="88" t="s">
        <v>606</v>
      </c>
      <c r="F71" s="92"/>
      <c r="G71" s="90">
        <v>2</v>
      </c>
      <c r="H71" s="91" t="s">
        <v>622</v>
      </c>
    </row>
    <row r="72" spans="1:8" s="87" customFormat="1" ht="12.75">
      <c r="A72" s="88" t="s">
        <v>140</v>
      </c>
      <c r="B72" s="88" t="s">
        <v>60</v>
      </c>
      <c r="C72" s="88" t="s">
        <v>962</v>
      </c>
      <c r="D72" s="89" t="s">
        <v>1259</v>
      </c>
      <c r="E72" s="88" t="s">
        <v>606</v>
      </c>
      <c r="F72" s="92"/>
      <c r="G72" s="90">
        <v>4</v>
      </c>
      <c r="H72" s="91" t="s">
        <v>622</v>
      </c>
    </row>
    <row r="73" spans="1:8" s="87" customFormat="1" ht="12.75">
      <c r="A73" s="88" t="s">
        <v>141</v>
      </c>
      <c r="B73" s="88" t="s">
        <v>60</v>
      </c>
      <c r="C73" s="88" t="s">
        <v>963</v>
      </c>
      <c r="D73" s="89" t="s">
        <v>1260</v>
      </c>
      <c r="E73" s="88" t="s">
        <v>606</v>
      </c>
      <c r="F73" s="92"/>
      <c r="G73" s="90">
        <v>6</v>
      </c>
      <c r="H73" s="91" t="s">
        <v>622</v>
      </c>
    </row>
    <row r="74" spans="1:8" s="87" customFormat="1" ht="12.75">
      <c r="A74" s="88" t="s">
        <v>142</v>
      </c>
      <c r="B74" s="88" t="s">
        <v>60</v>
      </c>
      <c r="C74" s="88" t="s">
        <v>964</v>
      </c>
      <c r="D74" s="89" t="s">
        <v>1261</v>
      </c>
      <c r="E74" s="88" t="s">
        <v>606</v>
      </c>
      <c r="F74" s="92"/>
      <c r="G74" s="90">
        <v>12</v>
      </c>
      <c r="H74" s="91" t="s">
        <v>622</v>
      </c>
    </row>
    <row r="75" spans="1:8" s="87" customFormat="1" ht="12.75">
      <c r="A75" s="88" t="s">
        <v>143</v>
      </c>
      <c r="B75" s="88" t="s">
        <v>60</v>
      </c>
      <c r="C75" s="88" t="s">
        <v>965</v>
      </c>
      <c r="D75" s="89" t="s">
        <v>1262</v>
      </c>
      <c r="E75" s="88" t="s">
        <v>606</v>
      </c>
      <c r="F75" s="92"/>
      <c r="G75" s="90">
        <v>1</v>
      </c>
      <c r="H75" s="91" t="s">
        <v>622</v>
      </c>
    </row>
    <row r="76" spans="1:8" s="87" customFormat="1" ht="12.75">
      <c r="A76" s="88" t="s">
        <v>144</v>
      </c>
      <c r="B76" s="88" t="s">
        <v>60</v>
      </c>
      <c r="C76" s="88" t="s">
        <v>966</v>
      </c>
      <c r="D76" s="89" t="s">
        <v>1263</v>
      </c>
      <c r="E76" s="88" t="s">
        <v>606</v>
      </c>
      <c r="F76" s="92"/>
      <c r="G76" s="90">
        <v>6</v>
      </c>
      <c r="H76" s="91" t="s">
        <v>622</v>
      </c>
    </row>
    <row r="77" spans="1:8" s="87" customFormat="1" ht="12.75">
      <c r="A77" s="88" t="s">
        <v>145</v>
      </c>
      <c r="B77" s="88" t="s">
        <v>60</v>
      </c>
      <c r="C77" s="88" t="s">
        <v>967</v>
      </c>
      <c r="D77" s="89" t="s">
        <v>1264</v>
      </c>
      <c r="E77" s="88" t="s">
        <v>606</v>
      </c>
      <c r="F77" s="92"/>
      <c r="G77" s="90">
        <v>1</v>
      </c>
      <c r="H77" s="91" t="s">
        <v>622</v>
      </c>
    </row>
    <row r="78" spans="1:8" s="87" customFormat="1" ht="12.75" hidden="1">
      <c r="A78" s="88" t="s">
        <v>146</v>
      </c>
      <c r="B78" s="88" t="s">
        <v>60</v>
      </c>
      <c r="C78" s="88" t="s">
        <v>968</v>
      </c>
      <c r="D78" s="89" t="s">
        <v>1265</v>
      </c>
      <c r="E78" s="88" t="s">
        <v>606</v>
      </c>
      <c r="F78" s="92"/>
      <c r="G78" s="90">
        <v>0</v>
      </c>
      <c r="H78" s="91" t="s">
        <v>622</v>
      </c>
    </row>
    <row r="79" spans="1:8" s="87" customFormat="1" ht="12.75">
      <c r="A79" s="88" t="s">
        <v>147</v>
      </c>
      <c r="B79" s="88" t="s">
        <v>60</v>
      </c>
      <c r="C79" s="88" t="s">
        <v>969</v>
      </c>
      <c r="D79" s="89" t="s">
        <v>1266</v>
      </c>
      <c r="E79" s="88" t="s">
        <v>606</v>
      </c>
      <c r="F79" s="92"/>
      <c r="G79" s="90">
        <v>1</v>
      </c>
      <c r="H79" s="91" t="s">
        <v>622</v>
      </c>
    </row>
    <row r="80" spans="1:8" s="87" customFormat="1" ht="12.75">
      <c r="A80" s="88" t="s">
        <v>148</v>
      </c>
      <c r="B80" s="88" t="s">
        <v>60</v>
      </c>
      <c r="C80" s="88" t="s">
        <v>970</v>
      </c>
      <c r="D80" s="89" t="s">
        <v>1267</v>
      </c>
      <c r="E80" s="88" t="s">
        <v>606</v>
      </c>
      <c r="F80" s="92"/>
      <c r="G80" s="90">
        <v>8</v>
      </c>
      <c r="H80" s="91" t="s">
        <v>622</v>
      </c>
    </row>
    <row r="81" spans="1:8" s="87" customFormat="1" ht="12.75">
      <c r="A81" s="88" t="s">
        <v>149</v>
      </c>
      <c r="B81" s="88" t="s">
        <v>60</v>
      </c>
      <c r="C81" s="88" t="s">
        <v>971</v>
      </c>
      <c r="D81" s="89" t="s">
        <v>1268</v>
      </c>
      <c r="E81" s="88" t="s">
        <v>606</v>
      </c>
      <c r="F81" s="92"/>
      <c r="G81" s="90">
        <v>3</v>
      </c>
      <c r="H81" s="91" t="s">
        <v>622</v>
      </c>
    </row>
    <row r="82" spans="1:8" s="87" customFormat="1" ht="12.75">
      <c r="A82" s="88" t="s">
        <v>150</v>
      </c>
      <c r="B82" s="88" t="s">
        <v>60</v>
      </c>
      <c r="C82" s="88" t="s">
        <v>972</v>
      </c>
      <c r="D82" s="89" t="s">
        <v>1269</v>
      </c>
      <c r="E82" s="88" t="s">
        <v>606</v>
      </c>
      <c r="F82" s="92"/>
      <c r="G82" s="90">
        <v>1</v>
      </c>
      <c r="H82" s="91" t="s">
        <v>622</v>
      </c>
    </row>
    <row r="83" spans="1:8" s="87" customFormat="1" ht="12.75">
      <c r="A83" s="88" t="s">
        <v>151</v>
      </c>
      <c r="B83" s="88" t="s">
        <v>60</v>
      </c>
      <c r="C83" s="88" t="s">
        <v>973</v>
      </c>
      <c r="D83" s="89" t="s">
        <v>1270</v>
      </c>
      <c r="E83" s="88" t="s">
        <v>606</v>
      </c>
      <c r="F83" s="92"/>
      <c r="G83" s="90">
        <v>1</v>
      </c>
      <c r="H83" s="91" t="s">
        <v>622</v>
      </c>
    </row>
    <row r="84" spans="1:8" s="87" customFormat="1" ht="12.75">
      <c r="A84" s="88" t="s">
        <v>152</v>
      </c>
      <c r="B84" s="88" t="s">
        <v>60</v>
      </c>
      <c r="C84" s="88" t="s">
        <v>974</v>
      </c>
      <c r="D84" s="89" t="s">
        <v>1271</v>
      </c>
      <c r="E84" s="88" t="s">
        <v>606</v>
      </c>
      <c r="F84" s="92"/>
      <c r="G84" s="90">
        <v>3</v>
      </c>
      <c r="H84" s="91" t="s">
        <v>622</v>
      </c>
    </row>
    <row r="85" spans="1:8" s="87" customFormat="1" ht="12.75">
      <c r="A85" s="88" t="s">
        <v>153</v>
      </c>
      <c r="B85" s="88" t="s">
        <v>60</v>
      </c>
      <c r="C85" s="88" t="s">
        <v>975</v>
      </c>
      <c r="D85" s="89" t="s">
        <v>1272</v>
      </c>
      <c r="E85" s="88" t="s">
        <v>606</v>
      </c>
      <c r="F85" s="92"/>
      <c r="G85" s="90">
        <v>1</v>
      </c>
      <c r="H85" s="91" t="s">
        <v>622</v>
      </c>
    </row>
    <row r="86" spans="1:8" s="87" customFormat="1" ht="12.75">
      <c r="A86" s="88" t="s">
        <v>154</v>
      </c>
      <c r="B86" s="88" t="s">
        <v>60</v>
      </c>
      <c r="C86" s="88" t="s">
        <v>976</v>
      </c>
      <c r="D86" s="89" t="s">
        <v>1273</v>
      </c>
      <c r="E86" s="88" t="s">
        <v>606</v>
      </c>
      <c r="F86" s="92"/>
      <c r="G86" s="90">
        <v>1</v>
      </c>
      <c r="H86" s="91" t="s">
        <v>622</v>
      </c>
    </row>
    <row r="87" spans="1:8" s="87" customFormat="1" ht="12.75">
      <c r="A87" s="88" t="s">
        <v>155</v>
      </c>
      <c r="B87" s="88" t="s">
        <v>60</v>
      </c>
      <c r="C87" s="88" t="s">
        <v>977</v>
      </c>
      <c r="D87" s="89" t="s">
        <v>1274</v>
      </c>
      <c r="E87" s="88" t="s">
        <v>606</v>
      </c>
      <c r="F87" s="92"/>
      <c r="G87" s="90">
        <v>1</v>
      </c>
      <c r="H87" s="91" t="s">
        <v>622</v>
      </c>
    </row>
    <row r="88" spans="1:8" s="87" customFormat="1" ht="12.75" hidden="1">
      <c r="A88" s="88" t="s">
        <v>156</v>
      </c>
      <c r="B88" s="88" t="s">
        <v>60</v>
      </c>
      <c r="C88" s="88" t="s">
        <v>978</v>
      </c>
      <c r="D88" s="89" t="s">
        <v>1275</v>
      </c>
      <c r="E88" s="88" t="s">
        <v>606</v>
      </c>
      <c r="F88" s="92"/>
      <c r="G88" s="90">
        <v>0</v>
      </c>
      <c r="H88" s="91" t="s">
        <v>622</v>
      </c>
    </row>
    <row r="89" spans="1:8" s="87" customFormat="1" ht="25.5" hidden="1">
      <c r="A89" s="88" t="s">
        <v>157</v>
      </c>
      <c r="B89" s="88" t="s">
        <v>60</v>
      </c>
      <c r="C89" s="88" t="s">
        <v>979</v>
      </c>
      <c r="D89" s="89" t="s">
        <v>1276</v>
      </c>
      <c r="E89" s="88" t="s">
        <v>606</v>
      </c>
      <c r="F89" s="92"/>
      <c r="G89" s="90">
        <v>0</v>
      </c>
      <c r="H89" s="91" t="s">
        <v>622</v>
      </c>
    </row>
    <row r="90" spans="1:8" s="87" customFormat="1" ht="12.75" hidden="1">
      <c r="A90" s="88" t="s">
        <v>158</v>
      </c>
      <c r="B90" s="88" t="s">
        <v>60</v>
      </c>
      <c r="C90" s="88" t="s">
        <v>980</v>
      </c>
      <c r="D90" s="89" t="s">
        <v>1277</v>
      </c>
      <c r="E90" s="88" t="s">
        <v>606</v>
      </c>
      <c r="F90" s="92"/>
      <c r="G90" s="90">
        <v>0</v>
      </c>
      <c r="H90" s="91" t="s">
        <v>622</v>
      </c>
    </row>
    <row r="91" spans="1:8" s="87" customFormat="1" ht="12.75">
      <c r="A91" s="88" t="s">
        <v>159</v>
      </c>
      <c r="B91" s="88" t="s">
        <v>60</v>
      </c>
      <c r="C91" s="88" t="s">
        <v>981</v>
      </c>
      <c r="D91" s="89" t="s">
        <v>1278</v>
      </c>
      <c r="E91" s="88" t="s">
        <v>606</v>
      </c>
      <c r="F91" s="92"/>
      <c r="G91" s="90">
        <v>2</v>
      </c>
      <c r="H91" s="91" t="s">
        <v>622</v>
      </c>
    </row>
    <row r="92" spans="1:8" s="87" customFormat="1" ht="12.75">
      <c r="A92" s="88" t="s">
        <v>160</v>
      </c>
      <c r="B92" s="88" t="s">
        <v>60</v>
      </c>
      <c r="C92" s="88" t="s">
        <v>982</v>
      </c>
      <c r="D92" s="89" t="s">
        <v>1279</v>
      </c>
      <c r="E92" s="88" t="s">
        <v>606</v>
      </c>
      <c r="F92" s="92"/>
      <c r="G92" s="90">
        <v>1</v>
      </c>
      <c r="H92" s="91" t="s">
        <v>622</v>
      </c>
    </row>
    <row r="93" spans="1:8" s="87" customFormat="1" ht="12.75">
      <c r="A93" s="88" t="s">
        <v>161</v>
      </c>
      <c r="B93" s="88" t="s">
        <v>60</v>
      </c>
      <c r="C93" s="88" t="s">
        <v>983</v>
      </c>
      <c r="D93" s="89" t="s">
        <v>1280</v>
      </c>
      <c r="E93" s="88" t="s">
        <v>606</v>
      </c>
      <c r="F93" s="92"/>
      <c r="G93" s="90">
        <v>1</v>
      </c>
      <c r="H93" s="91" t="s">
        <v>622</v>
      </c>
    </row>
    <row r="94" spans="1:8" s="87" customFormat="1" ht="12.75">
      <c r="A94" s="88" t="s">
        <v>162</v>
      </c>
      <c r="B94" s="88" t="s">
        <v>60</v>
      </c>
      <c r="C94" s="88" t="s">
        <v>984</v>
      </c>
      <c r="D94" s="89" t="s">
        <v>1281</v>
      </c>
      <c r="E94" s="88" t="s">
        <v>606</v>
      </c>
      <c r="F94" s="92"/>
      <c r="G94" s="90">
        <v>1</v>
      </c>
      <c r="H94" s="91" t="s">
        <v>622</v>
      </c>
    </row>
    <row r="95" spans="1:8" s="87" customFormat="1" ht="12.75">
      <c r="A95" s="88" t="s">
        <v>163</v>
      </c>
      <c r="B95" s="88" t="s">
        <v>60</v>
      </c>
      <c r="C95" s="88" t="s">
        <v>985</v>
      </c>
      <c r="D95" s="89" t="s">
        <v>1282</v>
      </c>
      <c r="E95" s="88" t="s">
        <v>606</v>
      </c>
      <c r="F95" s="92"/>
      <c r="G95" s="90">
        <v>1</v>
      </c>
      <c r="H95" s="91" t="s">
        <v>622</v>
      </c>
    </row>
    <row r="96" spans="1:8" s="87" customFormat="1" ht="12.75">
      <c r="A96" s="88" t="s">
        <v>164</v>
      </c>
      <c r="B96" s="88" t="s">
        <v>60</v>
      </c>
      <c r="C96" s="88" t="s">
        <v>986</v>
      </c>
      <c r="D96" s="89" t="s">
        <v>1283</v>
      </c>
      <c r="E96" s="88" t="s">
        <v>606</v>
      </c>
      <c r="F96" s="92"/>
      <c r="G96" s="90">
        <v>1</v>
      </c>
      <c r="H96" s="91" t="s">
        <v>622</v>
      </c>
    </row>
    <row r="97" spans="1:8" s="87" customFormat="1" ht="12.75" hidden="1">
      <c r="A97" s="88" t="s">
        <v>165</v>
      </c>
      <c r="B97" s="88" t="s">
        <v>60</v>
      </c>
      <c r="C97" s="88" t="s">
        <v>987</v>
      </c>
      <c r="D97" s="89" t="s">
        <v>1284</v>
      </c>
      <c r="E97" s="88" t="s">
        <v>606</v>
      </c>
      <c r="F97" s="92"/>
      <c r="G97" s="90">
        <v>0</v>
      </c>
      <c r="H97" s="91" t="s">
        <v>622</v>
      </c>
    </row>
    <row r="98" spans="1:8" s="87" customFormat="1" ht="12.75">
      <c r="A98" s="88" t="s">
        <v>166</v>
      </c>
      <c r="B98" s="88" t="s">
        <v>60</v>
      </c>
      <c r="C98" s="88" t="s">
        <v>988</v>
      </c>
      <c r="D98" s="89" t="s">
        <v>1285</v>
      </c>
      <c r="E98" s="88" t="s">
        <v>1526</v>
      </c>
      <c r="F98" s="92"/>
      <c r="G98" s="90">
        <v>1</v>
      </c>
      <c r="H98" s="91" t="s">
        <v>622</v>
      </c>
    </row>
    <row r="99" spans="1:8" s="87" customFormat="1" ht="12.75">
      <c r="A99" s="88" t="s">
        <v>167</v>
      </c>
      <c r="B99" s="88" t="s">
        <v>60</v>
      </c>
      <c r="C99" s="88" t="s">
        <v>989</v>
      </c>
      <c r="D99" s="89" t="s">
        <v>1286</v>
      </c>
      <c r="E99" s="88" t="s">
        <v>609</v>
      </c>
      <c r="F99" s="92"/>
      <c r="G99" s="90">
        <v>2.6</v>
      </c>
      <c r="H99" s="91" t="s">
        <v>622</v>
      </c>
    </row>
    <row r="100" spans="1:8" s="87" customFormat="1" ht="12.75">
      <c r="A100" s="88" t="s">
        <v>168</v>
      </c>
      <c r="B100" s="88" t="s">
        <v>60</v>
      </c>
      <c r="C100" s="88" t="s">
        <v>990</v>
      </c>
      <c r="D100" s="89" t="s">
        <v>1287</v>
      </c>
      <c r="E100" s="88" t="s">
        <v>609</v>
      </c>
      <c r="F100" s="92"/>
      <c r="G100" s="90">
        <v>2.6</v>
      </c>
      <c r="H100" s="91" t="s">
        <v>622</v>
      </c>
    </row>
    <row r="101" spans="1:8" s="87" customFormat="1" ht="12.75">
      <c r="A101" s="88" t="s">
        <v>169</v>
      </c>
      <c r="B101" s="88" t="s">
        <v>60</v>
      </c>
      <c r="C101" s="88" t="s">
        <v>991</v>
      </c>
      <c r="D101" s="89" t="s">
        <v>1288</v>
      </c>
      <c r="E101" s="88" t="s">
        <v>606</v>
      </c>
      <c r="F101" s="92"/>
      <c r="G101" s="90">
        <v>1</v>
      </c>
      <c r="H101" s="91" t="s">
        <v>622</v>
      </c>
    </row>
    <row r="102" spans="1:8" s="87" customFormat="1" ht="12.75">
      <c r="A102" s="88" t="s">
        <v>170</v>
      </c>
      <c r="B102" s="88" t="s">
        <v>60</v>
      </c>
      <c r="C102" s="88" t="s">
        <v>992</v>
      </c>
      <c r="D102" s="89" t="s">
        <v>1289</v>
      </c>
      <c r="E102" s="88" t="s">
        <v>609</v>
      </c>
      <c r="F102" s="92"/>
      <c r="G102" s="90">
        <v>13.4</v>
      </c>
      <c r="H102" s="91" t="s">
        <v>622</v>
      </c>
    </row>
    <row r="103" spans="1:8" s="87" customFormat="1" ht="12.75">
      <c r="A103" s="88" t="s">
        <v>171</v>
      </c>
      <c r="B103" s="88" t="s">
        <v>60</v>
      </c>
      <c r="C103" s="88" t="s">
        <v>993</v>
      </c>
      <c r="D103" s="89" t="s">
        <v>1290</v>
      </c>
      <c r="E103" s="88" t="s">
        <v>609</v>
      </c>
      <c r="F103" s="92"/>
      <c r="G103" s="90">
        <v>13.2</v>
      </c>
      <c r="H103" s="91" t="s">
        <v>622</v>
      </c>
    </row>
    <row r="104" spans="1:8" s="87" customFormat="1" ht="12.75">
      <c r="A104" s="88" t="s">
        <v>172</v>
      </c>
      <c r="B104" s="88" t="s">
        <v>60</v>
      </c>
      <c r="C104" s="88" t="s">
        <v>994</v>
      </c>
      <c r="D104" s="89" t="s">
        <v>1291</v>
      </c>
      <c r="E104" s="88" t="s">
        <v>609</v>
      </c>
      <c r="F104" s="92"/>
      <c r="G104" s="90">
        <v>33.4</v>
      </c>
      <c r="H104" s="91" t="s">
        <v>622</v>
      </c>
    </row>
    <row r="105" spans="1:8" s="87" customFormat="1" ht="12.75">
      <c r="A105" s="88" t="s">
        <v>173</v>
      </c>
      <c r="B105" s="88" t="s">
        <v>60</v>
      </c>
      <c r="C105" s="88" t="s">
        <v>995</v>
      </c>
      <c r="D105" s="89" t="s">
        <v>1292</v>
      </c>
      <c r="E105" s="88" t="s">
        <v>606</v>
      </c>
      <c r="F105" s="92"/>
      <c r="G105" s="90">
        <v>6</v>
      </c>
      <c r="H105" s="91" t="s">
        <v>622</v>
      </c>
    </row>
    <row r="106" spans="1:8" s="87" customFormat="1" ht="12.75">
      <c r="A106" s="88" t="s">
        <v>174</v>
      </c>
      <c r="B106" s="88" t="s">
        <v>60</v>
      </c>
      <c r="C106" s="88" t="s">
        <v>996</v>
      </c>
      <c r="D106" s="89" t="s">
        <v>1246</v>
      </c>
      <c r="E106" s="88" t="s">
        <v>606</v>
      </c>
      <c r="F106" s="92"/>
      <c r="G106" s="90">
        <v>3</v>
      </c>
      <c r="H106" s="91" t="s">
        <v>622</v>
      </c>
    </row>
    <row r="107" spans="1:8" s="87" customFormat="1" ht="12.75">
      <c r="A107" s="88" t="s">
        <v>175</v>
      </c>
      <c r="B107" s="88" t="s">
        <v>60</v>
      </c>
      <c r="C107" s="88" t="s">
        <v>997</v>
      </c>
      <c r="D107" s="89" t="s">
        <v>1293</v>
      </c>
      <c r="E107" s="88" t="s">
        <v>606</v>
      </c>
      <c r="F107" s="92"/>
      <c r="G107" s="90">
        <v>3</v>
      </c>
      <c r="H107" s="91" t="s">
        <v>622</v>
      </c>
    </row>
    <row r="108" spans="1:8" s="87" customFormat="1" ht="12.75">
      <c r="A108" s="88" t="s">
        <v>176</v>
      </c>
      <c r="B108" s="88" t="s">
        <v>60</v>
      </c>
      <c r="C108" s="88" t="s">
        <v>998</v>
      </c>
      <c r="D108" s="89" t="s">
        <v>497</v>
      </c>
      <c r="E108" s="88" t="s">
        <v>611</v>
      </c>
      <c r="F108" s="92"/>
      <c r="G108" s="90">
        <v>25</v>
      </c>
      <c r="H108" s="91" t="s">
        <v>622</v>
      </c>
    </row>
    <row r="109" spans="1:8" s="87" customFormat="1" ht="12.75">
      <c r="A109" s="88" t="s">
        <v>177</v>
      </c>
      <c r="B109" s="88" t="s">
        <v>60</v>
      </c>
      <c r="C109" s="88" t="s">
        <v>999</v>
      </c>
      <c r="D109" s="89" t="s">
        <v>1294</v>
      </c>
      <c r="E109" s="88" t="s">
        <v>609</v>
      </c>
      <c r="F109" s="92"/>
      <c r="G109" s="90">
        <v>155.6</v>
      </c>
      <c r="H109" s="91" t="s">
        <v>622</v>
      </c>
    </row>
    <row r="110" spans="1:8" s="87" customFormat="1" ht="12.75">
      <c r="A110" s="88" t="s">
        <v>178</v>
      </c>
      <c r="B110" s="88" t="s">
        <v>60</v>
      </c>
      <c r="C110" s="88" t="s">
        <v>1000</v>
      </c>
      <c r="D110" s="89" t="s">
        <v>487</v>
      </c>
      <c r="E110" s="88" t="s">
        <v>609</v>
      </c>
      <c r="F110" s="92"/>
      <c r="G110" s="90">
        <v>155.6</v>
      </c>
      <c r="H110" s="91" t="s">
        <v>622</v>
      </c>
    </row>
    <row r="111" spans="1:8" s="87" customFormat="1" ht="12.75">
      <c r="A111" s="88" t="s">
        <v>179</v>
      </c>
      <c r="B111" s="88" t="s">
        <v>60</v>
      </c>
      <c r="C111" s="88" t="s">
        <v>1001</v>
      </c>
      <c r="D111" s="89" t="s">
        <v>488</v>
      </c>
      <c r="E111" s="88" t="s">
        <v>609</v>
      </c>
      <c r="F111" s="92"/>
      <c r="G111" s="90">
        <v>155.6</v>
      </c>
      <c r="H111" s="91" t="s">
        <v>622</v>
      </c>
    </row>
    <row r="112" spans="1:8" s="87" customFormat="1" ht="12.75">
      <c r="A112" s="88" t="s">
        <v>180</v>
      </c>
      <c r="B112" s="88" t="s">
        <v>60</v>
      </c>
      <c r="C112" s="88" t="s">
        <v>1002</v>
      </c>
      <c r="D112" s="89" t="s">
        <v>1295</v>
      </c>
      <c r="E112" s="88" t="s">
        <v>606</v>
      </c>
      <c r="F112" s="92"/>
      <c r="G112" s="90">
        <v>8</v>
      </c>
      <c r="H112" s="91" t="s">
        <v>622</v>
      </c>
    </row>
    <row r="113" spans="1:8" s="87" customFormat="1" ht="12.75">
      <c r="A113" s="88" t="s">
        <v>181</v>
      </c>
      <c r="B113" s="88" t="s">
        <v>60</v>
      </c>
      <c r="C113" s="88" t="s">
        <v>1003</v>
      </c>
      <c r="D113" s="89" t="s">
        <v>1296</v>
      </c>
      <c r="E113" s="88" t="s">
        <v>606</v>
      </c>
      <c r="F113" s="92"/>
      <c r="G113" s="90">
        <v>1</v>
      </c>
      <c r="H113" s="91" t="s">
        <v>622</v>
      </c>
    </row>
    <row r="114" spans="1:8" s="87" customFormat="1" ht="12.75">
      <c r="A114" s="88" t="s">
        <v>182</v>
      </c>
      <c r="B114" s="88" t="s">
        <v>60</v>
      </c>
      <c r="C114" s="88" t="s">
        <v>1004</v>
      </c>
      <c r="D114" s="89" t="s">
        <v>501</v>
      </c>
      <c r="E114" s="88" t="s">
        <v>611</v>
      </c>
      <c r="F114" s="92"/>
      <c r="G114" s="90">
        <v>15</v>
      </c>
      <c r="H114" s="91" t="s">
        <v>622</v>
      </c>
    </row>
    <row r="115" spans="1:8" s="87" customFormat="1" ht="12.75">
      <c r="A115" s="88" t="s">
        <v>183</v>
      </c>
      <c r="B115" s="88" t="s">
        <v>60</v>
      </c>
      <c r="C115" s="88" t="s">
        <v>1005</v>
      </c>
      <c r="D115" s="89" t="s">
        <v>489</v>
      </c>
      <c r="E115" s="88" t="s">
        <v>606</v>
      </c>
      <c r="F115" s="92"/>
      <c r="G115" s="90">
        <v>1</v>
      </c>
      <c r="H115" s="91" t="s">
        <v>622</v>
      </c>
    </row>
    <row r="116" spans="1:8" s="87" customFormat="1" ht="12.75">
      <c r="A116" s="88" t="s">
        <v>184</v>
      </c>
      <c r="B116" s="88" t="s">
        <v>60</v>
      </c>
      <c r="C116" s="88" t="s">
        <v>1006</v>
      </c>
      <c r="D116" s="89" t="s">
        <v>490</v>
      </c>
      <c r="E116" s="88" t="s">
        <v>606</v>
      </c>
      <c r="F116" s="92"/>
      <c r="G116" s="90">
        <v>1</v>
      </c>
      <c r="H116" s="91" t="s">
        <v>622</v>
      </c>
    </row>
    <row r="117" spans="1:8" s="87" customFormat="1" ht="12.75">
      <c r="A117" s="88" t="s">
        <v>185</v>
      </c>
      <c r="B117" s="88" t="s">
        <v>60</v>
      </c>
      <c r="C117" s="88" t="s">
        <v>1007</v>
      </c>
      <c r="D117" s="89" t="s">
        <v>491</v>
      </c>
      <c r="E117" s="88" t="s">
        <v>606</v>
      </c>
      <c r="F117" s="92"/>
      <c r="G117" s="90">
        <v>1</v>
      </c>
      <c r="H117" s="91" t="s">
        <v>622</v>
      </c>
    </row>
    <row r="118" spans="1:8" s="87" customFormat="1" ht="12.75">
      <c r="A118" s="88" t="s">
        <v>186</v>
      </c>
      <c r="B118" s="88" t="s">
        <v>60</v>
      </c>
      <c r="C118" s="88" t="s">
        <v>1008</v>
      </c>
      <c r="D118" s="89" t="s">
        <v>492</v>
      </c>
      <c r="E118" s="88" t="s">
        <v>606</v>
      </c>
      <c r="F118" s="92"/>
      <c r="G118" s="90">
        <v>1</v>
      </c>
      <c r="H118" s="91" t="s">
        <v>622</v>
      </c>
    </row>
    <row r="119" spans="1:8" s="87" customFormat="1" ht="12.75">
      <c r="A119" s="88" t="s">
        <v>187</v>
      </c>
      <c r="B119" s="88" t="s">
        <v>60</v>
      </c>
      <c r="C119" s="88" t="s">
        <v>1009</v>
      </c>
      <c r="D119" s="89" t="s">
        <v>493</v>
      </c>
      <c r="E119" s="88" t="s">
        <v>606</v>
      </c>
      <c r="F119" s="92"/>
      <c r="G119" s="90">
        <v>1</v>
      </c>
      <c r="H119" s="91" t="s">
        <v>622</v>
      </c>
    </row>
    <row r="120" spans="1:8" s="87" customFormat="1" ht="12.75" hidden="1">
      <c r="A120" s="88" t="s">
        <v>188</v>
      </c>
      <c r="B120" s="88" t="s">
        <v>60</v>
      </c>
      <c r="C120" s="88" t="s">
        <v>302</v>
      </c>
      <c r="D120" s="89" t="s">
        <v>495</v>
      </c>
      <c r="E120" s="88" t="s">
        <v>609</v>
      </c>
      <c r="F120" s="92"/>
      <c r="G120" s="90">
        <v>0</v>
      </c>
      <c r="H120" s="91" t="s">
        <v>622</v>
      </c>
    </row>
    <row r="121" spans="1:8" s="87" customFormat="1" ht="12.75">
      <c r="A121" s="88" t="s">
        <v>189</v>
      </c>
      <c r="B121" s="88" t="s">
        <v>60</v>
      </c>
      <c r="C121" s="88" t="s">
        <v>303</v>
      </c>
      <c r="D121" s="89" t="s">
        <v>1297</v>
      </c>
      <c r="E121" s="88" t="s">
        <v>609</v>
      </c>
      <c r="F121" s="92"/>
      <c r="G121" s="90">
        <v>76.5</v>
      </c>
      <c r="H121" s="91" t="s">
        <v>622</v>
      </c>
    </row>
    <row r="122" spans="1:8" s="87" customFormat="1" ht="12.75">
      <c r="A122" s="88" t="s">
        <v>190</v>
      </c>
      <c r="B122" s="88" t="s">
        <v>60</v>
      </c>
      <c r="C122" s="88" t="s">
        <v>1010</v>
      </c>
      <c r="D122" s="89" t="s">
        <v>1298</v>
      </c>
      <c r="E122" s="88" t="s">
        <v>609</v>
      </c>
      <c r="F122" s="92"/>
      <c r="G122" s="90">
        <v>9.3</v>
      </c>
      <c r="H122" s="91" t="s">
        <v>622</v>
      </c>
    </row>
    <row r="123" spans="1:8" s="87" customFormat="1" ht="12.75">
      <c r="A123" s="88" t="s">
        <v>191</v>
      </c>
      <c r="B123" s="88" t="s">
        <v>60</v>
      </c>
      <c r="C123" s="88" t="s">
        <v>1011</v>
      </c>
      <c r="D123" s="89" t="s">
        <v>1299</v>
      </c>
      <c r="E123" s="88" t="s">
        <v>609</v>
      </c>
      <c r="F123" s="92"/>
      <c r="G123" s="90">
        <v>5.8</v>
      </c>
      <c r="H123" s="91" t="s">
        <v>622</v>
      </c>
    </row>
    <row r="124" spans="1:8" s="87" customFormat="1" ht="12.75">
      <c r="A124" s="88" t="s">
        <v>192</v>
      </c>
      <c r="B124" s="88" t="s">
        <v>60</v>
      </c>
      <c r="C124" s="88" t="s">
        <v>304</v>
      </c>
      <c r="D124" s="89" t="s">
        <v>1300</v>
      </c>
      <c r="E124" s="88" t="s">
        <v>609</v>
      </c>
      <c r="F124" s="92"/>
      <c r="G124" s="90">
        <v>0.5</v>
      </c>
      <c r="H124" s="91" t="s">
        <v>622</v>
      </c>
    </row>
    <row r="125" spans="1:8" s="87" customFormat="1" ht="12.75">
      <c r="A125" s="88" t="s">
        <v>193</v>
      </c>
      <c r="B125" s="88" t="s">
        <v>60</v>
      </c>
      <c r="C125" s="88" t="s">
        <v>1012</v>
      </c>
      <c r="D125" s="89" t="s">
        <v>1301</v>
      </c>
      <c r="E125" s="88" t="s">
        <v>609</v>
      </c>
      <c r="F125" s="92"/>
      <c r="G125" s="90">
        <v>3.1</v>
      </c>
      <c r="H125" s="91" t="s">
        <v>622</v>
      </c>
    </row>
    <row r="126" spans="1:8" s="87" customFormat="1" ht="12.75">
      <c r="A126" s="88" t="s">
        <v>194</v>
      </c>
      <c r="B126" s="88" t="s">
        <v>60</v>
      </c>
      <c r="C126" s="88" t="s">
        <v>305</v>
      </c>
      <c r="D126" s="89" t="s">
        <v>1302</v>
      </c>
      <c r="E126" s="88" t="s">
        <v>609</v>
      </c>
      <c r="F126" s="92"/>
      <c r="G126" s="90">
        <v>18.9</v>
      </c>
      <c r="H126" s="91" t="s">
        <v>622</v>
      </c>
    </row>
    <row r="127" spans="1:8" s="87" customFormat="1" ht="12.75">
      <c r="A127" s="88" t="s">
        <v>195</v>
      </c>
      <c r="B127" s="88" t="s">
        <v>60</v>
      </c>
      <c r="C127" s="88" t="s">
        <v>306</v>
      </c>
      <c r="D127" s="89" t="s">
        <v>1303</v>
      </c>
      <c r="E127" s="88" t="s">
        <v>609</v>
      </c>
      <c r="F127" s="92"/>
      <c r="G127" s="90">
        <v>5.9</v>
      </c>
      <c r="H127" s="91" t="s">
        <v>622</v>
      </c>
    </row>
    <row r="128" spans="1:8" s="87" customFormat="1" ht="12.75">
      <c r="A128" s="88" t="s">
        <v>196</v>
      </c>
      <c r="B128" s="88" t="s">
        <v>60</v>
      </c>
      <c r="C128" s="88" t="s">
        <v>307</v>
      </c>
      <c r="D128" s="89" t="s">
        <v>1304</v>
      </c>
      <c r="E128" s="88" t="s">
        <v>609</v>
      </c>
      <c r="F128" s="92"/>
      <c r="G128" s="90">
        <v>58.7</v>
      </c>
      <c r="H128" s="91" t="s">
        <v>622</v>
      </c>
    </row>
    <row r="129" spans="1:8" s="87" customFormat="1" ht="12.75">
      <c r="A129" s="88" t="s">
        <v>197</v>
      </c>
      <c r="B129" s="88" t="s">
        <v>60</v>
      </c>
      <c r="C129" s="88" t="s">
        <v>308</v>
      </c>
      <c r="D129" s="89" t="s">
        <v>1305</v>
      </c>
      <c r="E129" s="88" t="s">
        <v>609</v>
      </c>
      <c r="F129" s="92"/>
      <c r="G129" s="90">
        <v>3.5</v>
      </c>
      <c r="H129" s="91" t="s">
        <v>622</v>
      </c>
    </row>
    <row r="130" spans="1:8" s="87" customFormat="1" ht="12.75">
      <c r="A130" s="88" t="s">
        <v>198</v>
      </c>
      <c r="B130" s="88" t="s">
        <v>60</v>
      </c>
      <c r="C130" s="88" t="s">
        <v>309</v>
      </c>
      <c r="D130" s="89" t="s">
        <v>1306</v>
      </c>
      <c r="E130" s="88" t="s">
        <v>609</v>
      </c>
      <c r="F130" s="92"/>
      <c r="G130" s="90">
        <v>5.8</v>
      </c>
      <c r="H130" s="91" t="s">
        <v>622</v>
      </c>
    </row>
    <row r="131" spans="1:8" s="87" customFormat="1" ht="12.75">
      <c r="A131" s="88" t="s">
        <v>199</v>
      </c>
      <c r="B131" s="88" t="s">
        <v>60</v>
      </c>
      <c r="C131" s="88" t="s">
        <v>1013</v>
      </c>
      <c r="D131" s="89" t="s">
        <v>1307</v>
      </c>
      <c r="E131" s="88" t="s">
        <v>606</v>
      </c>
      <c r="F131" s="92"/>
      <c r="G131" s="90">
        <v>3</v>
      </c>
      <c r="H131" s="91" t="s">
        <v>622</v>
      </c>
    </row>
    <row r="132" spans="1:8" s="87" customFormat="1" ht="12.75">
      <c r="A132" s="88" t="s">
        <v>200</v>
      </c>
      <c r="B132" s="88" t="s">
        <v>60</v>
      </c>
      <c r="C132" s="88" t="s">
        <v>1014</v>
      </c>
      <c r="D132" s="89" t="s">
        <v>1308</v>
      </c>
      <c r="E132" s="88" t="s">
        <v>606</v>
      </c>
      <c r="F132" s="92"/>
      <c r="G132" s="90">
        <v>1</v>
      </c>
      <c r="H132" s="91" t="s">
        <v>622</v>
      </c>
    </row>
    <row r="133" spans="1:8" s="87" customFormat="1" ht="12.75">
      <c r="A133" s="88" t="s">
        <v>201</v>
      </c>
      <c r="B133" s="88" t="s">
        <v>60</v>
      </c>
      <c r="C133" s="88" t="s">
        <v>1015</v>
      </c>
      <c r="D133" s="89" t="s">
        <v>1309</v>
      </c>
      <c r="E133" s="88" t="s">
        <v>606</v>
      </c>
      <c r="F133" s="92"/>
      <c r="G133" s="90">
        <v>1</v>
      </c>
      <c r="H133" s="91" t="s">
        <v>622</v>
      </c>
    </row>
    <row r="134" spans="1:8" s="87" customFormat="1" ht="12.75">
      <c r="A134" s="88" t="s">
        <v>202</v>
      </c>
      <c r="B134" s="88" t="s">
        <v>60</v>
      </c>
      <c r="C134" s="88" t="s">
        <v>1016</v>
      </c>
      <c r="D134" s="89" t="s">
        <v>1310</v>
      </c>
      <c r="E134" s="88" t="s">
        <v>606</v>
      </c>
      <c r="F134" s="92"/>
      <c r="G134" s="90">
        <v>3</v>
      </c>
      <c r="H134" s="91" t="s">
        <v>622</v>
      </c>
    </row>
    <row r="135" spans="1:8" s="87" customFormat="1" ht="12.75">
      <c r="A135" s="88" t="s">
        <v>203</v>
      </c>
      <c r="B135" s="88" t="s">
        <v>60</v>
      </c>
      <c r="C135" s="88" t="s">
        <v>1017</v>
      </c>
      <c r="D135" s="89" t="s">
        <v>1311</v>
      </c>
      <c r="E135" s="88" t="s">
        <v>606</v>
      </c>
      <c r="F135" s="92"/>
      <c r="G135" s="90">
        <v>1</v>
      </c>
      <c r="H135" s="91" t="s">
        <v>622</v>
      </c>
    </row>
    <row r="136" spans="1:8" s="87" customFormat="1" ht="12.75">
      <c r="A136" s="88" t="s">
        <v>204</v>
      </c>
      <c r="B136" s="88" t="s">
        <v>60</v>
      </c>
      <c r="C136" s="88" t="s">
        <v>1018</v>
      </c>
      <c r="D136" s="89" t="s">
        <v>1312</v>
      </c>
      <c r="E136" s="88" t="s">
        <v>606</v>
      </c>
      <c r="F136" s="92"/>
      <c r="G136" s="90">
        <v>1</v>
      </c>
      <c r="H136" s="91" t="s">
        <v>622</v>
      </c>
    </row>
    <row r="137" spans="1:8" s="87" customFormat="1" ht="12.75" hidden="1">
      <c r="A137" s="88" t="s">
        <v>205</v>
      </c>
      <c r="B137" s="88" t="s">
        <v>60</v>
      </c>
      <c r="C137" s="88" t="s">
        <v>1019</v>
      </c>
      <c r="D137" s="89" t="s">
        <v>1313</v>
      </c>
      <c r="E137" s="88" t="s">
        <v>606</v>
      </c>
      <c r="F137" s="92"/>
      <c r="G137" s="90">
        <v>0</v>
      </c>
      <c r="H137" s="91" t="s">
        <v>622</v>
      </c>
    </row>
    <row r="138" spans="1:8" s="87" customFormat="1" ht="12.75">
      <c r="A138" s="88" t="s">
        <v>206</v>
      </c>
      <c r="B138" s="88" t="s">
        <v>60</v>
      </c>
      <c r="C138" s="88" t="s">
        <v>1020</v>
      </c>
      <c r="D138" s="89" t="s">
        <v>1314</v>
      </c>
      <c r="E138" s="88" t="s">
        <v>606</v>
      </c>
      <c r="F138" s="92"/>
      <c r="G138" s="90">
        <v>1</v>
      </c>
      <c r="H138" s="91" t="s">
        <v>622</v>
      </c>
    </row>
    <row r="139" spans="1:8" s="87" customFormat="1" ht="12.75">
      <c r="A139" s="88" t="s">
        <v>207</v>
      </c>
      <c r="B139" s="88" t="s">
        <v>60</v>
      </c>
      <c r="C139" s="88" t="s">
        <v>1021</v>
      </c>
      <c r="D139" s="89" t="s">
        <v>1315</v>
      </c>
      <c r="E139" s="88" t="s">
        <v>606</v>
      </c>
      <c r="F139" s="92"/>
      <c r="G139" s="90">
        <v>1</v>
      </c>
      <c r="H139" s="91" t="s">
        <v>622</v>
      </c>
    </row>
    <row r="140" spans="1:8" s="87" customFormat="1" ht="12.75">
      <c r="A140" s="88" t="s">
        <v>208</v>
      </c>
      <c r="B140" s="88" t="s">
        <v>60</v>
      </c>
      <c r="C140" s="88" t="s">
        <v>1022</v>
      </c>
      <c r="D140" s="89" t="s">
        <v>1316</v>
      </c>
      <c r="E140" s="88" t="s">
        <v>606</v>
      </c>
      <c r="F140" s="92"/>
      <c r="G140" s="90">
        <v>1</v>
      </c>
      <c r="H140" s="91" t="s">
        <v>622</v>
      </c>
    </row>
    <row r="141" spans="1:8" s="87" customFormat="1" ht="12.75">
      <c r="A141" s="88" t="s">
        <v>209</v>
      </c>
      <c r="B141" s="88" t="s">
        <v>60</v>
      </c>
      <c r="C141" s="88" t="s">
        <v>1023</v>
      </c>
      <c r="D141" s="89" t="s">
        <v>1317</v>
      </c>
      <c r="E141" s="88" t="s">
        <v>606</v>
      </c>
      <c r="F141" s="92"/>
      <c r="G141" s="90">
        <v>1</v>
      </c>
      <c r="H141" s="91" t="s">
        <v>622</v>
      </c>
    </row>
    <row r="142" spans="1:8" s="87" customFormat="1" ht="12.75">
      <c r="A142" s="88" t="s">
        <v>210</v>
      </c>
      <c r="B142" s="88" t="s">
        <v>60</v>
      </c>
      <c r="C142" s="88" t="s">
        <v>1024</v>
      </c>
      <c r="D142" s="89" t="s">
        <v>1318</v>
      </c>
      <c r="E142" s="88" t="s">
        <v>606</v>
      </c>
      <c r="F142" s="92"/>
      <c r="G142" s="90">
        <v>1</v>
      </c>
      <c r="H142" s="91" t="s">
        <v>622</v>
      </c>
    </row>
    <row r="143" spans="1:8" s="87" customFormat="1" ht="12.75">
      <c r="A143" s="88" t="s">
        <v>211</v>
      </c>
      <c r="B143" s="88" t="s">
        <v>60</v>
      </c>
      <c r="C143" s="88" t="s">
        <v>1025</v>
      </c>
      <c r="D143" s="89" t="s">
        <v>1319</v>
      </c>
      <c r="E143" s="88" t="s">
        <v>606</v>
      </c>
      <c r="F143" s="92"/>
      <c r="G143" s="90">
        <v>19</v>
      </c>
      <c r="H143" s="91" t="s">
        <v>622</v>
      </c>
    </row>
    <row r="144" spans="1:8" s="87" customFormat="1" ht="12.75">
      <c r="A144" s="88" t="s">
        <v>212</v>
      </c>
      <c r="B144" s="88" t="s">
        <v>60</v>
      </c>
      <c r="C144" s="88" t="s">
        <v>1026</v>
      </c>
      <c r="D144" s="89" t="s">
        <v>1320</v>
      </c>
      <c r="E144" s="88" t="s">
        <v>606</v>
      </c>
      <c r="F144" s="92"/>
      <c r="G144" s="90">
        <v>12</v>
      </c>
      <c r="H144" s="91" t="s">
        <v>622</v>
      </c>
    </row>
    <row r="145" spans="1:8" s="87" customFormat="1" ht="12.75">
      <c r="A145" s="88" t="s">
        <v>213</v>
      </c>
      <c r="B145" s="88" t="s">
        <v>60</v>
      </c>
      <c r="C145" s="88" t="s">
        <v>1027</v>
      </c>
      <c r="D145" s="89" t="s">
        <v>1321</v>
      </c>
      <c r="E145" s="88" t="s">
        <v>606</v>
      </c>
      <c r="F145" s="92"/>
      <c r="G145" s="90">
        <v>3</v>
      </c>
      <c r="H145" s="91" t="s">
        <v>622</v>
      </c>
    </row>
    <row r="146" spans="1:8" s="87" customFormat="1" ht="12.75">
      <c r="A146" s="88" t="s">
        <v>214</v>
      </c>
      <c r="B146" s="88" t="s">
        <v>60</v>
      </c>
      <c r="C146" s="88" t="s">
        <v>1028</v>
      </c>
      <c r="D146" s="89" t="s">
        <v>1322</v>
      </c>
      <c r="E146" s="88" t="s">
        <v>606</v>
      </c>
      <c r="F146" s="92"/>
      <c r="G146" s="90">
        <v>3</v>
      </c>
      <c r="H146" s="91" t="s">
        <v>622</v>
      </c>
    </row>
    <row r="147" spans="1:8" s="87" customFormat="1" ht="12.75">
      <c r="A147" s="88" t="s">
        <v>215</v>
      </c>
      <c r="B147" s="88" t="s">
        <v>60</v>
      </c>
      <c r="C147" s="88" t="s">
        <v>1029</v>
      </c>
      <c r="D147" s="89" t="s">
        <v>1323</v>
      </c>
      <c r="E147" s="88" t="s">
        <v>606</v>
      </c>
      <c r="F147" s="92"/>
      <c r="G147" s="90">
        <v>1</v>
      </c>
      <c r="H147" s="91" t="s">
        <v>622</v>
      </c>
    </row>
    <row r="148" spans="1:8" s="87" customFormat="1" ht="12.75">
      <c r="A148" s="88" t="s">
        <v>216</v>
      </c>
      <c r="B148" s="88" t="s">
        <v>60</v>
      </c>
      <c r="C148" s="88" t="s">
        <v>1030</v>
      </c>
      <c r="D148" s="89" t="s">
        <v>1324</v>
      </c>
      <c r="E148" s="88" t="s">
        <v>606</v>
      </c>
      <c r="F148" s="92"/>
      <c r="G148" s="90">
        <v>1</v>
      </c>
      <c r="H148" s="91" t="s">
        <v>622</v>
      </c>
    </row>
    <row r="149" spans="1:8" s="87" customFormat="1" ht="12.75">
      <c r="A149" s="88" t="s">
        <v>217</v>
      </c>
      <c r="B149" s="88" t="s">
        <v>60</v>
      </c>
      <c r="C149" s="88" t="s">
        <v>1031</v>
      </c>
      <c r="D149" s="89" t="s">
        <v>1325</v>
      </c>
      <c r="E149" s="88" t="s">
        <v>606</v>
      </c>
      <c r="F149" s="92"/>
      <c r="G149" s="90">
        <v>1</v>
      </c>
      <c r="H149" s="91" t="s">
        <v>622</v>
      </c>
    </row>
    <row r="150" spans="1:8" s="87" customFormat="1" ht="12.75">
      <c r="A150" s="88" t="s">
        <v>218</v>
      </c>
      <c r="B150" s="88" t="s">
        <v>60</v>
      </c>
      <c r="C150" s="88" t="s">
        <v>1032</v>
      </c>
      <c r="D150" s="89" t="s">
        <v>1326</v>
      </c>
      <c r="E150" s="88" t="s">
        <v>606</v>
      </c>
      <c r="F150" s="92"/>
      <c r="G150" s="90">
        <v>1</v>
      </c>
      <c r="H150" s="91" t="s">
        <v>622</v>
      </c>
    </row>
    <row r="151" spans="1:8" s="87" customFormat="1" ht="12.75">
      <c r="A151" s="88" t="s">
        <v>219</v>
      </c>
      <c r="B151" s="88" t="s">
        <v>60</v>
      </c>
      <c r="C151" s="88" t="s">
        <v>1033</v>
      </c>
      <c r="D151" s="89" t="s">
        <v>1327</v>
      </c>
      <c r="E151" s="88" t="s">
        <v>606</v>
      </c>
      <c r="F151" s="92"/>
      <c r="G151" s="90">
        <v>2</v>
      </c>
      <c r="H151" s="91" t="s">
        <v>622</v>
      </c>
    </row>
    <row r="152" spans="1:8" s="87" customFormat="1" ht="12.75">
      <c r="A152" s="88" t="s">
        <v>220</v>
      </c>
      <c r="B152" s="88" t="s">
        <v>60</v>
      </c>
      <c r="C152" s="88" t="s">
        <v>1034</v>
      </c>
      <c r="D152" s="89" t="s">
        <v>1328</v>
      </c>
      <c r="E152" s="88" t="s">
        <v>606</v>
      </c>
      <c r="F152" s="92"/>
      <c r="G152" s="90">
        <v>0</v>
      </c>
      <c r="H152" s="91" t="s">
        <v>622</v>
      </c>
    </row>
    <row r="153" spans="1:8" s="87" customFormat="1" ht="12.75">
      <c r="A153" s="88" t="s">
        <v>221</v>
      </c>
      <c r="B153" s="88" t="s">
        <v>60</v>
      </c>
      <c r="C153" s="88" t="s">
        <v>1035</v>
      </c>
      <c r="D153" s="89" t="s">
        <v>1329</v>
      </c>
      <c r="E153" s="88" t="s">
        <v>609</v>
      </c>
      <c r="F153" s="92"/>
      <c r="G153" s="90">
        <v>28.1</v>
      </c>
      <c r="H153" s="91" t="s">
        <v>622</v>
      </c>
    </row>
    <row r="154" spans="1:8" s="87" customFormat="1" ht="12.75">
      <c r="A154" s="88" t="s">
        <v>222</v>
      </c>
      <c r="B154" s="88" t="s">
        <v>60</v>
      </c>
      <c r="C154" s="88" t="s">
        <v>1036</v>
      </c>
      <c r="D154" s="89" t="s">
        <v>1330</v>
      </c>
      <c r="E154" s="88" t="s">
        <v>606</v>
      </c>
      <c r="F154" s="92"/>
      <c r="G154" s="90">
        <v>2</v>
      </c>
      <c r="H154" s="91" t="s">
        <v>622</v>
      </c>
    </row>
    <row r="155" spans="1:8" s="87" customFormat="1" ht="12.75">
      <c r="A155" s="88" t="s">
        <v>223</v>
      </c>
      <c r="B155" s="88" t="s">
        <v>60</v>
      </c>
      <c r="C155" s="88" t="s">
        <v>1037</v>
      </c>
      <c r="D155" s="89" t="s">
        <v>497</v>
      </c>
      <c r="E155" s="88" t="s">
        <v>611</v>
      </c>
      <c r="F155" s="92"/>
      <c r="G155" s="90">
        <v>20</v>
      </c>
      <c r="H155" s="91" t="s">
        <v>622</v>
      </c>
    </row>
    <row r="156" spans="1:8" s="87" customFormat="1" ht="12.75">
      <c r="A156" s="88" t="s">
        <v>224</v>
      </c>
      <c r="B156" s="88" t="s">
        <v>60</v>
      </c>
      <c r="C156" s="88" t="s">
        <v>1038</v>
      </c>
      <c r="D156" s="89" t="s">
        <v>498</v>
      </c>
      <c r="E156" s="88" t="s">
        <v>606</v>
      </c>
      <c r="F156" s="92"/>
      <c r="G156" s="90">
        <v>2</v>
      </c>
      <c r="H156" s="91" t="s">
        <v>622</v>
      </c>
    </row>
    <row r="157" spans="1:8" s="87" customFormat="1" ht="12.75">
      <c r="A157" s="88" t="s">
        <v>225</v>
      </c>
      <c r="B157" s="88" t="s">
        <v>60</v>
      </c>
      <c r="C157" s="88" t="s">
        <v>1039</v>
      </c>
      <c r="D157" s="89" t="s">
        <v>499</v>
      </c>
      <c r="E157" s="88" t="s">
        <v>606</v>
      </c>
      <c r="F157" s="92"/>
      <c r="G157" s="90">
        <v>2</v>
      </c>
      <c r="H157" s="91" t="s">
        <v>622</v>
      </c>
    </row>
    <row r="158" spans="1:8" s="87" customFormat="1" ht="12.75">
      <c r="A158" s="88" t="s">
        <v>226</v>
      </c>
      <c r="B158" s="88" t="s">
        <v>60</v>
      </c>
      <c r="C158" s="88" t="s">
        <v>1040</v>
      </c>
      <c r="D158" s="89" t="s">
        <v>541</v>
      </c>
      <c r="E158" s="88" t="s">
        <v>606</v>
      </c>
      <c r="F158" s="92"/>
      <c r="G158" s="90">
        <v>1</v>
      </c>
      <c r="H158" s="91" t="s">
        <v>622</v>
      </c>
    </row>
    <row r="159" spans="1:8" s="87" customFormat="1" ht="12.75">
      <c r="A159" s="88" t="s">
        <v>227</v>
      </c>
      <c r="B159" s="88" t="s">
        <v>60</v>
      </c>
      <c r="C159" s="88" t="s">
        <v>1041</v>
      </c>
      <c r="D159" s="89" t="s">
        <v>1331</v>
      </c>
      <c r="E159" s="88" t="s">
        <v>609</v>
      </c>
      <c r="F159" s="92"/>
      <c r="G159" s="90">
        <v>91.6</v>
      </c>
      <c r="H159" s="91" t="s">
        <v>622</v>
      </c>
    </row>
    <row r="160" spans="1:8" s="87" customFormat="1" ht="12.75">
      <c r="A160" s="88" t="s">
        <v>228</v>
      </c>
      <c r="B160" s="88" t="s">
        <v>60</v>
      </c>
      <c r="C160" s="88" t="s">
        <v>1042</v>
      </c>
      <c r="D160" s="89" t="s">
        <v>1332</v>
      </c>
      <c r="E160" s="88" t="s">
        <v>609</v>
      </c>
      <c r="F160" s="92"/>
      <c r="G160" s="90">
        <v>91.6</v>
      </c>
      <c r="H160" s="91" t="s">
        <v>622</v>
      </c>
    </row>
    <row r="161" spans="1:8" s="87" customFormat="1" ht="12.75">
      <c r="A161" s="88" t="s">
        <v>229</v>
      </c>
      <c r="B161" s="88" t="s">
        <v>60</v>
      </c>
      <c r="C161" s="88" t="s">
        <v>1043</v>
      </c>
      <c r="D161" s="89" t="s">
        <v>1333</v>
      </c>
      <c r="E161" s="88" t="s">
        <v>609</v>
      </c>
      <c r="F161" s="92"/>
      <c r="G161" s="90">
        <v>91.6</v>
      </c>
      <c r="H161" s="91" t="s">
        <v>622</v>
      </c>
    </row>
    <row r="162" spans="1:8" s="87" customFormat="1" ht="12.75">
      <c r="A162" s="88" t="s">
        <v>230</v>
      </c>
      <c r="B162" s="88" t="s">
        <v>60</v>
      </c>
      <c r="C162" s="88" t="s">
        <v>1044</v>
      </c>
      <c r="D162" s="89" t="s">
        <v>489</v>
      </c>
      <c r="E162" s="88" t="s">
        <v>606</v>
      </c>
      <c r="F162" s="92"/>
      <c r="G162" s="90">
        <v>1</v>
      </c>
      <c r="H162" s="91" t="s">
        <v>622</v>
      </c>
    </row>
    <row r="163" spans="1:8" s="87" customFormat="1" ht="12.75">
      <c r="A163" s="88" t="s">
        <v>231</v>
      </c>
      <c r="B163" s="88" t="s">
        <v>60</v>
      </c>
      <c r="C163" s="88" t="s">
        <v>1045</v>
      </c>
      <c r="D163" s="89" t="s">
        <v>490</v>
      </c>
      <c r="E163" s="88" t="s">
        <v>606</v>
      </c>
      <c r="F163" s="92"/>
      <c r="G163" s="90">
        <v>1</v>
      </c>
      <c r="H163" s="91" t="s">
        <v>622</v>
      </c>
    </row>
    <row r="164" spans="1:8" s="87" customFormat="1" ht="12.75">
      <c r="A164" s="88" t="s">
        <v>232</v>
      </c>
      <c r="B164" s="88" t="s">
        <v>60</v>
      </c>
      <c r="C164" s="88" t="s">
        <v>1046</v>
      </c>
      <c r="D164" s="89" t="s">
        <v>491</v>
      </c>
      <c r="E164" s="88" t="s">
        <v>606</v>
      </c>
      <c r="F164" s="92"/>
      <c r="G164" s="90">
        <v>1</v>
      </c>
      <c r="H164" s="91" t="s">
        <v>622</v>
      </c>
    </row>
    <row r="165" spans="1:8" s="87" customFormat="1" ht="12.75">
      <c r="A165" s="88" t="s">
        <v>233</v>
      </c>
      <c r="B165" s="88" t="s">
        <v>60</v>
      </c>
      <c r="C165" s="88" t="s">
        <v>1047</v>
      </c>
      <c r="D165" s="89" t="s">
        <v>492</v>
      </c>
      <c r="E165" s="88" t="s">
        <v>606</v>
      </c>
      <c r="F165" s="92"/>
      <c r="G165" s="90">
        <v>1</v>
      </c>
      <c r="H165" s="91" t="s">
        <v>622</v>
      </c>
    </row>
    <row r="166" spans="1:8" s="87" customFormat="1" ht="12.75">
      <c r="A166" s="88" t="s">
        <v>234</v>
      </c>
      <c r="B166" s="88" t="s">
        <v>60</v>
      </c>
      <c r="C166" s="88" t="s">
        <v>1048</v>
      </c>
      <c r="D166" s="89" t="s">
        <v>493</v>
      </c>
      <c r="E166" s="88" t="s">
        <v>606</v>
      </c>
      <c r="F166" s="92"/>
      <c r="G166" s="90">
        <v>1</v>
      </c>
      <c r="H166" s="91" t="s">
        <v>622</v>
      </c>
    </row>
    <row r="167" spans="1:8" s="87" customFormat="1" ht="12.75">
      <c r="A167" s="88" t="s">
        <v>235</v>
      </c>
      <c r="B167" s="88" t="s">
        <v>60</v>
      </c>
      <c r="C167" s="88" t="s">
        <v>179</v>
      </c>
      <c r="D167" s="89" t="s">
        <v>1334</v>
      </c>
      <c r="E167" s="88" t="s">
        <v>606</v>
      </c>
      <c r="F167" s="92"/>
      <c r="G167" s="90">
        <v>1</v>
      </c>
      <c r="H167" s="91" t="s">
        <v>622</v>
      </c>
    </row>
    <row r="168" spans="1:8" s="87" customFormat="1" ht="12.75">
      <c r="A168" s="88" t="s">
        <v>236</v>
      </c>
      <c r="B168" s="88" t="s">
        <v>60</v>
      </c>
      <c r="C168" s="88" t="s">
        <v>1049</v>
      </c>
      <c r="D168" s="89" t="s">
        <v>1335</v>
      </c>
      <c r="E168" s="88" t="s">
        <v>606</v>
      </c>
      <c r="F168" s="92"/>
      <c r="G168" s="90">
        <v>1</v>
      </c>
      <c r="H168" s="91" t="s">
        <v>622</v>
      </c>
    </row>
    <row r="169" spans="1:8" s="87" customFormat="1" ht="12.75">
      <c r="A169" s="88" t="s">
        <v>237</v>
      </c>
      <c r="B169" s="88" t="s">
        <v>60</v>
      </c>
      <c r="C169" s="88" t="s">
        <v>1050</v>
      </c>
      <c r="D169" s="89" t="s">
        <v>1336</v>
      </c>
      <c r="E169" s="88" t="s">
        <v>606</v>
      </c>
      <c r="F169" s="92"/>
      <c r="G169" s="90">
        <v>1</v>
      </c>
      <c r="H169" s="91" t="s">
        <v>622</v>
      </c>
    </row>
    <row r="170" spans="1:8" s="87" customFormat="1" ht="12.75">
      <c r="A170" s="88" t="s">
        <v>238</v>
      </c>
      <c r="B170" s="88" t="s">
        <v>60</v>
      </c>
      <c r="C170" s="88" t="s">
        <v>1051</v>
      </c>
      <c r="D170" s="89" t="s">
        <v>1337</v>
      </c>
      <c r="E170" s="88" t="s">
        <v>606</v>
      </c>
      <c r="F170" s="92"/>
      <c r="G170" s="90">
        <v>1</v>
      </c>
      <c r="H170" s="91" t="s">
        <v>622</v>
      </c>
    </row>
    <row r="171" spans="1:8" s="87" customFormat="1" ht="12.75">
      <c r="A171" s="88" t="s">
        <v>239</v>
      </c>
      <c r="B171" s="88" t="s">
        <v>60</v>
      </c>
      <c r="C171" s="88" t="s">
        <v>1052</v>
      </c>
      <c r="D171" s="89" t="s">
        <v>1338</v>
      </c>
      <c r="E171" s="88" t="s">
        <v>606</v>
      </c>
      <c r="F171" s="92"/>
      <c r="G171" s="90">
        <v>1</v>
      </c>
      <c r="H171" s="91" t="s">
        <v>622</v>
      </c>
    </row>
    <row r="172" spans="1:8" s="87" customFormat="1" ht="12.75">
      <c r="A172" s="88" t="s">
        <v>240</v>
      </c>
      <c r="B172" s="88" t="s">
        <v>60</v>
      </c>
      <c r="C172" s="88" t="s">
        <v>1053</v>
      </c>
      <c r="D172" s="89" t="s">
        <v>1339</v>
      </c>
      <c r="E172" s="88" t="s">
        <v>606</v>
      </c>
      <c r="F172" s="92"/>
      <c r="G172" s="90">
        <v>1</v>
      </c>
      <c r="H172" s="91" t="s">
        <v>622</v>
      </c>
    </row>
    <row r="173" spans="1:8" s="87" customFormat="1" ht="12.75" hidden="1">
      <c r="A173" s="88" t="s">
        <v>241</v>
      </c>
      <c r="B173" s="88" t="s">
        <v>60</v>
      </c>
      <c r="C173" s="88" t="s">
        <v>180</v>
      </c>
      <c r="D173" s="89" t="s">
        <v>1340</v>
      </c>
      <c r="E173" s="88" t="s">
        <v>606</v>
      </c>
      <c r="F173" s="92"/>
      <c r="G173" s="90">
        <v>0</v>
      </c>
      <c r="H173" s="91" t="s">
        <v>622</v>
      </c>
    </row>
    <row r="174" spans="1:8" s="87" customFormat="1" ht="12.75" hidden="1">
      <c r="A174" s="88" t="s">
        <v>242</v>
      </c>
      <c r="B174" s="88" t="s">
        <v>60</v>
      </c>
      <c r="C174" s="88" t="s">
        <v>1054</v>
      </c>
      <c r="D174" s="89" t="s">
        <v>1341</v>
      </c>
      <c r="E174" s="88" t="s">
        <v>606</v>
      </c>
      <c r="F174" s="92"/>
      <c r="G174" s="90">
        <v>0</v>
      </c>
      <c r="H174" s="91" t="s">
        <v>622</v>
      </c>
    </row>
    <row r="175" spans="1:8" s="87" customFormat="1" ht="12.75" hidden="1">
      <c r="A175" s="88" t="s">
        <v>243</v>
      </c>
      <c r="B175" s="88" t="s">
        <v>60</v>
      </c>
      <c r="C175" s="88" t="s">
        <v>1055</v>
      </c>
      <c r="D175" s="89" t="s">
        <v>1336</v>
      </c>
      <c r="E175" s="88" t="s">
        <v>606</v>
      </c>
      <c r="F175" s="92"/>
      <c r="G175" s="90">
        <v>0</v>
      </c>
      <c r="H175" s="91" t="s">
        <v>622</v>
      </c>
    </row>
    <row r="176" spans="1:8" s="87" customFormat="1" ht="12.75" hidden="1">
      <c r="A176" s="88" t="s">
        <v>244</v>
      </c>
      <c r="B176" s="88" t="s">
        <v>60</v>
      </c>
      <c r="C176" s="88" t="s">
        <v>1056</v>
      </c>
      <c r="D176" s="89" t="s">
        <v>1337</v>
      </c>
      <c r="E176" s="88" t="s">
        <v>606</v>
      </c>
      <c r="F176" s="92"/>
      <c r="G176" s="90">
        <v>0</v>
      </c>
      <c r="H176" s="91" t="s">
        <v>622</v>
      </c>
    </row>
    <row r="177" spans="1:8" s="87" customFormat="1" ht="12.75" hidden="1">
      <c r="A177" s="88" t="s">
        <v>664</v>
      </c>
      <c r="B177" s="88" t="s">
        <v>60</v>
      </c>
      <c r="C177" s="88" t="s">
        <v>1057</v>
      </c>
      <c r="D177" s="89" t="s">
        <v>1338</v>
      </c>
      <c r="E177" s="88" t="s">
        <v>606</v>
      </c>
      <c r="F177" s="92"/>
      <c r="G177" s="90">
        <v>0</v>
      </c>
      <c r="H177" s="91" t="s">
        <v>622</v>
      </c>
    </row>
    <row r="178" spans="1:8" s="87" customFormat="1" ht="12.75" hidden="1">
      <c r="A178" s="88" t="s">
        <v>665</v>
      </c>
      <c r="B178" s="88" t="s">
        <v>60</v>
      </c>
      <c r="C178" s="88" t="s">
        <v>1058</v>
      </c>
      <c r="D178" s="89" t="s">
        <v>1339</v>
      </c>
      <c r="E178" s="88" t="s">
        <v>606</v>
      </c>
      <c r="F178" s="92"/>
      <c r="G178" s="90">
        <v>0</v>
      </c>
      <c r="H178" s="91" t="s">
        <v>622</v>
      </c>
    </row>
    <row r="179" spans="1:8" s="87" customFormat="1" ht="12.75">
      <c r="A179" s="88" t="s">
        <v>666</v>
      </c>
      <c r="B179" s="88" t="s">
        <v>60</v>
      </c>
      <c r="C179" s="88" t="s">
        <v>181</v>
      </c>
      <c r="D179" s="89" t="s">
        <v>1342</v>
      </c>
      <c r="E179" s="88" t="s">
        <v>609</v>
      </c>
      <c r="F179" s="92"/>
      <c r="G179" s="90">
        <v>0.8</v>
      </c>
      <c r="H179" s="91" t="s">
        <v>622</v>
      </c>
    </row>
    <row r="180" spans="1:8" s="87" customFormat="1" ht="12.75">
      <c r="A180" s="88" t="s">
        <v>667</v>
      </c>
      <c r="B180" s="88" t="s">
        <v>60</v>
      </c>
      <c r="C180" s="88" t="s">
        <v>182</v>
      </c>
      <c r="D180" s="89" t="s">
        <v>1343</v>
      </c>
      <c r="E180" s="88" t="s">
        <v>609</v>
      </c>
      <c r="F180" s="92"/>
      <c r="G180" s="90">
        <v>0</v>
      </c>
      <c r="H180" s="91" t="s">
        <v>622</v>
      </c>
    </row>
    <row r="181" spans="1:8" s="87" customFormat="1" ht="12.75">
      <c r="A181" s="88" t="s">
        <v>668</v>
      </c>
      <c r="B181" s="88" t="s">
        <v>60</v>
      </c>
      <c r="C181" s="88" t="s">
        <v>183</v>
      </c>
      <c r="D181" s="89" t="s">
        <v>1344</v>
      </c>
      <c r="E181" s="88" t="s">
        <v>609</v>
      </c>
      <c r="F181" s="92"/>
      <c r="G181" s="90">
        <v>6.1</v>
      </c>
      <c r="H181" s="91" t="s">
        <v>622</v>
      </c>
    </row>
    <row r="182" spans="1:8" s="87" customFormat="1" ht="12.75">
      <c r="A182" s="88" t="s">
        <v>669</v>
      </c>
      <c r="B182" s="88" t="s">
        <v>60</v>
      </c>
      <c r="C182" s="88" t="s">
        <v>184</v>
      </c>
      <c r="D182" s="89" t="s">
        <v>1345</v>
      </c>
      <c r="E182" s="88" t="s">
        <v>609</v>
      </c>
      <c r="F182" s="92"/>
      <c r="G182" s="90">
        <v>6.4</v>
      </c>
      <c r="H182" s="91" t="s">
        <v>622</v>
      </c>
    </row>
    <row r="183" spans="1:8" s="87" customFormat="1" ht="12.75">
      <c r="A183" s="88" t="s">
        <v>670</v>
      </c>
      <c r="B183" s="88" t="s">
        <v>60</v>
      </c>
      <c r="C183" s="88" t="s">
        <v>185</v>
      </c>
      <c r="D183" s="89" t="s">
        <v>1346</v>
      </c>
      <c r="E183" s="88" t="s">
        <v>609</v>
      </c>
      <c r="F183" s="92"/>
      <c r="G183" s="90">
        <v>9.2</v>
      </c>
      <c r="H183" s="91" t="s">
        <v>622</v>
      </c>
    </row>
    <row r="184" spans="1:8" s="87" customFormat="1" ht="12.75">
      <c r="A184" s="88" t="s">
        <v>671</v>
      </c>
      <c r="B184" s="88" t="s">
        <v>60</v>
      </c>
      <c r="C184" s="88" t="s">
        <v>186</v>
      </c>
      <c r="D184" s="89" t="s">
        <v>1347</v>
      </c>
      <c r="E184" s="88" t="s">
        <v>609</v>
      </c>
      <c r="F184" s="92"/>
      <c r="G184" s="90">
        <v>9.1</v>
      </c>
      <c r="H184" s="91" t="s">
        <v>622</v>
      </c>
    </row>
    <row r="185" spans="1:8" s="87" customFormat="1" ht="12.75" hidden="1">
      <c r="A185" s="88" t="s">
        <v>672</v>
      </c>
      <c r="B185" s="88" t="s">
        <v>60</v>
      </c>
      <c r="C185" s="88" t="s">
        <v>187</v>
      </c>
      <c r="D185" s="89" t="s">
        <v>1348</v>
      </c>
      <c r="E185" s="88" t="s">
        <v>609</v>
      </c>
      <c r="F185" s="92"/>
      <c r="G185" s="90">
        <v>0</v>
      </c>
      <c r="H185" s="91" t="s">
        <v>622</v>
      </c>
    </row>
    <row r="186" spans="1:8" s="87" customFormat="1" ht="12.75">
      <c r="A186" s="88" t="s">
        <v>673</v>
      </c>
      <c r="B186" s="88" t="s">
        <v>60</v>
      </c>
      <c r="C186" s="88" t="s">
        <v>188</v>
      </c>
      <c r="D186" s="89" t="s">
        <v>1349</v>
      </c>
      <c r="E186" s="88" t="s">
        <v>606</v>
      </c>
      <c r="F186" s="92"/>
      <c r="G186" s="90">
        <v>5</v>
      </c>
      <c r="H186" s="91" t="s">
        <v>622</v>
      </c>
    </row>
    <row r="187" spans="1:8" s="87" customFormat="1" ht="12.75">
      <c r="A187" s="88" t="s">
        <v>674</v>
      </c>
      <c r="B187" s="88" t="s">
        <v>60</v>
      </c>
      <c r="C187" s="88" t="s">
        <v>189</v>
      </c>
      <c r="D187" s="89" t="s">
        <v>1350</v>
      </c>
      <c r="E187" s="88" t="s">
        <v>606</v>
      </c>
      <c r="F187" s="92"/>
      <c r="G187" s="90">
        <v>4</v>
      </c>
      <c r="H187" s="91" t="s">
        <v>622</v>
      </c>
    </row>
    <row r="188" spans="1:8" s="87" customFormat="1" ht="12.75" hidden="1">
      <c r="A188" s="88" t="s">
        <v>675</v>
      </c>
      <c r="B188" s="88" t="s">
        <v>60</v>
      </c>
      <c r="C188" s="88" t="s">
        <v>190</v>
      </c>
      <c r="D188" s="89" t="s">
        <v>1351</v>
      </c>
      <c r="E188" s="88" t="s">
        <v>606</v>
      </c>
      <c r="F188" s="92"/>
      <c r="G188" s="90">
        <v>0</v>
      </c>
      <c r="H188" s="91" t="s">
        <v>622</v>
      </c>
    </row>
    <row r="189" spans="1:8" s="87" customFormat="1" ht="12.75" hidden="1">
      <c r="A189" s="88" t="s">
        <v>676</v>
      </c>
      <c r="B189" s="88" t="s">
        <v>60</v>
      </c>
      <c r="C189" s="88" t="s">
        <v>191</v>
      </c>
      <c r="D189" s="89" t="s">
        <v>1352</v>
      </c>
      <c r="E189" s="88" t="s">
        <v>606</v>
      </c>
      <c r="F189" s="92"/>
      <c r="G189" s="90">
        <v>0</v>
      </c>
      <c r="H189" s="91" t="s">
        <v>622</v>
      </c>
    </row>
    <row r="190" spans="1:8" s="87" customFormat="1" ht="12.75">
      <c r="A190" s="88" t="s">
        <v>677</v>
      </c>
      <c r="B190" s="88" t="s">
        <v>60</v>
      </c>
      <c r="C190" s="88" t="s">
        <v>192</v>
      </c>
      <c r="D190" s="89" t="s">
        <v>1353</v>
      </c>
      <c r="E190" s="88" t="s">
        <v>606</v>
      </c>
      <c r="F190" s="92"/>
      <c r="G190" s="90">
        <v>1</v>
      </c>
      <c r="H190" s="91" t="s">
        <v>622</v>
      </c>
    </row>
    <row r="191" spans="1:8" s="87" customFormat="1" ht="12.75" hidden="1">
      <c r="A191" s="88" t="s">
        <v>678</v>
      </c>
      <c r="B191" s="88" t="s">
        <v>60</v>
      </c>
      <c r="C191" s="88" t="s">
        <v>193</v>
      </c>
      <c r="D191" s="89" t="s">
        <v>1354</v>
      </c>
      <c r="E191" s="88" t="s">
        <v>606</v>
      </c>
      <c r="F191" s="92"/>
      <c r="G191" s="90">
        <v>0</v>
      </c>
      <c r="H191" s="91" t="s">
        <v>622</v>
      </c>
    </row>
    <row r="192" spans="1:8" s="87" customFormat="1" ht="12.75">
      <c r="A192" s="88" t="s">
        <v>679</v>
      </c>
      <c r="B192" s="88" t="s">
        <v>60</v>
      </c>
      <c r="C192" s="88" t="s">
        <v>194</v>
      </c>
      <c r="D192" s="89" t="s">
        <v>1355</v>
      </c>
      <c r="E192" s="88" t="s">
        <v>606</v>
      </c>
      <c r="F192" s="92"/>
      <c r="G192" s="90">
        <v>2</v>
      </c>
      <c r="H192" s="91" t="s">
        <v>622</v>
      </c>
    </row>
    <row r="193" spans="1:8" s="87" customFormat="1" ht="12.75">
      <c r="A193" s="88" t="s">
        <v>680</v>
      </c>
      <c r="B193" s="88" t="s">
        <v>60</v>
      </c>
      <c r="C193" s="88" t="s">
        <v>195</v>
      </c>
      <c r="D193" s="89" t="s">
        <v>1356</v>
      </c>
      <c r="E193" s="88" t="s">
        <v>606</v>
      </c>
      <c r="F193" s="92"/>
      <c r="G193" s="90">
        <v>1</v>
      </c>
      <c r="H193" s="91" t="s">
        <v>622</v>
      </c>
    </row>
    <row r="194" spans="1:8" s="87" customFormat="1" ht="12.75" hidden="1">
      <c r="A194" s="88" t="s">
        <v>681</v>
      </c>
      <c r="B194" s="88" t="s">
        <v>60</v>
      </c>
      <c r="C194" s="88" t="s">
        <v>196</v>
      </c>
      <c r="D194" s="89" t="s">
        <v>1357</v>
      </c>
      <c r="E194" s="88" t="s">
        <v>606</v>
      </c>
      <c r="F194" s="92"/>
      <c r="G194" s="90">
        <v>0</v>
      </c>
      <c r="H194" s="91" t="s">
        <v>622</v>
      </c>
    </row>
    <row r="195" spans="1:8" s="87" customFormat="1" ht="12.75" hidden="1">
      <c r="A195" s="88" t="s">
        <v>682</v>
      </c>
      <c r="B195" s="88" t="s">
        <v>60</v>
      </c>
      <c r="C195" s="88" t="s">
        <v>197</v>
      </c>
      <c r="D195" s="89" t="s">
        <v>1358</v>
      </c>
      <c r="E195" s="88" t="s">
        <v>606</v>
      </c>
      <c r="F195" s="92"/>
      <c r="G195" s="90">
        <v>0</v>
      </c>
      <c r="H195" s="91" t="s">
        <v>622</v>
      </c>
    </row>
    <row r="196" spans="1:8" s="87" customFormat="1" ht="12.75">
      <c r="A196" s="88" t="s">
        <v>683</v>
      </c>
      <c r="B196" s="88" t="s">
        <v>60</v>
      </c>
      <c r="C196" s="88" t="s">
        <v>198</v>
      </c>
      <c r="D196" s="89" t="s">
        <v>1359</v>
      </c>
      <c r="E196" s="88" t="s">
        <v>606</v>
      </c>
      <c r="F196" s="92"/>
      <c r="G196" s="90">
        <v>1</v>
      </c>
      <c r="H196" s="91" t="s">
        <v>622</v>
      </c>
    </row>
    <row r="197" spans="1:8" s="87" customFormat="1" ht="12.75">
      <c r="A197" s="88" t="s">
        <v>684</v>
      </c>
      <c r="B197" s="88" t="s">
        <v>60</v>
      </c>
      <c r="C197" s="88" t="s">
        <v>199</v>
      </c>
      <c r="D197" s="89" t="s">
        <v>1360</v>
      </c>
      <c r="E197" s="88" t="s">
        <v>608</v>
      </c>
      <c r="F197" s="92"/>
      <c r="G197" s="90">
        <v>7.4</v>
      </c>
      <c r="H197" s="91" t="s">
        <v>622</v>
      </c>
    </row>
    <row r="198" spans="1:8" s="87" customFormat="1" ht="12.75">
      <c r="A198" s="88" t="s">
        <v>685</v>
      </c>
      <c r="B198" s="88" t="s">
        <v>60</v>
      </c>
      <c r="C198" s="88" t="s">
        <v>200</v>
      </c>
      <c r="D198" s="89" t="s">
        <v>1361</v>
      </c>
      <c r="E198" s="88" t="s">
        <v>607</v>
      </c>
      <c r="F198" s="92"/>
      <c r="G198" s="90">
        <v>10</v>
      </c>
      <c r="H198" s="91" t="s">
        <v>622</v>
      </c>
    </row>
    <row r="199" spans="1:8" s="87" customFormat="1" ht="12.75">
      <c r="A199" s="88" t="s">
        <v>686</v>
      </c>
      <c r="B199" s="88" t="s">
        <v>60</v>
      </c>
      <c r="C199" s="88" t="s">
        <v>201</v>
      </c>
      <c r="D199" s="89" t="s">
        <v>1362</v>
      </c>
      <c r="E199" s="88" t="s">
        <v>607</v>
      </c>
      <c r="F199" s="92"/>
      <c r="G199" s="90">
        <v>5</v>
      </c>
      <c r="H199" s="91" t="s">
        <v>622</v>
      </c>
    </row>
    <row r="200" spans="1:8" s="87" customFormat="1" ht="12.75">
      <c r="A200" s="88" t="s">
        <v>687</v>
      </c>
      <c r="B200" s="88" t="s">
        <v>60</v>
      </c>
      <c r="C200" s="88" t="s">
        <v>315</v>
      </c>
      <c r="D200" s="89" t="s">
        <v>501</v>
      </c>
      <c r="E200" s="88" t="s">
        <v>611</v>
      </c>
      <c r="F200" s="92"/>
      <c r="G200" s="90">
        <v>20</v>
      </c>
      <c r="H200" s="91" t="s">
        <v>622</v>
      </c>
    </row>
    <row r="201" spans="1:8" s="87" customFormat="1" ht="12.75">
      <c r="A201" s="88" t="s">
        <v>688</v>
      </c>
      <c r="B201" s="88" t="s">
        <v>60</v>
      </c>
      <c r="C201" s="88" t="s">
        <v>316</v>
      </c>
      <c r="D201" s="89" t="s">
        <v>1363</v>
      </c>
      <c r="E201" s="88" t="s">
        <v>606</v>
      </c>
      <c r="F201" s="92"/>
      <c r="G201" s="90">
        <v>1</v>
      </c>
      <c r="H201" s="91" t="s">
        <v>622</v>
      </c>
    </row>
    <row r="202" spans="1:8" s="87" customFormat="1" ht="12.75">
      <c r="A202" s="88" t="s">
        <v>689</v>
      </c>
      <c r="B202" s="88" t="s">
        <v>60</v>
      </c>
      <c r="C202" s="88" t="s">
        <v>698</v>
      </c>
      <c r="D202" s="89" t="s">
        <v>1364</v>
      </c>
      <c r="E202" s="88" t="s">
        <v>606</v>
      </c>
      <c r="F202" s="92"/>
      <c r="G202" s="90">
        <v>8</v>
      </c>
      <c r="H202" s="91" t="s">
        <v>622</v>
      </c>
    </row>
    <row r="203" spans="1:8" s="87" customFormat="1" ht="12.75">
      <c r="A203" s="88" t="s">
        <v>690</v>
      </c>
      <c r="B203" s="88" t="s">
        <v>60</v>
      </c>
      <c r="C203" s="88" t="s">
        <v>699</v>
      </c>
      <c r="D203" s="89" t="s">
        <v>1365</v>
      </c>
      <c r="E203" s="88" t="s">
        <v>1527</v>
      </c>
      <c r="F203" s="92"/>
      <c r="G203" s="90">
        <v>1</v>
      </c>
      <c r="H203" s="91" t="s">
        <v>622</v>
      </c>
    </row>
    <row r="204" spans="1:8" s="87" customFormat="1" ht="12.75">
      <c r="A204" s="88" t="s">
        <v>691</v>
      </c>
      <c r="B204" s="88" t="s">
        <v>60</v>
      </c>
      <c r="C204" s="88" t="s">
        <v>700</v>
      </c>
      <c r="D204" s="89" t="s">
        <v>497</v>
      </c>
      <c r="E204" s="88" t="s">
        <v>611</v>
      </c>
      <c r="F204" s="92"/>
      <c r="G204" s="90">
        <v>5</v>
      </c>
      <c r="H204" s="91" t="s">
        <v>622</v>
      </c>
    </row>
    <row r="205" spans="1:8" s="87" customFormat="1" ht="12.75">
      <c r="A205" s="88" t="s">
        <v>692</v>
      </c>
      <c r="B205" s="88" t="s">
        <v>60</v>
      </c>
      <c r="C205" s="88" t="s">
        <v>701</v>
      </c>
      <c r="D205" s="89" t="s">
        <v>1366</v>
      </c>
      <c r="E205" s="88" t="s">
        <v>606</v>
      </c>
      <c r="F205" s="92"/>
      <c r="G205" s="90">
        <v>1</v>
      </c>
      <c r="H205" s="91" t="s">
        <v>622</v>
      </c>
    </row>
    <row r="206" spans="1:8" s="87" customFormat="1" ht="12.75">
      <c r="A206" s="88" t="s">
        <v>693</v>
      </c>
      <c r="B206" s="88" t="s">
        <v>60</v>
      </c>
      <c r="C206" s="88" t="s">
        <v>702</v>
      </c>
      <c r="D206" s="89" t="s">
        <v>1367</v>
      </c>
      <c r="E206" s="88" t="s">
        <v>606</v>
      </c>
      <c r="F206" s="92"/>
      <c r="G206" s="90">
        <v>1</v>
      </c>
      <c r="H206" s="91" t="s">
        <v>622</v>
      </c>
    </row>
    <row r="207" spans="1:8" s="87" customFormat="1" ht="12.75">
      <c r="A207" s="88" t="s">
        <v>694</v>
      </c>
      <c r="B207" s="88" t="s">
        <v>60</v>
      </c>
      <c r="C207" s="88" t="s">
        <v>703</v>
      </c>
      <c r="D207" s="89" t="s">
        <v>1368</v>
      </c>
      <c r="E207" s="88" t="s">
        <v>606</v>
      </c>
      <c r="F207" s="92"/>
      <c r="G207" s="90">
        <v>1</v>
      </c>
      <c r="H207" s="91" t="s">
        <v>622</v>
      </c>
    </row>
    <row r="208" spans="1:8" s="87" customFormat="1" ht="12.75">
      <c r="A208" s="88" t="s">
        <v>695</v>
      </c>
      <c r="B208" s="88" t="s">
        <v>60</v>
      </c>
      <c r="C208" s="88" t="s">
        <v>704</v>
      </c>
      <c r="D208" s="89" t="s">
        <v>1369</v>
      </c>
      <c r="E208" s="88" t="s">
        <v>606</v>
      </c>
      <c r="F208" s="92"/>
      <c r="G208" s="90">
        <v>1</v>
      </c>
      <c r="H208" s="91" t="s">
        <v>622</v>
      </c>
    </row>
    <row r="209" spans="1:8" s="87" customFormat="1" ht="12.75">
      <c r="A209" s="88" t="s">
        <v>696</v>
      </c>
      <c r="B209" s="88" t="s">
        <v>60</v>
      </c>
      <c r="C209" s="88" t="s">
        <v>705</v>
      </c>
      <c r="D209" s="89" t="s">
        <v>1370</v>
      </c>
      <c r="E209" s="88" t="s">
        <v>611</v>
      </c>
      <c r="F209" s="92"/>
      <c r="G209" s="90">
        <v>10</v>
      </c>
      <c r="H209" s="91" t="s">
        <v>622</v>
      </c>
    </row>
    <row r="210" spans="1:8" s="87" customFormat="1" ht="12.75">
      <c r="A210" s="88" t="s">
        <v>697</v>
      </c>
      <c r="B210" s="88" t="s">
        <v>60</v>
      </c>
      <c r="C210" s="88" t="s">
        <v>706</v>
      </c>
      <c r="D210" s="89" t="s">
        <v>491</v>
      </c>
      <c r="E210" s="88" t="s">
        <v>606</v>
      </c>
      <c r="F210" s="92"/>
      <c r="G210" s="90">
        <v>1</v>
      </c>
      <c r="H210" s="91" t="s">
        <v>622</v>
      </c>
    </row>
    <row r="211" spans="1:8" s="87" customFormat="1" ht="12.75">
      <c r="A211" s="88" t="s">
        <v>315</v>
      </c>
      <c r="B211" s="88" t="s">
        <v>60</v>
      </c>
      <c r="C211" s="88" t="s">
        <v>707</v>
      </c>
      <c r="D211" s="89" t="s">
        <v>1371</v>
      </c>
      <c r="E211" s="88" t="s">
        <v>611</v>
      </c>
      <c r="F211" s="92"/>
      <c r="G211" s="90">
        <v>5</v>
      </c>
      <c r="H211" s="91" t="s">
        <v>622</v>
      </c>
    </row>
    <row r="212" spans="1:8" s="87" customFormat="1" ht="12.75">
      <c r="A212" s="88" t="s">
        <v>316</v>
      </c>
      <c r="B212" s="88" t="s">
        <v>60</v>
      </c>
      <c r="C212" s="88" t="s">
        <v>708</v>
      </c>
      <c r="D212" s="89" t="s">
        <v>1372</v>
      </c>
      <c r="E212" s="88" t="s">
        <v>606</v>
      </c>
      <c r="F212" s="92"/>
      <c r="G212" s="90">
        <v>1</v>
      </c>
      <c r="H212" s="91" t="s">
        <v>622</v>
      </c>
    </row>
    <row r="213" spans="1:8" s="87" customFormat="1" ht="12.75">
      <c r="A213" s="88" t="s">
        <v>698</v>
      </c>
      <c r="B213" s="88" t="s">
        <v>60</v>
      </c>
      <c r="C213" s="88" t="s">
        <v>709</v>
      </c>
      <c r="D213" s="89" t="s">
        <v>489</v>
      </c>
      <c r="E213" s="88" t="s">
        <v>606</v>
      </c>
      <c r="F213" s="92"/>
      <c r="G213" s="90">
        <v>1</v>
      </c>
      <c r="H213" s="91" t="s">
        <v>622</v>
      </c>
    </row>
    <row r="214" spans="1:8" s="87" customFormat="1" ht="12.75">
      <c r="A214" s="88" t="s">
        <v>699</v>
      </c>
      <c r="B214" s="88" t="s">
        <v>60</v>
      </c>
      <c r="C214" s="88" t="s">
        <v>710</v>
      </c>
      <c r="D214" s="89" t="s">
        <v>492</v>
      </c>
      <c r="E214" s="88" t="s">
        <v>606</v>
      </c>
      <c r="F214" s="92"/>
      <c r="G214" s="90">
        <v>1</v>
      </c>
      <c r="H214" s="91" t="s">
        <v>622</v>
      </c>
    </row>
    <row r="215" spans="1:8" s="87" customFormat="1" ht="12.75">
      <c r="A215" s="88" t="s">
        <v>700</v>
      </c>
      <c r="B215" s="88" t="s">
        <v>60</v>
      </c>
      <c r="C215" s="88" t="s">
        <v>711</v>
      </c>
      <c r="D215" s="89" t="s">
        <v>493</v>
      </c>
      <c r="E215" s="88" t="s">
        <v>606</v>
      </c>
      <c r="F215" s="92"/>
      <c r="G215" s="90">
        <v>1</v>
      </c>
      <c r="H215" s="91" t="s">
        <v>622</v>
      </c>
    </row>
    <row r="216" spans="1:8" s="87" customFormat="1" ht="12.75">
      <c r="A216" s="88" t="s">
        <v>701</v>
      </c>
      <c r="B216" s="88" t="s">
        <v>60</v>
      </c>
      <c r="C216" s="88" t="s">
        <v>318</v>
      </c>
      <c r="D216" s="89" t="s">
        <v>509</v>
      </c>
      <c r="E216" s="88" t="s">
        <v>609</v>
      </c>
      <c r="F216" s="92"/>
      <c r="G216" s="90">
        <v>105.9</v>
      </c>
      <c r="H216" s="91" t="s">
        <v>622</v>
      </c>
    </row>
    <row r="217" spans="1:8" s="87" customFormat="1" ht="12.75">
      <c r="A217" s="88" t="s">
        <v>702</v>
      </c>
      <c r="B217" s="88" t="s">
        <v>60</v>
      </c>
      <c r="C217" s="88" t="s">
        <v>319</v>
      </c>
      <c r="D217" s="89" t="s">
        <v>510</v>
      </c>
      <c r="E217" s="88" t="s">
        <v>609</v>
      </c>
      <c r="F217" s="92"/>
      <c r="G217" s="90">
        <v>33.6</v>
      </c>
      <c r="H217" s="91" t="s">
        <v>622</v>
      </c>
    </row>
    <row r="218" spans="1:8" s="87" customFormat="1" ht="12.75">
      <c r="A218" s="88" t="s">
        <v>703</v>
      </c>
      <c r="B218" s="88" t="s">
        <v>60</v>
      </c>
      <c r="C218" s="88" t="s">
        <v>1059</v>
      </c>
      <c r="D218" s="89" t="s">
        <v>1373</v>
      </c>
      <c r="E218" s="88" t="s">
        <v>609</v>
      </c>
      <c r="F218" s="92"/>
      <c r="G218" s="90">
        <v>26.7</v>
      </c>
      <c r="H218" s="91" t="s">
        <v>622</v>
      </c>
    </row>
    <row r="219" spans="1:8" s="87" customFormat="1" ht="12.75">
      <c r="A219" s="88" t="s">
        <v>704</v>
      </c>
      <c r="B219" s="88" t="s">
        <v>60</v>
      </c>
      <c r="C219" s="88" t="s">
        <v>1060</v>
      </c>
      <c r="D219" s="89" t="s">
        <v>511</v>
      </c>
      <c r="E219" s="88" t="s">
        <v>609</v>
      </c>
      <c r="F219" s="92"/>
      <c r="G219" s="90">
        <v>38.3</v>
      </c>
      <c r="H219" s="91" t="s">
        <v>622</v>
      </c>
    </row>
    <row r="220" spans="1:8" s="87" customFormat="1" ht="12.75">
      <c r="A220" s="88" t="s">
        <v>705</v>
      </c>
      <c r="B220" s="88" t="s">
        <v>60</v>
      </c>
      <c r="C220" s="88" t="s">
        <v>320</v>
      </c>
      <c r="D220" s="89" t="s">
        <v>1374</v>
      </c>
      <c r="E220" s="88" t="s">
        <v>609</v>
      </c>
      <c r="F220" s="92"/>
      <c r="G220" s="90">
        <v>2.3</v>
      </c>
      <c r="H220" s="91" t="s">
        <v>622</v>
      </c>
    </row>
    <row r="221" spans="1:8" s="87" customFormat="1" ht="12.75" hidden="1">
      <c r="A221" s="88" t="s">
        <v>706</v>
      </c>
      <c r="B221" s="88" t="s">
        <v>60</v>
      </c>
      <c r="C221" s="88" t="s">
        <v>323</v>
      </c>
      <c r="D221" s="89" t="s">
        <v>513</v>
      </c>
      <c r="E221" s="88" t="s">
        <v>609</v>
      </c>
      <c r="F221" s="92"/>
      <c r="G221" s="90">
        <v>0</v>
      </c>
      <c r="H221" s="91" t="s">
        <v>622</v>
      </c>
    </row>
    <row r="222" spans="1:8" s="87" customFormat="1" ht="12.75" hidden="1">
      <c r="A222" s="88" t="s">
        <v>707</v>
      </c>
      <c r="B222" s="88" t="s">
        <v>60</v>
      </c>
      <c r="C222" s="88" t="s">
        <v>1061</v>
      </c>
      <c r="D222" s="89" t="s">
        <v>514</v>
      </c>
      <c r="E222" s="88" t="s">
        <v>609</v>
      </c>
      <c r="F222" s="92"/>
      <c r="G222" s="90">
        <v>0</v>
      </c>
      <c r="H222" s="91" t="s">
        <v>622</v>
      </c>
    </row>
    <row r="223" spans="1:8" s="87" customFormat="1" ht="12.75">
      <c r="A223" s="88" t="s">
        <v>708</v>
      </c>
      <c r="B223" s="88" t="s">
        <v>60</v>
      </c>
      <c r="C223" s="88" t="s">
        <v>1062</v>
      </c>
      <c r="D223" s="89" t="s">
        <v>1375</v>
      </c>
      <c r="E223" s="88" t="s">
        <v>609</v>
      </c>
      <c r="F223" s="92"/>
      <c r="G223" s="90">
        <v>12</v>
      </c>
      <c r="H223" s="91" t="s">
        <v>622</v>
      </c>
    </row>
    <row r="224" spans="1:8" s="87" customFormat="1" ht="12.75">
      <c r="A224" s="88" t="s">
        <v>709</v>
      </c>
      <c r="B224" s="88" t="s">
        <v>60</v>
      </c>
      <c r="C224" s="88" t="s">
        <v>1063</v>
      </c>
      <c r="D224" s="89" t="s">
        <v>515</v>
      </c>
      <c r="E224" s="88" t="s">
        <v>609</v>
      </c>
      <c r="F224" s="92"/>
      <c r="G224" s="90">
        <v>14.2</v>
      </c>
      <c r="H224" s="91" t="s">
        <v>622</v>
      </c>
    </row>
    <row r="225" spans="1:8" s="87" customFormat="1" ht="12.75">
      <c r="A225" s="88" t="s">
        <v>710</v>
      </c>
      <c r="B225" s="88" t="s">
        <v>60</v>
      </c>
      <c r="C225" s="88" t="s">
        <v>1064</v>
      </c>
      <c r="D225" s="89" t="s">
        <v>516</v>
      </c>
      <c r="E225" s="88" t="s">
        <v>609</v>
      </c>
      <c r="F225" s="92"/>
      <c r="G225" s="90">
        <v>105.9</v>
      </c>
      <c r="H225" s="91" t="s">
        <v>622</v>
      </c>
    </row>
    <row r="226" spans="1:8" s="87" customFormat="1" ht="12.75">
      <c r="A226" s="88" t="s">
        <v>711</v>
      </c>
      <c r="B226" s="88" t="s">
        <v>60</v>
      </c>
      <c r="C226" s="88" t="s">
        <v>1065</v>
      </c>
      <c r="D226" s="89" t="s">
        <v>1376</v>
      </c>
      <c r="E226" s="88" t="s">
        <v>609</v>
      </c>
      <c r="F226" s="92"/>
      <c r="G226" s="90">
        <v>33.6</v>
      </c>
      <c r="H226" s="91" t="s">
        <v>622</v>
      </c>
    </row>
    <row r="227" spans="1:8" s="87" customFormat="1" ht="12.75">
      <c r="A227" s="88" t="s">
        <v>712</v>
      </c>
      <c r="B227" s="88" t="s">
        <v>60</v>
      </c>
      <c r="C227" s="88" t="s">
        <v>1066</v>
      </c>
      <c r="D227" s="89" t="s">
        <v>1377</v>
      </c>
      <c r="E227" s="88" t="s">
        <v>609</v>
      </c>
      <c r="F227" s="92"/>
      <c r="G227" s="90">
        <v>14.7</v>
      </c>
      <c r="H227" s="91" t="s">
        <v>622</v>
      </c>
    </row>
    <row r="228" spans="1:8" s="87" customFormat="1" ht="12.75">
      <c r="A228" s="88" t="s">
        <v>713</v>
      </c>
      <c r="B228" s="88" t="s">
        <v>60</v>
      </c>
      <c r="C228" s="88" t="s">
        <v>1067</v>
      </c>
      <c r="D228" s="89" t="s">
        <v>1378</v>
      </c>
      <c r="E228" s="88" t="s">
        <v>609</v>
      </c>
      <c r="F228" s="92"/>
      <c r="G228" s="90">
        <v>24.1</v>
      </c>
      <c r="H228" s="91" t="s">
        <v>622</v>
      </c>
    </row>
    <row r="229" spans="1:8" s="87" customFormat="1" ht="12.75">
      <c r="A229" s="88" t="s">
        <v>714</v>
      </c>
      <c r="B229" s="88" t="s">
        <v>60</v>
      </c>
      <c r="C229" s="88" t="s">
        <v>324</v>
      </c>
      <c r="D229" s="89" t="s">
        <v>1379</v>
      </c>
      <c r="E229" s="88" t="s">
        <v>606</v>
      </c>
      <c r="F229" s="92"/>
      <c r="G229" s="90">
        <v>2</v>
      </c>
      <c r="H229" s="91" t="s">
        <v>622</v>
      </c>
    </row>
    <row r="230" spans="1:8" s="87" customFormat="1" ht="12.75" hidden="1">
      <c r="A230" s="88" t="s">
        <v>715</v>
      </c>
      <c r="B230" s="88" t="s">
        <v>60</v>
      </c>
      <c r="C230" s="88" t="s">
        <v>325</v>
      </c>
      <c r="D230" s="89" t="s">
        <v>1380</v>
      </c>
      <c r="E230" s="88" t="s">
        <v>606</v>
      </c>
      <c r="F230" s="92"/>
      <c r="G230" s="90">
        <v>0</v>
      </c>
      <c r="H230" s="91" t="s">
        <v>622</v>
      </c>
    </row>
    <row r="231" spans="1:8" s="87" customFormat="1" ht="12.75" hidden="1">
      <c r="A231" s="88" t="s">
        <v>716</v>
      </c>
      <c r="B231" s="88" t="s">
        <v>60</v>
      </c>
      <c r="C231" s="88" t="s">
        <v>326</v>
      </c>
      <c r="D231" s="89" t="s">
        <v>1381</v>
      </c>
      <c r="E231" s="88" t="s">
        <v>606</v>
      </c>
      <c r="F231" s="92"/>
      <c r="G231" s="90">
        <v>0</v>
      </c>
      <c r="H231" s="91" t="s">
        <v>622</v>
      </c>
    </row>
    <row r="232" spans="1:8" s="87" customFormat="1" ht="12.75">
      <c r="A232" s="88" t="s">
        <v>717</v>
      </c>
      <c r="B232" s="88" t="s">
        <v>60</v>
      </c>
      <c r="C232" s="88" t="s">
        <v>327</v>
      </c>
      <c r="D232" s="89" t="s">
        <v>1382</v>
      </c>
      <c r="E232" s="88" t="s">
        <v>606</v>
      </c>
      <c r="F232" s="92"/>
      <c r="G232" s="90">
        <v>1</v>
      </c>
      <c r="H232" s="91" t="s">
        <v>622</v>
      </c>
    </row>
    <row r="233" spans="1:8" s="87" customFormat="1" ht="12.75">
      <c r="A233" s="88" t="s">
        <v>718</v>
      </c>
      <c r="B233" s="88" t="s">
        <v>60</v>
      </c>
      <c r="C233" s="88" t="s">
        <v>1068</v>
      </c>
      <c r="D233" s="89" t="s">
        <v>1383</v>
      </c>
      <c r="E233" s="88" t="s">
        <v>606</v>
      </c>
      <c r="F233" s="92"/>
      <c r="G233" s="90">
        <v>1</v>
      </c>
      <c r="H233" s="91" t="s">
        <v>622</v>
      </c>
    </row>
    <row r="234" spans="1:8" s="87" customFormat="1" ht="12.75" hidden="1">
      <c r="A234" s="88" t="s">
        <v>719</v>
      </c>
      <c r="B234" s="88" t="s">
        <v>60</v>
      </c>
      <c r="C234" s="88" t="s">
        <v>1069</v>
      </c>
      <c r="D234" s="89" t="s">
        <v>1384</v>
      </c>
      <c r="E234" s="88" t="s">
        <v>606</v>
      </c>
      <c r="F234" s="92"/>
      <c r="G234" s="90">
        <v>0</v>
      </c>
      <c r="H234" s="91" t="s">
        <v>622</v>
      </c>
    </row>
    <row r="235" spans="1:8" s="87" customFormat="1" ht="12.75" hidden="1">
      <c r="A235" s="88" t="s">
        <v>720</v>
      </c>
      <c r="B235" s="88" t="s">
        <v>60</v>
      </c>
      <c r="C235" s="88" t="s">
        <v>1070</v>
      </c>
      <c r="D235" s="89" t="s">
        <v>1385</v>
      </c>
      <c r="E235" s="88" t="s">
        <v>606</v>
      </c>
      <c r="F235" s="92"/>
      <c r="G235" s="90">
        <v>0</v>
      </c>
      <c r="H235" s="91" t="s">
        <v>622</v>
      </c>
    </row>
    <row r="236" spans="1:8" s="87" customFormat="1" ht="12.75">
      <c r="A236" s="88" t="s">
        <v>721</v>
      </c>
      <c r="B236" s="88" t="s">
        <v>60</v>
      </c>
      <c r="C236" s="88" t="s">
        <v>1071</v>
      </c>
      <c r="D236" s="89" t="s">
        <v>1386</v>
      </c>
      <c r="E236" s="88" t="s">
        <v>606</v>
      </c>
      <c r="F236" s="92"/>
      <c r="G236" s="90">
        <v>2</v>
      </c>
      <c r="H236" s="91" t="s">
        <v>622</v>
      </c>
    </row>
    <row r="237" spans="1:8" s="87" customFormat="1" ht="12.75" hidden="1">
      <c r="A237" s="88" t="s">
        <v>722</v>
      </c>
      <c r="B237" s="88" t="s">
        <v>60</v>
      </c>
      <c r="C237" s="88" t="s">
        <v>1072</v>
      </c>
      <c r="D237" s="89" t="s">
        <v>1387</v>
      </c>
      <c r="E237" s="88" t="s">
        <v>606</v>
      </c>
      <c r="F237" s="92"/>
      <c r="G237" s="90">
        <v>0</v>
      </c>
      <c r="H237" s="91" t="s">
        <v>622</v>
      </c>
    </row>
    <row r="238" spans="1:8" s="87" customFormat="1" ht="12.75" hidden="1">
      <c r="A238" s="88" t="s">
        <v>723</v>
      </c>
      <c r="B238" s="88" t="s">
        <v>60</v>
      </c>
      <c r="C238" s="88" t="s">
        <v>1073</v>
      </c>
      <c r="D238" s="89" t="s">
        <v>1388</v>
      </c>
      <c r="E238" s="88" t="s">
        <v>606</v>
      </c>
      <c r="F238" s="92"/>
      <c r="G238" s="90">
        <v>0</v>
      </c>
      <c r="H238" s="91" t="s">
        <v>622</v>
      </c>
    </row>
    <row r="239" spans="1:8" s="87" customFormat="1" ht="12.75" hidden="1">
      <c r="A239" s="88" t="s">
        <v>724</v>
      </c>
      <c r="B239" s="88" t="s">
        <v>60</v>
      </c>
      <c r="C239" s="88" t="s">
        <v>1074</v>
      </c>
      <c r="D239" s="89" t="s">
        <v>1389</v>
      </c>
      <c r="E239" s="88" t="s">
        <v>606</v>
      </c>
      <c r="F239" s="92"/>
      <c r="G239" s="90">
        <v>0</v>
      </c>
      <c r="H239" s="91" t="s">
        <v>622</v>
      </c>
    </row>
    <row r="240" spans="1:8" s="87" customFormat="1" ht="12.75" hidden="1">
      <c r="A240" s="88" t="s">
        <v>725</v>
      </c>
      <c r="B240" s="88" t="s">
        <v>60</v>
      </c>
      <c r="C240" s="88" t="s">
        <v>1075</v>
      </c>
      <c r="D240" s="89" t="s">
        <v>1390</v>
      </c>
      <c r="E240" s="88" t="s">
        <v>606</v>
      </c>
      <c r="F240" s="92"/>
      <c r="G240" s="90">
        <v>0</v>
      </c>
      <c r="H240" s="91" t="s">
        <v>622</v>
      </c>
    </row>
    <row r="241" spans="1:8" s="87" customFormat="1" ht="12.75">
      <c r="A241" s="88" t="s">
        <v>726</v>
      </c>
      <c r="B241" s="88" t="s">
        <v>60</v>
      </c>
      <c r="C241" s="88" t="s">
        <v>1076</v>
      </c>
      <c r="D241" s="89" t="s">
        <v>1391</v>
      </c>
      <c r="E241" s="88" t="s">
        <v>606</v>
      </c>
      <c r="F241" s="92"/>
      <c r="G241" s="90">
        <v>1</v>
      </c>
      <c r="H241" s="91" t="s">
        <v>622</v>
      </c>
    </row>
    <row r="242" spans="1:8" s="87" customFormat="1" ht="12.75">
      <c r="A242" s="88" t="s">
        <v>727</v>
      </c>
      <c r="B242" s="88" t="s">
        <v>60</v>
      </c>
      <c r="C242" s="88" t="s">
        <v>1077</v>
      </c>
      <c r="D242" s="89" t="s">
        <v>517</v>
      </c>
      <c r="E242" s="88" t="s">
        <v>606</v>
      </c>
      <c r="F242" s="92"/>
      <c r="G242" s="90">
        <v>2</v>
      </c>
      <c r="H242" s="91" t="s">
        <v>622</v>
      </c>
    </row>
    <row r="243" spans="1:8" s="87" customFormat="1" ht="12.75">
      <c r="A243" s="88" t="s">
        <v>728</v>
      </c>
      <c r="B243" s="88" t="s">
        <v>60</v>
      </c>
      <c r="C243" s="88" t="s">
        <v>1078</v>
      </c>
      <c r="D243" s="89" t="s">
        <v>1392</v>
      </c>
      <c r="E243" s="88" t="s">
        <v>606</v>
      </c>
      <c r="F243" s="92"/>
      <c r="G243" s="90">
        <v>2</v>
      </c>
      <c r="H243" s="91" t="s">
        <v>622</v>
      </c>
    </row>
    <row r="244" spans="1:8" s="87" customFormat="1" ht="12.75" hidden="1">
      <c r="A244" s="88" t="s">
        <v>729</v>
      </c>
      <c r="B244" s="88" t="s">
        <v>60</v>
      </c>
      <c r="C244" s="88" t="s">
        <v>1079</v>
      </c>
      <c r="D244" s="89" t="s">
        <v>1393</v>
      </c>
      <c r="E244" s="88" t="s">
        <v>606</v>
      </c>
      <c r="F244" s="92"/>
      <c r="G244" s="90">
        <v>0</v>
      </c>
      <c r="H244" s="91" t="s">
        <v>622</v>
      </c>
    </row>
    <row r="245" spans="1:8" s="87" customFormat="1" ht="12.75" hidden="1">
      <c r="A245" s="88" t="s">
        <v>730</v>
      </c>
      <c r="B245" s="88" t="s">
        <v>60</v>
      </c>
      <c r="C245" s="88" t="s">
        <v>1080</v>
      </c>
      <c r="D245" s="89" t="s">
        <v>1394</v>
      </c>
      <c r="E245" s="88" t="s">
        <v>606</v>
      </c>
      <c r="F245" s="92"/>
      <c r="G245" s="90">
        <v>0</v>
      </c>
      <c r="H245" s="91" t="s">
        <v>622</v>
      </c>
    </row>
    <row r="246" spans="1:8" s="87" customFormat="1" ht="12.75">
      <c r="A246" s="88" t="s">
        <v>731</v>
      </c>
      <c r="B246" s="88" t="s">
        <v>60</v>
      </c>
      <c r="C246" s="88" t="s">
        <v>1081</v>
      </c>
      <c r="D246" s="89" t="s">
        <v>518</v>
      </c>
      <c r="E246" s="88" t="s">
        <v>606</v>
      </c>
      <c r="F246" s="92"/>
      <c r="G246" s="90">
        <v>11</v>
      </c>
      <c r="H246" s="91" t="s">
        <v>622</v>
      </c>
    </row>
    <row r="247" spans="1:8" s="87" customFormat="1" ht="12.75">
      <c r="A247" s="88" t="s">
        <v>732</v>
      </c>
      <c r="B247" s="88" t="s">
        <v>60</v>
      </c>
      <c r="C247" s="88" t="s">
        <v>1082</v>
      </c>
      <c r="D247" s="89" t="s">
        <v>1395</v>
      </c>
      <c r="E247" s="88" t="s">
        <v>606</v>
      </c>
      <c r="F247" s="92"/>
      <c r="G247" s="90">
        <v>11</v>
      </c>
      <c r="H247" s="91" t="s">
        <v>622</v>
      </c>
    </row>
    <row r="248" spans="1:8" s="87" customFormat="1" ht="12.75" hidden="1">
      <c r="A248" s="88" t="s">
        <v>733</v>
      </c>
      <c r="B248" s="88" t="s">
        <v>60</v>
      </c>
      <c r="C248" s="88" t="s">
        <v>1083</v>
      </c>
      <c r="D248" s="89" t="s">
        <v>1396</v>
      </c>
      <c r="E248" s="88" t="s">
        <v>606</v>
      </c>
      <c r="F248" s="92"/>
      <c r="G248" s="90">
        <v>0</v>
      </c>
      <c r="H248" s="91" t="s">
        <v>622</v>
      </c>
    </row>
    <row r="249" spans="1:8" s="87" customFormat="1" ht="12.75" hidden="1">
      <c r="A249" s="88" t="s">
        <v>734</v>
      </c>
      <c r="B249" s="88" t="s">
        <v>60</v>
      </c>
      <c r="C249" s="88" t="s">
        <v>1084</v>
      </c>
      <c r="D249" s="89" t="s">
        <v>1397</v>
      </c>
      <c r="E249" s="88" t="s">
        <v>606</v>
      </c>
      <c r="F249" s="92"/>
      <c r="G249" s="90">
        <v>0</v>
      </c>
      <c r="H249" s="91" t="s">
        <v>622</v>
      </c>
    </row>
    <row r="250" spans="1:8" s="87" customFormat="1" ht="12.75">
      <c r="A250" s="88" t="s">
        <v>735</v>
      </c>
      <c r="B250" s="88" t="s">
        <v>60</v>
      </c>
      <c r="C250" s="88" t="s">
        <v>1085</v>
      </c>
      <c r="D250" s="89" t="s">
        <v>520</v>
      </c>
      <c r="E250" s="88" t="s">
        <v>606</v>
      </c>
      <c r="F250" s="92"/>
      <c r="G250" s="90">
        <v>11</v>
      </c>
      <c r="H250" s="91" t="s">
        <v>622</v>
      </c>
    </row>
    <row r="251" spans="1:8" s="87" customFormat="1" ht="12.75">
      <c r="A251" s="88" t="s">
        <v>736</v>
      </c>
      <c r="B251" s="88" t="s">
        <v>60</v>
      </c>
      <c r="C251" s="88" t="s">
        <v>1086</v>
      </c>
      <c r="D251" s="89" t="s">
        <v>1398</v>
      </c>
      <c r="E251" s="88" t="s">
        <v>606</v>
      </c>
      <c r="F251" s="92"/>
      <c r="G251" s="90">
        <v>11</v>
      </c>
      <c r="H251" s="91" t="s">
        <v>622</v>
      </c>
    </row>
    <row r="252" spans="1:8" s="87" customFormat="1" ht="12.75">
      <c r="A252" s="88" t="s">
        <v>737</v>
      </c>
      <c r="B252" s="88" t="s">
        <v>60</v>
      </c>
      <c r="C252" s="88" t="s">
        <v>1087</v>
      </c>
      <c r="D252" s="89" t="s">
        <v>522</v>
      </c>
      <c r="E252" s="88" t="s">
        <v>606</v>
      </c>
      <c r="F252" s="92"/>
      <c r="G252" s="90">
        <v>11</v>
      </c>
      <c r="H252" s="91" t="s">
        <v>622</v>
      </c>
    </row>
    <row r="253" spans="1:8" s="87" customFormat="1" ht="12.75">
      <c r="A253" s="88" t="s">
        <v>738</v>
      </c>
      <c r="B253" s="88" t="s">
        <v>60</v>
      </c>
      <c r="C253" s="88" t="s">
        <v>1088</v>
      </c>
      <c r="D253" s="89" t="s">
        <v>523</v>
      </c>
      <c r="E253" s="88" t="s">
        <v>606</v>
      </c>
      <c r="F253" s="92"/>
      <c r="G253" s="90">
        <v>11</v>
      </c>
      <c r="H253" s="91" t="s">
        <v>622</v>
      </c>
    </row>
    <row r="254" spans="1:8" s="87" customFormat="1" ht="12.75">
      <c r="A254" s="88" t="s">
        <v>739</v>
      </c>
      <c r="B254" s="88" t="s">
        <v>60</v>
      </c>
      <c r="C254" s="88" t="s">
        <v>328</v>
      </c>
      <c r="D254" s="89" t="s">
        <v>524</v>
      </c>
      <c r="E254" s="88" t="s">
        <v>606</v>
      </c>
      <c r="F254" s="92"/>
      <c r="G254" s="90">
        <v>4</v>
      </c>
      <c r="H254" s="91" t="s">
        <v>622</v>
      </c>
    </row>
    <row r="255" spans="1:8" s="87" customFormat="1" ht="12.75">
      <c r="A255" s="88" t="s">
        <v>740</v>
      </c>
      <c r="B255" s="88" t="s">
        <v>60</v>
      </c>
      <c r="C255" s="88" t="s">
        <v>329</v>
      </c>
      <c r="D255" s="89" t="s">
        <v>525</v>
      </c>
      <c r="E255" s="88" t="s">
        <v>606</v>
      </c>
      <c r="F255" s="92"/>
      <c r="G255" s="90">
        <v>4</v>
      </c>
      <c r="H255" s="91" t="s">
        <v>622</v>
      </c>
    </row>
    <row r="256" spans="1:8" s="87" customFormat="1" ht="12.75">
      <c r="A256" s="88" t="s">
        <v>741</v>
      </c>
      <c r="B256" s="88" t="s">
        <v>60</v>
      </c>
      <c r="C256" s="88" t="s">
        <v>330</v>
      </c>
      <c r="D256" s="89" t="s">
        <v>526</v>
      </c>
      <c r="E256" s="88" t="s">
        <v>606</v>
      </c>
      <c r="F256" s="92"/>
      <c r="G256" s="90">
        <v>4</v>
      </c>
      <c r="H256" s="91" t="s">
        <v>622</v>
      </c>
    </row>
    <row r="257" spans="1:8" s="87" customFormat="1" ht="12.75">
      <c r="A257" s="88" t="s">
        <v>742</v>
      </c>
      <c r="B257" s="88" t="s">
        <v>60</v>
      </c>
      <c r="C257" s="88" t="s">
        <v>331</v>
      </c>
      <c r="D257" s="89" t="s">
        <v>527</v>
      </c>
      <c r="E257" s="88" t="s">
        <v>606</v>
      </c>
      <c r="F257" s="92"/>
      <c r="G257" s="90">
        <v>4</v>
      </c>
      <c r="H257" s="91" t="s">
        <v>622</v>
      </c>
    </row>
    <row r="258" spans="1:8" s="87" customFormat="1" ht="12.75">
      <c r="A258" s="88" t="s">
        <v>743</v>
      </c>
      <c r="B258" s="88" t="s">
        <v>60</v>
      </c>
      <c r="C258" s="88" t="s">
        <v>332</v>
      </c>
      <c r="D258" s="89" t="s">
        <v>528</v>
      </c>
      <c r="E258" s="88" t="s">
        <v>606</v>
      </c>
      <c r="F258" s="92"/>
      <c r="G258" s="90">
        <v>2</v>
      </c>
      <c r="H258" s="91" t="s">
        <v>622</v>
      </c>
    </row>
    <row r="259" spans="1:8" s="87" customFormat="1" ht="12.75">
      <c r="A259" s="88" t="s">
        <v>744</v>
      </c>
      <c r="B259" s="88" t="s">
        <v>60</v>
      </c>
      <c r="C259" s="88" t="s">
        <v>335</v>
      </c>
      <c r="D259" s="89" t="s">
        <v>530</v>
      </c>
      <c r="E259" s="88" t="s">
        <v>611</v>
      </c>
      <c r="F259" s="92"/>
      <c r="G259" s="90">
        <v>10</v>
      </c>
      <c r="H259" s="91" t="s">
        <v>622</v>
      </c>
    </row>
    <row r="260" spans="1:8" s="87" customFormat="1" ht="12.75">
      <c r="A260" s="88" t="s">
        <v>745</v>
      </c>
      <c r="B260" s="88" t="s">
        <v>60</v>
      </c>
      <c r="C260" s="88" t="s">
        <v>336</v>
      </c>
      <c r="D260" s="89" t="s">
        <v>531</v>
      </c>
      <c r="E260" s="88" t="s">
        <v>611</v>
      </c>
      <c r="F260" s="92"/>
      <c r="G260" s="90">
        <v>15</v>
      </c>
      <c r="H260" s="91" t="s">
        <v>622</v>
      </c>
    </row>
    <row r="261" spans="1:8" s="87" customFormat="1" ht="12.75">
      <c r="A261" s="88" t="s">
        <v>746</v>
      </c>
      <c r="B261" s="88" t="s">
        <v>60</v>
      </c>
      <c r="C261" s="88" t="s">
        <v>337</v>
      </c>
      <c r="D261" s="89" t="s">
        <v>532</v>
      </c>
      <c r="E261" s="88" t="s">
        <v>606</v>
      </c>
      <c r="F261" s="92"/>
      <c r="G261" s="90">
        <v>1</v>
      </c>
      <c r="H261" s="91" t="s">
        <v>622</v>
      </c>
    </row>
    <row r="262" spans="1:8" s="87" customFormat="1" ht="12.75">
      <c r="A262" s="88" t="s">
        <v>747</v>
      </c>
      <c r="B262" s="88" t="s">
        <v>60</v>
      </c>
      <c r="C262" s="88" t="s">
        <v>340</v>
      </c>
      <c r="D262" s="89" t="s">
        <v>529</v>
      </c>
      <c r="E262" s="88" t="s">
        <v>609</v>
      </c>
      <c r="F262" s="92"/>
      <c r="G262" s="90">
        <v>2.3</v>
      </c>
      <c r="H262" s="91" t="s">
        <v>622</v>
      </c>
    </row>
    <row r="263" spans="1:8" s="87" customFormat="1" ht="25.5">
      <c r="A263" s="88" t="s">
        <v>748</v>
      </c>
      <c r="B263" s="88" t="s">
        <v>60</v>
      </c>
      <c r="C263" s="88" t="s">
        <v>341</v>
      </c>
      <c r="D263" s="89" t="s">
        <v>533</v>
      </c>
      <c r="E263" s="88" t="s">
        <v>606</v>
      </c>
      <c r="F263" s="92"/>
      <c r="G263" s="90">
        <v>1</v>
      </c>
      <c r="H263" s="91" t="s">
        <v>622</v>
      </c>
    </row>
    <row r="264" spans="1:8" s="87" customFormat="1" ht="25.5">
      <c r="A264" s="88" t="s">
        <v>749</v>
      </c>
      <c r="B264" s="88" t="s">
        <v>60</v>
      </c>
      <c r="C264" s="88" t="s">
        <v>342</v>
      </c>
      <c r="D264" s="89" t="s">
        <v>534</v>
      </c>
      <c r="E264" s="88" t="s">
        <v>606</v>
      </c>
      <c r="F264" s="92"/>
      <c r="G264" s="90">
        <v>4</v>
      </c>
      <c r="H264" s="91" t="s">
        <v>622</v>
      </c>
    </row>
    <row r="265" spans="1:8" s="87" customFormat="1" ht="12.75">
      <c r="A265" s="88" t="s">
        <v>750</v>
      </c>
      <c r="B265" s="88" t="s">
        <v>60</v>
      </c>
      <c r="C265" s="88" t="s">
        <v>343</v>
      </c>
      <c r="D265" s="89" t="s">
        <v>535</v>
      </c>
      <c r="E265" s="88" t="s">
        <v>606</v>
      </c>
      <c r="F265" s="92"/>
      <c r="G265" s="90">
        <v>1</v>
      </c>
      <c r="H265" s="91" t="s">
        <v>622</v>
      </c>
    </row>
    <row r="266" spans="1:8" s="87" customFormat="1" ht="12.75">
      <c r="A266" s="88" t="s">
        <v>751</v>
      </c>
      <c r="B266" s="88" t="s">
        <v>60</v>
      </c>
      <c r="C266" s="88" t="s">
        <v>344</v>
      </c>
      <c r="D266" s="89" t="s">
        <v>536</v>
      </c>
      <c r="E266" s="88" t="s">
        <v>606</v>
      </c>
      <c r="F266" s="92"/>
      <c r="G266" s="90">
        <v>1</v>
      </c>
      <c r="H266" s="91" t="s">
        <v>622</v>
      </c>
    </row>
    <row r="267" spans="1:8" s="87" customFormat="1" ht="12.75">
      <c r="A267" s="88" t="s">
        <v>752</v>
      </c>
      <c r="B267" s="88" t="s">
        <v>60</v>
      </c>
      <c r="C267" s="88" t="s">
        <v>345</v>
      </c>
      <c r="D267" s="89" t="s">
        <v>537</v>
      </c>
      <c r="E267" s="88" t="s">
        <v>606</v>
      </c>
      <c r="F267" s="92"/>
      <c r="G267" s="90">
        <v>1</v>
      </c>
      <c r="H267" s="91" t="s">
        <v>622</v>
      </c>
    </row>
    <row r="268" spans="1:8" s="87" customFormat="1" ht="12.75">
      <c r="A268" s="88" t="s">
        <v>753</v>
      </c>
      <c r="B268" s="88" t="s">
        <v>60</v>
      </c>
      <c r="C268" s="88" t="s">
        <v>346</v>
      </c>
      <c r="D268" s="89" t="s">
        <v>538</v>
      </c>
      <c r="E268" s="88" t="s">
        <v>606</v>
      </c>
      <c r="F268" s="92"/>
      <c r="G268" s="90">
        <v>2</v>
      </c>
      <c r="H268" s="91" t="s">
        <v>622</v>
      </c>
    </row>
    <row r="269" spans="1:8" s="87" customFormat="1" ht="12.75">
      <c r="A269" s="88" t="s">
        <v>754</v>
      </c>
      <c r="B269" s="88" t="s">
        <v>60</v>
      </c>
      <c r="C269" s="88" t="s">
        <v>1089</v>
      </c>
      <c r="D269" s="89" t="s">
        <v>541</v>
      </c>
      <c r="E269" s="88" t="s">
        <v>606</v>
      </c>
      <c r="F269" s="92"/>
      <c r="G269" s="90">
        <v>2</v>
      </c>
      <c r="H269" s="91" t="s">
        <v>622</v>
      </c>
    </row>
    <row r="270" spans="1:8" s="87" customFormat="1" ht="12.75">
      <c r="A270" s="88" t="s">
        <v>755</v>
      </c>
      <c r="B270" s="88" t="s">
        <v>60</v>
      </c>
      <c r="C270" s="88" t="s">
        <v>1090</v>
      </c>
      <c r="D270" s="89" t="s">
        <v>539</v>
      </c>
      <c r="E270" s="88" t="s">
        <v>606</v>
      </c>
      <c r="F270" s="92"/>
      <c r="G270" s="90">
        <v>2</v>
      </c>
      <c r="H270" s="91" t="s">
        <v>622</v>
      </c>
    </row>
    <row r="271" spans="1:8" s="87" customFormat="1" ht="12.75">
      <c r="A271" s="88" t="s">
        <v>756</v>
      </c>
      <c r="B271" s="88" t="s">
        <v>60</v>
      </c>
      <c r="C271" s="88" t="s">
        <v>1091</v>
      </c>
      <c r="D271" s="89" t="s">
        <v>1399</v>
      </c>
      <c r="E271" s="88" t="s">
        <v>606</v>
      </c>
      <c r="F271" s="92"/>
      <c r="G271" s="90">
        <v>4</v>
      </c>
      <c r="H271" s="91" t="s">
        <v>622</v>
      </c>
    </row>
    <row r="272" spans="1:8" s="87" customFormat="1" ht="12.75">
      <c r="A272" s="88" t="s">
        <v>757</v>
      </c>
      <c r="B272" s="88" t="s">
        <v>60</v>
      </c>
      <c r="C272" s="88" t="s">
        <v>1092</v>
      </c>
      <c r="D272" s="89" t="s">
        <v>540</v>
      </c>
      <c r="E272" s="88" t="s">
        <v>606</v>
      </c>
      <c r="F272" s="92"/>
      <c r="G272" s="90">
        <v>1</v>
      </c>
      <c r="H272" s="91" t="s">
        <v>622</v>
      </c>
    </row>
    <row r="273" spans="1:8" s="87" customFormat="1" ht="12.75">
      <c r="A273" s="88" t="s">
        <v>758</v>
      </c>
      <c r="B273" s="88" t="s">
        <v>60</v>
      </c>
      <c r="C273" s="88" t="s">
        <v>1093</v>
      </c>
      <c r="D273" s="89" t="s">
        <v>501</v>
      </c>
      <c r="E273" s="88" t="s">
        <v>611</v>
      </c>
      <c r="F273" s="92"/>
      <c r="G273" s="90">
        <v>20</v>
      </c>
      <c r="H273" s="91" t="s">
        <v>622</v>
      </c>
    </row>
    <row r="274" spans="1:8" s="87" customFormat="1" ht="12.75">
      <c r="A274" s="88" t="s">
        <v>759</v>
      </c>
      <c r="B274" s="88" t="s">
        <v>60</v>
      </c>
      <c r="C274" s="88" t="s">
        <v>1094</v>
      </c>
      <c r="D274" s="89" t="s">
        <v>502</v>
      </c>
      <c r="E274" s="88" t="s">
        <v>606</v>
      </c>
      <c r="F274" s="92"/>
      <c r="G274" s="90">
        <v>1</v>
      </c>
      <c r="H274" s="91" t="s">
        <v>622</v>
      </c>
    </row>
    <row r="275" spans="1:8" s="87" customFormat="1" ht="12.75">
      <c r="A275" s="88" t="s">
        <v>760</v>
      </c>
      <c r="B275" s="88" t="s">
        <v>60</v>
      </c>
      <c r="C275" s="88" t="s">
        <v>1095</v>
      </c>
      <c r="D275" s="89" t="s">
        <v>543</v>
      </c>
      <c r="E275" s="88" t="s">
        <v>606</v>
      </c>
      <c r="F275" s="92"/>
      <c r="G275" s="90">
        <v>1</v>
      </c>
      <c r="H275" s="91" t="s">
        <v>622</v>
      </c>
    </row>
    <row r="276" spans="1:8" s="87" customFormat="1" ht="12.75">
      <c r="A276" s="88" t="s">
        <v>761</v>
      </c>
      <c r="B276" s="88" t="s">
        <v>60</v>
      </c>
      <c r="C276" s="88" t="s">
        <v>1096</v>
      </c>
      <c r="D276" s="89" t="s">
        <v>490</v>
      </c>
      <c r="E276" s="88" t="s">
        <v>606</v>
      </c>
      <c r="F276" s="92"/>
      <c r="G276" s="90">
        <v>1</v>
      </c>
      <c r="H276" s="91" t="s">
        <v>622</v>
      </c>
    </row>
    <row r="277" spans="1:8" s="87" customFormat="1" ht="12.75">
      <c r="A277" s="88" t="s">
        <v>762</v>
      </c>
      <c r="B277" s="88" t="s">
        <v>60</v>
      </c>
      <c r="C277" s="88" t="s">
        <v>1097</v>
      </c>
      <c r="D277" s="89" t="s">
        <v>489</v>
      </c>
      <c r="E277" s="88" t="s">
        <v>606</v>
      </c>
      <c r="F277" s="92"/>
      <c r="G277" s="90">
        <v>1</v>
      </c>
      <c r="H277" s="91" t="s">
        <v>622</v>
      </c>
    </row>
    <row r="278" spans="1:8" s="87" customFormat="1" ht="12.75">
      <c r="A278" s="88" t="s">
        <v>763</v>
      </c>
      <c r="B278" s="88" t="s">
        <v>60</v>
      </c>
      <c r="C278" s="88" t="s">
        <v>1098</v>
      </c>
      <c r="D278" s="89" t="s">
        <v>492</v>
      </c>
      <c r="E278" s="88" t="s">
        <v>606</v>
      </c>
      <c r="F278" s="92"/>
      <c r="G278" s="90">
        <v>1</v>
      </c>
      <c r="H278" s="91" t="s">
        <v>622</v>
      </c>
    </row>
    <row r="279" spans="1:8" s="87" customFormat="1" ht="12.75">
      <c r="A279" s="88" t="s">
        <v>764</v>
      </c>
      <c r="B279" s="88" t="s">
        <v>60</v>
      </c>
      <c r="C279" s="88" t="s">
        <v>1099</v>
      </c>
      <c r="D279" s="89" t="s">
        <v>493</v>
      </c>
      <c r="E279" s="88" t="s">
        <v>606</v>
      </c>
      <c r="F279" s="92"/>
      <c r="G279" s="90">
        <v>1</v>
      </c>
      <c r="H279" s="91" t="s">
        <v>622</v>
      </c>
    </row>
    <row r="280" spans="1:8" s="87" customFormat="1" ht="12.75" hidden="1">
      <c r="A280" s="88" t="s">
        <v>765</v>
      </c>
      <c r="B280" s="88" t="s">
        <v>60</v>
      </c>
      <c r="C280" s="88" t="s">
        <v>1101</v>
      </c>
      <c r="D280" s="89" t="s">
        <v>1401</v>
      </c>
      <c r="E280" s="88" t="s">
        <v>606</v>
      </c>
      <c r="F280" s="92"/>
      <c r="G280" s="90">
        <v>0</v>
      </c>
      <c r="H280" s="91" t="s">
        <v>622</v>
      </c>
    </row>
    <row r="281" spans="1:8" s="87" customFormat="1" ht="12.75">
      <c r="A281" s="88" t="s">
        <v>766</v>
      </c>
      <c r="B281" s="88" t="s">
        <v>60</v>
      </c>
      <c r="C281" s="88" t="s">
        <v>1102</v>
      </c>
      <c r="D281" s="89" t="s">
        <v>1403</v>
      </c>
      <c r="E281" s="88" t="s">
        <v>606</v>
      </c>
      <c r="F281" s="89" t="s">
        <v>2193</v>
      </c>
      <c r="G281" s="90">
        <v>8</v>
      </c>
      <c r="H281" s="91" t="s">
        <v>622</v>
      </c>
    </row>
    <row r="282" spans="1:8" s="87" customFormat="1" ht="12.75">
      <c r="A282" s="88" t="s">
        <v>767</v>
      </c>
      <c r="B282" s="88" t="s">
        <v>60</v>
      </c>
      <c r="C282" s="88" t="s">
        <v>1103</v>
      </c>
      <c r="D282" s="89" t="s">
        <v>1405</v>
      </c>
      <c r="E282" s="88" t="s">
        <v>606</v>
      </c>
      <c r="F282" s="89" t="s">
        <v>79</v>
      </c>
      <c r="G282" s="90">
        <v>1</v>
      </c>
      <c r="H282" s="91" t="s">
        <v>622</v>
      </c>
    </row>
    <row r="283" spans="1:8" s="87" customFormat="1" ht="12.75">
      <c r="A283" s="88" t="s">
        <v>768</v>
      </c>
      <c r="B283" s="88" t="s">
        <v>60</v>
      </c>
      <c r="C283" s="88" t="s">
        <v>1104</v>
      </c>
      <c r="D283" s="89" t="s">
        <v>1406</v>
      </c>
      <c r="E283" s="88" t="s">
        <v>606</v>
      </c>
      <c r="F283" s="89" t="s">
        <v>80</v>
      </c>
      <c r="G283" s="90">
        <v>2</v>
      </c>
      <c r="H283" s="91" t="s">
        <v>622</v>
      </c>
    </row>
    <row r="284" spans="1:8" s="87" customFormat="1" ht="12.75">
      <c r="A284" s="88" t="s">
        <v>769</v>
      </c>
      <c r="B284" s="88" t="s">
        <v>60</v>
      </c>
      <c r="C284" s="88" t="s">
        <v>1105</v>
      </c>
      <c r="D284" s="89" t="s">
        <v>1407</v>
      </c>
      <c r="E284" s="88" t="s">
        <v>606</v>
      </c>
      <c r="F284" s="89">
        <v>1</v>
      </c>
      <c r="G284" s="90">
        <v>1</v>
      </c>
      <c r="H284" s="91" t="s">
        <v>622</v>
      </c>
    </row>
    <row r="285" spans="1:8" s="87" customFormat="1" ht="12.75">
      <c r="A285" s="88" t="s">
        <v>770</v>
      </c>
      <c r="B285" s="88" t="s">
        <v>60</v>
      </c>
      <c r="C285" s="88" t="s">
        <v>1106</v>
      </c>
      <c r="D285" s="89" t="s">
        <v>1409</v>
      </c>
      <c r="E285" s="88" t="s">
        <v>606</v>
      </c>
      <c r="F285" s="89">
        <v>0</v>
      </c>
      <c r="G285" s="90">
        <v>0</v>
      </c>
      <c r="H285" s="91" t="s">
        <v>622</v>
      </c>
    </row>
    <row r="286" spans="1:8" s="87" customFormat="1" ht="12.75">
      <c r="A286" s="88" t="s">
        <v>771</v>
      </c>
      <c r="B286" s="88" t="s">
        <v>60</v>
      </c>
      <c r="C286" s="88" t="s">
        <v>1107</v>
      </c>
      <c r="D286" s="89" t="s">
        <v>1410</v>
      </c>
      <c r="E286" s="88" t="s">
        <v>612</v>
      </c>
      <c r="F286" s="92"/>
      <c r="G286" s="90">
        <v>0.75</v>
      </c>
      <c r="H286" s="91" t="s">
        <v>622</v>
      </c>
    </row>
    <row r="287" spans="1:8" s="87" customFormat="1" ht="12.75" hidden="1">
      <c r="A287" s="88" t="s">
        <v>772</v>
      </c>
      <c r="B287" s="88" t="s">
        <v>60</v>
      </c>
      <c r="C287" s="88" t="s">
        <v>362</v>
      </c>
      <c r="D287" s="89" t="s">
        <v>545</v>
      </c>
      <c r="E287" s="88" t="s">
        <v>606</v>
      </c>
      <c r="F287" s="92"/>
      <c r="G287" s="90">
        <v>0</v>
      </c>
      <c r="H287" s="91" t="s">
        <v>622</v>
      </c>
    </row>
    <row r="288" spans="1:8" s="87" customFormat="1" ht="12.75" hidden="1">
      <c r="A288" s="88" t="s">
        <v>773</v>
      </c>
      <c r="B288" s="88" t="s">
        <v>60</v>
      </c>
      <c r="C288" s="88" t="s">
        <v>364</v>
      </c>
      <c r="D288" s="89" t="s">
        <v>548</v>
      </c>
      <c r="E288" s="88" t="s">
        <v>606</v>
      </c>
      <c r="F288" s="92"/>
      <c r="G288" s="90">
        <v>0</v>
      </c>
      <c r="H288" s="91" t="s">
        <v>622</v>
      </c>
    </row>
    <row r="289" spans="1:8" s="87" customFormat="1" ht="12.75" hidden="1">
      <c r="A289" s="88" t="s">
        <v>774</v>
      </c>
      <c r="B289" s="88" t="s">
        <v>60</v>
      </c>
      <c r="C289" s="88" t="s">
        <v>365</v>
      </c>
      <c r="D289" s="89" t="s">
        <v>550</v>
      </c>
      <c r="E289" s="88" t="s">
        <v>606</v>
      </c>
      <c r="F289" s="92"/>
      <c r="G289" s="90">
        <v>0</v>
      </c>
      <c r="H289" s="91" t="s">
        <v>622</v>
      </c>
    </row>
    <row r="290" spans="1:8" s="87" customFormat="1" ht="12.75" hidden="1">
      <c r="A290" s="88" t="s">
        <v>775</v>
      </c>
      <c r="B290" s="88" t="s">
        <v>60</v>
      </c>
      <c r="C290" s="88" t="s">
        <v>366</v>
      </c>
      <c r="D290" s="89" t="s">
        <v>551</v>
      </c>
      <c r="E290" s="88" t="s">
        <v>612</v>
      </c>
      <c r="F290" s="92"/>
      <c r="G290" s="90">
        <v>0</v>
      </c>
      <c r="H290" s="91" t="s">
        <v>622</v>
      </c>
    </row>
    <row r="291" spans="1:8" s="97" customFormat="1" ht="25.5">
      <c r="A291" s="93" t="s">
        <v>776</v>
      </c>
      <c r="B291" s="93" t="s">
        <v>60</v>
      </c>
      <c r="C291" s="93" t="s">
        <v>369</v>
      </c>
      <c r="D291" s="94" t="s">
        <v>1411</v>
      </c>
      <c r="E291" s="93" t="s">
        <v>608</v>
      </c>
      <c r="F291" s="94" t="s">
        <v>2178</v>
      </c>
      <c r="G291" s="95">
        <v>38.76</v>
      </c>
      <c r="H291" s="96" t="s">
        <v>622</v>
      </c>
    </row>
    <row r="292" spans="1:8" s="87" customFormat="1" ht="25.5">
      <c r="A292" s="88" t="s">
        <v>777</v>
      </c>
      <c r="B292" s="88" t="s">
        <v>60</v>
      </c>
      <c r="C292" s="88" t="s">
        <v>370</v>
      </c>
      <c r="D292" s="89" t="s">
        <v>1412</v>
      </c>
      <c r="E292" s="88" t="s">
        <v>608</v>
      </c>
      <c r="F292" s="92" t="s">
        <v>2204</v>
      </c>
      <c r="G292" s="90">
        <v>20.289</v>
      </c>
      <c r="H292" s="91" t="s">
        <v>622</v>
      </c>
    </row>
    <row r="293" spans="1:8" s="87" customFormat="1" ht="12.75">
      <c r="A293" s="88" t="s">
        <v>778</v>
      </c>
      <c r="B293" s="88" t="s">
        <v>60</v>
      </c>
      <c r="C293" s="88" t="s">
        <v>371</v>
      </c>
      <c r="D293" s="89" t="s">
        <v>556</v>
      </c>
      <c r="E293" s="88" t="s">
        <v>609</v>
      </c>
      <c r="F293" s="89" t="s">
        <v>2208</v>
      </c>
      <c r="G293" s="90">
        <v>67.63</v>
      </c>
      <c r="H293" s="91" t="s">
        <v>622</v>
      </c>
    </row>
    <row r="294" spans="1:8" s="87" customFormat="1" ht="12.75">
      <c r="A294" s="88" t="s">
        <v>779</v>
      </c>
      <c r="B294" s="88" t="s">
        <v>60</v>
      </c>
      <c r="C294" s="88" t="s">
        <v>372</v>
      </c>
      <c r="D294" s="89" t="s">
        <v>557</v>
      </c>
      <c r="E294" s="88" t="s">
        <v>608</v>
      </c>
      <c r="F294" s="92"/>
      <c r="G294" s="90">
        <v>59.05</v>
      </c>
      <c r="H294" s="91" t="s">
        <v>622</v>
      </c>
    </row>
    <row r="295" spans="1:8" s="87" customFormat="1" ht="12.75">
      <c r="A295" s="88" t="s">
        <v>780</v>
      </c>
      <c r="B295" s="88" t="s">
        <v>60</v>
      </c>
      <c r="C295" s="88" t="s">
        <v>1108</v>
      </c>
      <c r="D295" s="89" t="s">
        <v>1413</v>
      </c>
      <c r="E295" s="88" t="s">
        <v>609</v>
      </c>
      <c r="F295" s="89" t="s">
        <v>2197</v>
      </c>
      <c r="G295" s="90">
        <v>9.23</v>
      </c>
      <c r="H295" s="91" t="s">
        <v>622</v>
      </c>
    </row>
    <row r="296" spans="1:8" s="87" customFormat="1" ht="12.75">
      <c r="A296" s="88" t="s">
        <v>781</v>
      </c>
      <c r="B296" s="88" t="s">
        <v>60</v>
      </c>
      <c r="C296" s="88" t="s">
        <v>1109</v>
      </c>
      <c r="D296" s="89" t="s">
        <v>1414</v>
      </c>
      <c r="E296" s="88" t="s">
        <v>609</v>
      </c>
      <c r="F296" s="92"/>
      <c r="G296" s="90">
        <v>10.15</v>
      </c>
      <c r="H296" s="91" t="s">
        <v>622</v>
      </c>
    </row>
    <row r="297" spans="4:7" s="87" customFormat="1" ht="12.75">
      <c r="D297" s="92"/>
      <c r="F297" s="89" t="s">
        <v>2198</v>
      </c>
      <c r="G297" s="90">
        <v>9.23</v>
      </c>
    </row>
    <row r="298" spans="1:7" s="87" customFormat="1" ht="12.75">
      <c r="A298" s="88"/>
      <c r="B298" s="88"/>
      <c r="C298" s="88"/>
      <c r="D298" s="89"/>
      <c r="E298" s="88"/>
      <c r="F298" s="89" t="s">
        <v>2199</v>
      </c>
      <c r="G298" s="90">
        <v>0.92</v>
      </c>
    </row>
    <row r="299" spans="1:8" s="87" customFormat="1" ht="12.75">
      <c r="A299" s="88" t="s">
        <v>782</v>
      </c>
      <c r="B299" s="88" t="s">
        <v>60</v>
      </c>
      <c r="C299" s="88" t="s">
        <v>373</v>
      </c>
      <c r="D299" s="89" t="s">
        <v>1415</v>
      </c>
      <c r="E299" s="88" t="s">
        <v>609</v>
      </c>
      <c r="F299" s="89" t="s">
        <v>2200</v>
      </c>
      <c r="G299" s="90">
        <v>24.33</v>
      </c>
      <c r="H299" s="91" t="s">
        <v>622</v>
      </c>
    </row>
    <row r="300" spans="1:8" s="87" customFormat="1" ht="12.75">
      <c r="A300" s="88" t="s">
        <v>783</v>
      </c>
      <c r="B300" s="88" t="s">
        <v>60</v>
      </c>
      <c r="C300" s="88" t="s">
        <v>374</v>
      </c>
      <c r="D300" s="89" t="s">
        <v>559</v>
      </c>
      <c r="E300" s="88" t="s">
        <v>608</v>
      </c>
      <c r="F300" s="92"/>
      <c r="G300" s="90">
        <v>1.86</v>
      </c>
      <c r="H300" s="91" t="s">
        <v>622</v>
      </c>
    </row>
    <row r="301" spans="4:7" s="87" customFormat="1" ht="12.75">
      <c r="D301" s="92"/>
      <c r="F301" s="89" t="s">
        <v>2201</v>
      </c>
      <c r="G301" s="90">
        <v>1.622</v>
      </c>
    </row>
    <row r="302" spans="1:7" s="87" customFormat="1" ht="12.75">
      <c r="A302" s="88"/>
      <c r="B302" s="88"/>
      <c r="C302" s="88"/>
      <c r="D302" s="89"/>
      <c r="E302" s="88"/>
      <c r="F302" s="89" t="s">
        <v>2202</v>
      </c>
      <c r="G302" s="90">
        <v>0.2433</v>
      </c>
    </row>
    <row r="303" spans="1:8" s="87" customFormat="1" ht="12.75">
      <c r="A303" s="88" t="s">
        <v>784</v>
      </c>
      <c r="B303" s="88" t="s">
        <v>60</v>
      </c>
      <c r="C303" s="88" t="s">
        <v>375</v>
      </c>
      <c r="D303" s="89" t="s">
        <v>560</v>
      </c>
      <c r="E303" s="88" t="s">
        <v>609</v>
      </c>
      <c r="F303" s="89" t="s">
        <v>2203</v>
      </c>
      <c r="G303" s="90">
        <v>16.22</v>
      </c>
      <c r="H303" s="91" t="s">
        <v>622</v>
      </c>
    </row>
    <row r="304" spans="1:8" s="87" customFormat="1" ht="25.5">
      <c r="A304" s="88" t="s">
        <v>785</v>
      </c>
      <c r="B304" s="88" t="s">
        <v>60</v>
      </c>
      <c r="C304" s="88" t="s">
        <v>376</v>
      </c>
      <c r="D304" s="89" t="s">
        <v>1416</v>
      </c>
      <c r="E304" s="88" t="s">
        <v>608</v>
      </c>
      <c r="F304" s="94" t="s">
        <v>2178</v>
      </c>
      <c r="G304" s="90">
        <v>38.76</v>
      </c>
      <c r="H304" s="91" t="s">
        <v>622</v>
      </c>
    </row>
    <row r="305" spans="1:8" s="87" customFormat="1" ht="12.75">
      <c r="A305" s="88" t="s">
        <v>786</v>
      </c>
      <c r="B305" s="88" t="s">
        <v>60</v>
      </c>
      <c r="C305" s="88" t="s">
        <v>374</v>
      </c>
      <c r="D305" s="89" t="s">
        <v>559</v>
      </c>
      <c r="E305" s="88" t="s">
        <v>608</v>
      </c>
      <c r="F305" s="92"/>
      <c r="G305" s="90">
        <v>40.698</v>
      </c>
      <c r="H305" s="91" t="s">
        <v>622</v>
      </c>
    </row>
    <row r="306" spans="4:7" s="87" customFormat="1" ht="12.75">
      <c r="D306" s="92"/>
      <c r="F306" s="89" t="s">
        <v>2205</v>
      </c>
      <c r="G306" s="90">
        <v>38.76</v>
      </c>
    </row>
    <row r="307" spans="1:7" s="87" customFormat="1" ht="12.75">
      <c r="A307" s="88"/>
      <c r="B307" s="88"/>
      <c r="C307" s="88"/>
      <c r="D307" s="89"/>
      <c r="E307" s="88"/>
      <c r="F307" s="89" t="s">
        <v>2206</v>
      </c>
      <c r="G307" s="90">
        <v>1.938</v>
      </c>
    </row>
    <row r="308" spans="1:8" s="87" customFormat="1" ht="12.75">
      <c r="A308" s="88" t="s">
        <v>787</v>
      </c>
      <c r="B308" s="88" t="s">
        <v>60</v>
      </c>
      <c r="C308" s="88" t="s">
        <v>1110</v>
      </c>
      <c r="D308" s="89" t="s">
        <v>1417</v>
      </c>
      <c r="E308" s="88" t="s">
        <v>609</v>
      </c>
      <c r="F308" s="89" t="s">
        <v>2207</v>
      </c>
      <c r="G308" s="90">
        <v>43.3</v>
      </c>
      <c r="H308" s="91" t="s">
        <v>622</v>
      </c>
    </row>
    <row r="309" spans="1:8" s="87" customFormat="1" ht="12.75">
      <c r="A309" s="88" t="s">
        <v>788</v>
      </c>
      <c r="B309" s="88" t="s">
        <v>60</v>
      </c>
      <c r="C309" s="88" t="s">
        <v>377</v>
      </c>
      <c r="D309" s="89" t="s">
        <v>563</v>
      </c>
      <c r="E309" s="88" t="s">
        <v>612</v>
      </c>
      <c r="F309" s="92"/>
      <c r="G309" s="90">
        <v>1.04</v>
      </c>
      <c r="H309" s="91" t="s">
        <v>622</v>
      </c>
    </row>
    <row r="310" spans="1:8" s="87" customFormat="1" ht="12.75">
      <c r="A310" s="88" t="s">
        <v>789</v>
      </c>
      <c r="B310" s="88" t="s">
        <v>60</v>
      </c>
      <c r="C310" s="88" t="s">
        <v>1112</v>
      </c>
      <c r="D310" s="89" t="s">
        <v>1419</v>
      </c>
      <c r="E310" s="88" t="s">
        <v>608</v>
      </c>
      <c r="F310" s="89" t="s">
        <v>2179</v>
      </c>
      <c r="G310" s="90">
        <v>151.5</v>
      </c>
      <c r="H310" s="91" t="s">
        <v>622</v>
      </c>
    </row>
    <row r="311" spans="1:8" s="87" customFormat="1" ht="12.75">
      <c r="A311" s="88" t="s">
        <v>790</v>
      </c>
      <c r="B311" s="88" t="s">
        <v>60</v>
      </c>
      <c r="C311" s="88" t="s">
        <v>1113</v>
      </c>
      <c r="D311" s="89" t="s">
        <v>1420</v>
      </c>
      <c r="E311" s="88" t="s">
        <v>608</v>
      </c>
      <c r="F311" s="92"/>
      <c r="G311" s="90">
        <v>151.5</v>
      </c>
      <c r="H311" s="91" t="s">
        <v>622</v>
      </c>
    </row>
    <row r="312" spans="1:8" s="87" customFormat="1" ht="12.75">
      <c r="A312" s="88" t="s">
        <v>791</v>
      </c>
      <c r="B312" s="88" t="s">
        <v>60</v>
      </c>
      <c r="C312" s="88" t="s">
        <v>1114</v>
      </c>
      <c r="D312" s="89" t="s">
        <v>1421</v>
      </c>
      <c r="E312" s="88" t="s">
        <v>609</v>
      </c>
      <c r="F312" s="89" t="s">
        <v>2210</v>
      </c>
      <c r="G312" s="90">
        <v>84.38</v>
      </c>
      <c r="H312" s="91" t="s">
        <v>622</v>
      </c>
    </row>
    <row r="313" spans="1:8" s="87" customFormat="1" ht="12.75">
      <c r="A313" s="88" t="s">
        <v>792</v>
      </c>
      <c r="B313" s="88" t="s">
        <v>60</v>
      </c>
      <c r="C313" s="88" t="s">
        <v>1115</v>
      </c>
      <c r="D313" s="89" t="s">
        <v>1422</v>
      </c>
      <c r="E313" s="88" t="s">
        <v>609</v>
      </c>
      <c r="F313" s="92"/>
      <c r="G313" s="90">
        <v>97.04</v>
      </c>
      <c r="H313" s="91" t="s">
        <v>622</v>
      </c>
    </row>
    <row r="314" spans="4:7" s="87" customFormat="1" ht="12.75">
      <c r="D314" s="92"/>
      <c r="F314" s="89" t="s">
        <v>2211</v>
      </c>
      <c r="G314" s="90">
        <v>84.38</v>
      </c>
    </row>
    <row r="315" spans="1:7" s="87" customFormat="1" ht="12.75">
      <c r="A315" s="88"/>
      <c r="B315" s="88"/>
      <c r="C315" s="88"/>
      <c r="D315" s="89"/>
      <c r="E315" s="88"/>
      <c r="F315" s="89" t="s">
        <v>2212</v>
      </c>
      <c r="G315" s="90">
        <v>12.657</v>
      </c>
    </row>
    <row r="316" spans="1:8" s="87" customFormat="1" ht="12.75">
      <c r="A316" s="88" t="s">
        <v>793</v>
      </c>
      <c r="B316" s="88" t="s">
        <v>60</v>
      </c>
      <c r="C316" s="88" t="s">
        <v>1116</v>
      </c>
      <c r="D316" s="89" t="s">
        <v>1423</v>
      </c>
      <c r="E316" s="88" t="s">
        <v>608</v>
      </c>
      <c r="F316" s="89" t="s">
        <v>2179</v>
      </c>
      <c r="G316" s="90">
        <v>151.5</v>
      </c>
      <c r="H316" s="91" t="s">
        <v>622</v>
      </c>
    </row>
    <row r="317" spans="1:8" s="87" customFormat="1" ht="12.75">
      <c r="A317" s="88" t="s">
        <v>794</v>
      </c>
      <c r="B317" s="88" t="s">
        <v>60</v>
      </c>
      <c r="C317" s="88" t="s">
        <v>1117</v>
      </c>
      <c r="D317" s="89" t="s">
        <v>1424</v>
      </c>
      <c r="E317" s="88" t="s">
        <v>608</v>
      </c>
      <c r="F317" s="89" t="s">
        <v>2209</v>
      </c>
      <c r="G317" s="90">
        <v>174.23</v>
      </c>
      <c r="H317" s="91" t="s">
        <v>622</v>
      </c>
    </row>
    <row r="318" spans="1:8" s="87" customFormat="1" ht="12.75">
      <c r="A318" s="88" t="s">
        <v>795</v>
      </c>
      <c r="B318" s="88" t="s">
        <v>60</v>
      </c>
      <c r="C318" s="88" t="s">
        <v>1118</v>
      </c>
      <c r="D318" s="89" t="s">
        <v>1425</v>
      </c>
      <c r="E318" s="88" t="s">
        <v>608</v>
      </c>
      <c r="F318" s="92"/>
      <c r="G318" s="90">
        <v>151.5</v>
      </c>
      <c r="H318" s="91" t="s">
        <v>622</v>
      </c>
    </row>
    <row r="319" spans="1:8" s="87" customFormat="1" ht="12.75">
      <c r="A319" s="88" t="s">
        <v>796</v>
      </c>
      <c r="B319" s="88" t="s">
        <v>60</v>
      </c>
      <c r="C319" s="88" t="s">
        <v>1119</v>
      </c>
      <c r="D319" s="89" t="s">
        <v>1426</v>
      </c>
      <c r="E319" s="88" t="s">
        <v>612</v>
      </c>
      <c r="F319" s="92"/>
      <c r="G319" s="90">
        <v>0.55</v>
      </c>
      <c r="H319" s="91" t="s">
        <v>622</v>
      </c>
    </row>
    <row r="320" spans="1:8" s="87" customFormat="1" ht="12.75">
      <c r="A320" s="88" t="s">
        <v>797</v>
      </c>
      <c r="B320" s="88" t="s">
        <v>60</v>
      </c>
      <c r="C320" s="88" t="s">
        <v>1121</v>
      </c>
      <c r="D320" s="89" t="s">
        <v>1428</v>
      </c>
      <c r="E320" s="88" t="s">
        <v>608</v>
      </c>
      <c r="F320" s="89" t="s">
        <v>2223</v>
      </c>
      <c r="G320" s="90">
        <v>96.72</v>
      </c>
      <c r="H320" s="91" t="s">
        <v>622</v>
      </c>
    </row>
    <row r="321" spans="1:8" s="87" customFormat="1" ht="12.75">
      <c r="A321" s="88" t="s">
        <v>798</v>
      </c>
      <c r="B321" s="88" t="s">
        <v>60</v>
      </c>
      <c r="C321" s="88" t="s">
        <v>1122</v>
      </c>
      <c r="D321" s="89" t="s">
        <v>1429</v>
      </c>
      <c r="E321" s="88" t="s">
        <v>609</v>
      </c>
      <c r="F321" s="92"/>
      <c r="G321" s="90">
        <v>57.5</v>
      </c>
      <c r="H321" s="91" t="s">
        <v>622</v>
      </c>
    </row>
    <row r="322" spans="1:8" s="87" customFormat="1" ht="12.75">
      <c r="A322" s="88" t="s">
        <v>799</v>
      </c>
      <c r="B322" s="88" t="s">
        <v>60</v>
      </c>
      <c r="C322" s="88" t="s">
        <v>1123</v>
      </c>
      <c r="D322" s="89" t="s">
        <v>1430</v>
      </c>
      <c r="E322" s="88" t="s">
        <v>606</v>
      </c>
      <c r="F322" s="92"/>
      <c r="G322" s="90">
        <v>14</v>
      </c>
      <c r="H322" s="91" t="s">
        <v>622</v>
      </c>
    </row>
    <row r="323" spans="1:8" s="87" customFormat="1" ht="12.75">
      <c r="A323" s="88" t="s">
        <v>800</v>
      </c>
      <c r="B323" s="88" t="s">
        <v>60</v>
      </c>
      <c r="C323" s="88" t="s">
        <v>1124</v>
      </c>
      <c r="D323" s="89" t="s">
        <v>1431</v>
      </c>
      <c r="E323" s="88" t="s">
        <v>606</v>
      </c>
      <c r="F323" s="92"/>
      <c r="G323" s="90">
        <v>25</v>
      </c>
      <c r="H323" s="91" t="s">
        <v>622</v>
      </c>
    </row>
    <row r="324" spans="1:8" s="87" customFormat="1" ht="12.75">
      <c r="A324" s="88" t="s">
        <v>801</v>
      </c>
      <c r="B324" s="88" t="s">
        <v>60</v>
      </c>
      <c r="C324" s="88" t="s">
        <v>1125</v>
      </c>
      <c r="D324" s="89" t="s">
        <v>1432</v>
      </c>
      <c r="E324" s="88" t="s">
        <v>609</v>
      </c>
      <c r="F324" s="89" t="s">
        <v>2219</v>
      </c>
      <c r="G324" s="90">
        <v>46.4</v>
      </c>
      <c r="H324" s="91" t="s">
        <v>622</v>
      </c>
    </row>
    <row r="325" spans="1:8" s="87" customFormat="1" ht="12.75">
      <c r="A325" s="88" t="s">
        <v>802</v>
      </c>
      <c r="B325" s="88" t="s">
        <v>60</v>
      </c>
      <c r="C325" s="88" t="s">
        <v>1126</v>
      </c>
      <c r="D325" s="89" t="s">
        <v>1433</v>
      </c>
      <c r="E325" s="88" t="s">
        <v>609</v>
      </c>
      <c r="F325" s="89" t="s">
        <v>2220</v>
      </c>
      <c r="G325" s="90">
        <v>48.72</v>
      </c>
      <c r="H325" s="91" t="s">
        <v>622</v>
      </c>
    </row>
    <row r="326" spans="1:8" s="87" customFormat="1" ht="12.75">
      <c r="A326" s="88" t="s">
        <v>803</v>
      </c>
      <c r="B326" s="88" t="s">
        <v>60</v>
      </c>
      <c r="C326" s="88" t="s">
        <v>1127</v>
      </c>
      <c r="D326" s="89" t="s">
        <v>1434</v>
      </c>
      <c r="E326" s="88" t="s">
        <v>609</v>
      </c>
      <c r="F326" s="92" t="s">
        <v>2215</v>
      </c>
      <c r="G326" s="90">
        <v>3.4</v>
      </c>
      <c r="H326" s="91" t="s">
        <v>622</v>
      </c>
    </row>
    <row r="327" spans="1:8" s="87" customFormat="1" ht="12.75">
      <c r="A327" s="88" t="s">
        <v>804</v>
      </c>
      <c r="B327" s="88" t="s">
        <v>60</v>
      </c>
      <c r="C327" s="88" t="s">
        <v>1128</v>
      </c>
      <c r="D327" s="89" t="s">
        <v>1435</v>
      </c>
      <c r="E327" s="88" t="s">
        <v>608</v>
      </c>
      <c r="F327" s="92" t="s">
        <v>2216</v>
      </c>
      <c r="G327" s="90">
        <v>0.43</v>
      </c>
      <c r="H327" s="91" t="s">
        <v>622</v>
      </c>
    </row>
    <row r="328" spans="1:8" s="87" customFormat="1" ht="12.75">
      <c r="A328" s="88" t="s">
        <v>805</v>
      </c>
      <c r="B328" s="88" t="s">
        <v>60</v>
      </c>
      <c r="C328" s="88" t="s">
        <v>1129</v>
      </c>
      <c r="D328" s="89" t="s">
        <v>1436</v>
      </c>
      <c r="E328" s="88" t="s">
        <v>609</v>
      </c>
      <c r="F328" s="89" t="s">
        <v>2217</v>
      </c>
      <c r="G328" s="90">
        <v>7.7</v>
      </c>
      <c r="H328" s="91" t="s">
        <v>622</v>
      </c>
    </row>
    <row r="329" spans="1:8" s="87" customFormat="1" ht="12.75">
      <c r="A329" s="88" t="s">
        <v>806</v>
      </c>
      <c r="B329" s="88" t="s">
        <v>60</v>
      </c>
      <c r="C329" s="88" t="s">
        <v>1128</v>
      </c>
      <c r="D329" s="89" t="s">
        <v>1435</v>
      </c>
      <c r="E329" s="88" t="s">
        <v>608</v>
      </c>
      <c r="F329" s="92" t="s">
        <v>2218</v>
      </c>
      <c r="G329" s="90">
        <v>1.62</v>
      </c>
      <c r="H329" s="91" t="s">
        <v>622</v>
      </c>
    </row>
    <row r="330" spans="1:8" s="87" customFormat="1" ht="25.5">
      <c r="A330" s="88" t="s">
        <v>807</v>
      </c>
      <c r="B330" s="88" t="s">
        <v>60</v>
      </c>
      <c r="C330" s="88" t="s">
        <v>1130</v>
      </c>
      <c r="D330" s="89" t="s">
        <v>1437</v>
      </c>
      <c r="E330" s="88" t="s">
        <v>608</v>
      </c>
      <c r="F330" s="92" t="s">
        <v>2221</v>
      </c>
      <c r="G330" s="90">
        <v>94.84</v>
      </c>
      <c r="H330" s="91" t="s">
        <v>622</v>
      </c>
    </row>
    <row r="331" spans="1:8" s="87" customFormat="1" ht="12.75">
      <c r="A331" s="88" t="s">
        <v>808</v>
      </c>
      <c r="B331" s="88" t="s">
        <v>60</v>
      </c>
      <c r="C331" s="88" t="s">
        <v>1128</v>
      </c>
      <c r="D331" s="89" t="s">
        <v>1435</v>
      </c>
      <c r="E331" s="88" t="s">
        <v>608</v>
      </c>
      <c r="F331" s="92" t="s">
        <v>2222</v>
      </c>
      <c r="G331" s="90">
        <v>99.59</v>
      </c>
      <c r="H331" s="91" t="s">
        <v>622</v>
      </c>
    </row>
    <row r="332" spans="1:8" s="87" customFormat="1" ht="12.75">
      <c r="A332" s="88" t="s">
        <v>809</v>
      </c>
      <c r="B332" s="88" t="s">
        <v>60</v>
      </c>
      <c r="C332" s="88" t="s">
        <v>1131</v>
      </c>
      <c r="D332" s="89" t="s">
        <v>1438</v>
      </c>
      <c r="E332" s="88" t="s">
        <v>608</v>
      </c>
      <c r="F332" s="89"/>
      <c r="G332" s="90">
        <v>96.72</v>
      </c>
      <c r="H332" s="91" t="s">
        <v>622</v>
      </c>
    </row>
    <row r="333" spans="1:8" s="87" customFormat="1" ht="12.75">
      <c r="A333" s="88" t="s">
        <v>810</v>
      </c>
      <c r="B333" s="88" t="s">
        <v>60</v>
      </c>
      <c r="C333" s="88" t="s">
        <v>1132</v>
      </c>
      <c r="D333" s="89" t="s">
        <v>1439</v>
      </c>
      <c r="E333" s="88" t="s">
        <v>608</v>
      </c>
      <c r="F333" s="89" t="s">
        <v>1547</v>
      </c>
      <c r="G333" s="90">
        <v>94.84</v>
      </c>
      <c r="H333" s="91" t="s">
        <v>622</v>
      </c>
    </row>
    <row r="334" spans="1:8" s="87" customFormat="1" ht="38.25">
      <c r="A334" s="88" t="s">
        <v>811</v>
      </c>
      <c r="B334" s="88" t="s">
        <v>60</v>
      </c>
      <c r="C334" s="88" t="s">
        <v>1133</v>
      </c>
      <c r="D334" s="89" t="s">
        <v>1440</v>
      </c>
      <c r="E334" s="88" t="s">
        <v>609</v>
      </c>
      <c r="F334" s="92" t="s">
        <v>2227</v>
      </c>
      <c r="G334" s="90">
        <v>187.8</v>
      </c>
      <c r="H334" s="91" t="s">
        <v>622</v>
      </c>
    </row>
    <row r="335" spans="1:8" s="87" customFormat="1" ht="25.5">
      <c r="A335" s="88" t="s">
        <v>812</v>
      </c>
      <c r="B335" s="88" t="s">
        <v>60</v>
      </c>
      <c r="C335" s="88" t="s">
        <v>1134</v>
      </c>
      <c r="D335" s="89" t="s">
        <v>1441</v>
      </c>
      <c r="E335" s="88" t="s">
        <v>609</v>
      </c>
      <c r="F335" s="89" t="s">
        <v>2224</v>
      </c>
      <c r="G335" s="90">
        <v>99.44</v>
      </c>
      <c r="H335" s="91" t="s">
        <v>622</v>
      </c>
    </row>
    <row r="336" spans="1:8" s="87" customFormat="1" ht="12.75">
      <c r="A336" s="88" t="s">
        <v>813</v>
      </c>
      <c r="B336" s="88" t="s">
        <v>60</v>
      </c>
      <c r="C336" s="88" t="s">
        <v>1135</v>
      </c>
      <c r="D336" s="89" t="s">
        <v>1442</v>
      </c>
      <c r="E336" s="88" t="s">
        <v>609</v>
      </c>
      <c r="F336" s="92" t="s">
        <v>2225</v>
      </c>
      <c r="G336" s="90">
        <v>19.03</v>
      </c>
      <c r="H336" s="91" t="s">
        <v>622</v>
      </c>
    </row>
    <row r="337" spans="1:8" s="87" customFormat="1" ht="25.5">
      <c r="A337" s="88" t="s">
        <v>814</v>
      </c>
      <c r="B337" s="88" t="s">
        <v>60</v>
      </c>
      <c r="C337" s="88" t="s">
        <v>1136</v>
      </c>
      <c r="D337" s="89" t="s">
        <v>1443</v>
      </c>
      <c r="E337" s="88" t="s">
        <v>609</v>
      </c>
      <c r="F337" s="92" t="s">
        <v>2226</v>
      </c>
      <c r="G337" s="90">
        <v>88.11</v>
      </c>
      <c r="H337" s="91" t="s">
        <v>622</v>
      </c>
    </row>
    <row r="338" spans="1:8" s="87" customFormat="1" ht="12.75">
      <c r="A338" s="88" t="s">
        <v>815</v>
      </c>
      <c r="B338" s="88" t="s">
        <v>60</v>
      </c>
      <c r="C338" s="88" t="s">
        <v>1137</v>
      </c>
      <c r="D338" s="89" t="s">
        <v>1444</v>
      </c>
      <c r="E338" s="88" t="s">
        <v>612</v>
      </c>
      <c r="F338" s="92"/>
      <c r="G338" s="90">
        <v>1.8</v>
      </c>
      <c r="H338" s="91" t="s">
        <v>622</v>
      </c>
    </row>
    <row r="339" spans="1:8" s="87" customFormat="1" ht="12.75">
      <c r="A339" s="88" t="s">
        <v>816</v>
      </c>
      <c r="B339" s="88" t="s">
        <v>60</v>
      </c>
      <c r="C339" s="88" t="s">
        <v>379</v>
      </c>
      <c r="D339" s="89" t="s">
        <v>565</v>
      </c>
      <c r="E339" s="88" t="s">
        <v>608</v>
      </c>
      <c r="F339" s="92" t="s">
        <v>2214</v>
      </c>
      <c r="G339" s="90">
        <v>405.91</v>
      </c>
      <c r="H339" s="91" t="s">
        <v>622</v>
      </c>
    </row>
    <row r="340" spans="1:8" s="87" customFormat="1" ht="12.75">
      <c r="A340" s="88" t="s">
        <v>817</v>
      </c>
      <c r="B340" s="88" t="s">
        <v>60</v>
      </c>
      <c r="C340" s="88" t="s">
        <v>380</v>
      </c>
      <c r="D340" s="89" t="s">
        <v>566</v>
      </c>
      <c r="E340" s="88" t="s">
        <v>608</v>
      </c>
      <c r="F340" s="89" t="s">
        <v>2213</v>
      </c>
      <c r="G340" s="90">
        <v>38.32</v>
      </c>
      <c r="H340" s="91" t="s">
        <v>622</v>
      </c>
    </row>
    <row r="341" spans="1:8" s="87" customFormat="1" ht="12.75">
      <c r="A341" s="88" t="s">
        <v>818</v>
      </c>
      <c r="B341" s="88" t="s">
        <v>60</v>
      </c>
      <c r="C341" s="88" t="s">
        <v>381</v>
      </c>
      <c r="D341" s="89" t="s">
        <v>567</v>
      </c>
      <c r="E341" s="88" t="s">
        <v>608</v>
      </c>
      <c r="F341" s="92"/>
      <c r="G341" s="90">
        <v>405.91</v>
      </c>
      <c r="H341" s="91" t="s">
        <v>622</v>
      </c>
    </row>
    <row r="342" spans="1:8" s="87" customFormat="1" ht="12.75">
      <c r="A342" s="88" t="s">
        <v>819</v>
      </c>
      <c r="B342" s="88" t="s">
        <v>60</v>
      </c>
      <c r="C342" s="88" t="s">
        <v>382</v>
      </c>
      <c r="D342" s="89" t="s">
        <v>568</v>
      </c>
      <c r="E342" s="88" t="s">
        <v>608</v>
      </c>
      <c r="F342" s="92"/>
      <c r="G342" s="90">
        <v>38.32</v>
      </c>
      <c r="H342" s="91" t="s">
        <v>622</v>
      </c>
    </row>
    <row r="343" spans="1:8" s="87" customFormat="1" ht="12.75">
      <c r="A343" s="88" t="s">
        <v>820</v>
      </c>
      <c r="B343" s="88" t="s">
        <v>60</v>
      </c>
      <c r="C343" s="88" t="s">
        <v>384</v>
      </c>
      <c r="D343" s="89" t="s">
        <v>570</v>
      </c>
      <c r="E343" s="88" t="s">
        <v>606</v>
      </c>
      <c r="F343" s="92"/>
      <c r="G343" s="90">
        <v>36</v>
      </c>
      <c r="H343" s="91" t="s">
        <v>622</v>
      </c>
    </row>
    <row r="344" spans="1:8" s="87" customFormat="1" ht="12.75">
      <c r="A344" s="88" t="s">
        <v>821</v>
      </c>
      <c r="B344" s="88" t="s">
        <v>60</v>
      </c>
      <c r="C344" s="88" t="s">
        <v>385</v>
      </c>
      <c r="D344" s="89" t="s">
        <v>571</v>
      </c>
      <c r="E344" s="88" t="s">
        <v>606</v>
      </c>
      <c r="F344" s="92"/>
      <c r="G344" s="90">
        <v>45</v>
      </c>
      <c r="H344" s="91" t="s">
        <v>622</v>
      </c>
    </row>
    <row r="345" spans="1:8" s="87" customFormat="1" ht="12.75">
      <c r="A345" s="88" t="s">
        <v>822</v>
      </c>
      <c r="B345" s="88" t="s">
        <v>60</v>
      </c>
      <c r="C345" s="88" t="s">
        <v>386</v>
      </c>
      <c r="D345" s="89" t="s">
        <v>572</v>
      </c>
      <c r="E345" s="88" t="s">
        <v>609</v>
      </c>
      <c r="F345" s="92"/>
      <c r="G345" s="90">
        <v>250</v>
      </c>
      <c r="H345" s="91" t="s">
        <v>622</v>
      </c>
    </row>
    <row r="346" spans="1:8" s="87" customFormat="1" ht="12.75">
      <c r="A346" s="88" t="s">
        <v>823</v>
      </c>
      <c r="B346" s="88" t="s">
        <v>60</v>
      </c>
      <c r="C346" s="88" t="s">
        <v>387</v>
      </c>
      <c r="D346" s="89" t="s">
        <v>573</v>
      </c>
      <c r="E346" s="88" t="s">
        <v>609</v>
      </c>
      <c r="F346" s="92"/>
      <c r="G346" s="90">
        <v>40</v>
      </c>
      <c r="H346" s="91" t="s">
        <v>622</v>
      </c>
    </row>
    <row r="347" spans="1:8" s="87" customFormat="1" ht="12.75">
      <c r="A347" s="88" t="s">
        <v>824</v>
      </c>
      <c r="B347" s="88" t="s">
        <v>60</v>
      </c>
      <c r="C347" s="88" t="s">
        <v>388</v>
      </c>
      <c r="D347" s="89" t="s">
        <v>1445</v>
      </c>
      <c r="E347" s="88" t="s">
        <v>606</v>
      </c>
      <c r="F347" s="92"/>
      <c r="G347" s="90">
        <v>1</v>
      </c>
      <c r="H347" s="91" t="s">
        <v>622</v>
      </c>
    </row>
    <row r="348" spans="1:8" s="87" customFormat="1" ht="12.75">
      <c r="A348" s="88" t="s">
        <v>825</v>
      </c>
      <c r="B348" s="88" t="s">
        <v>60</v>
      </c>
      <c r="C348" s="88" t="s">
        <v>1138</v>
      </c>
      <c r="D348" s="89" t="s">
        <v>1446</v>
      </c>
      <c r="E348" s="88" t="s">
        <v>606</v>
      </c>
      <c r="F348" s="92"/>
      <c r="G348" s="90">
        <v>2</v>
      </c>
      <c r="H348" s="91" t="s">
        <v>622</v>
      </c>
    </row>
    <row r="349" spans="1:8" s="87" customFormat="1" ht="12.75">
      <c r="A349" s="88" t="s">
        <v>826</v>
      </c>
      <c r="B349" s="88" t="s">
        <v>60</v>
      </c>
      <c r="C349" s="88" t="s">
        <v>1139</v>
      </c>
      <c r="D349" s="89" t="s">
        <v>1447</v>
      </c>
      <c r="E349" s="88" t="s">
        <v>606</v>
      </c>
      <c r="F349" s="92"/>
      <c r="G349" s="90">
        <v>1</v>
      </c>
      <c r="H349" s="91" t="s">
        <v>622</v>
      </c>
    </row>
    <row r="350" spans="1:8" s="87" customFormat="1" ht="12.75" hidden="1">
      <c r="A350" s="88" t="s">
        <v>827</v>
      </c>
      <c r="B350" s="88" t="s">
        <v>60</v>
      </c>
      <c r="C350" s="88" t="s">
        <v>1140</v>
      </c>
      <c r="D350" s="89" t="s">
        <v>1448</v>
      </c>
      <c r="E350" s="88" t="s">
        <v>606</v>
      </c>
      <c r="F350" s="92"/>
      <c r="G350" s="90">
        <v>0</v>
      </c>
      <c r="H350" s="91" t="s">
        <v>622</v>
      </c>
    </row>
    <row r="351" spans="1:8" s="87" customFormat="1" ht="12.75">
      <c r="A351" s="88" t="s">
        <v>828</v>
      </c>
      <c r="B351" s="88" t="s">
        <v>60</v>
      </c>
      <c r="C351" s="88" t="s">
        <v>1141</v>
      </c>
      <c r="D351" s="89" t="s">
        <v>1449</v>
      </c>
      <c r="E351" s="88" t="s">
        <v>606</v>
      </c>
      <c r="F351" s="92"/>
      <c r="G351" s="90">
        <v>1</v>
      </c>
      <c r="H351" s="91" t="s">
        <v>622</v>
      </c>
    </row>
    <row r="352" spans="1:8" s="87" customFormat="1" ht="12.75">
      <c r="A352" s="88" t="s">
        <v>829</v>
      </c>
      <c r="B352" s="88" t="s">
        <v>60</v>
      </c>
      <c r="C352" s="88" t="s">
        <v>389</v>
      </c>
      <c r="D352" s="89" t="s">
        <v>575</v>
      </c>
      <c r="E352" s="88" t="s">
        <v>611</v>
      </c>
      <c r="F352" s="92"/>
      <c r="G352" s="90">
        <v>4</v>
      </c>
      <c r="H352" s="91" t="s">
        <v>622</v>
      </c>
    </row>
    <row r="353" spans="1:8" s="87" customFormat="1" ht="12.75" hidden="1">
      <c r="A353" s="88" t="s">
        <v>830</v>
      </c>
      <c r="B353" s="88" t="s">
        <v>60</v>
      </c>
      <c r="C353" s="88" t="s">
        <v>1142</v>
      </c>
      <c r="D353" s="89" t="s">
        <v>1450</v>
      </c>
      <c r="E353" s="88" t="s">
        <v>613</v>
      </c>
      <c r="F353" s="92"/>
      <c r="G353" s="90">
        <v>0</v>
      </c>
      <c r="H353" s="91" t="s">
        <v>622</v>
      </c>
    </row>
    <row r="354" spans="1:8" s="87" customFormat="1" ht="12.75">
      <c r="A354" s="88" t="s">
        <v>831</v>
      </c>
      <c r="B354" s="88" t="s">
        <v>60</v>
      </c>
      <c r="C354" s="88" t="s">
        <v>1143</v>
      </c>
      <c r="D354" s="89" t="s">
        <v>1451</v>
      </c>
      <c r="E354" s="88" t="s">
        <v>613</v>
      </c>
      <c r="F354" s="92"/>
      <c r="G354" s="90">
        <v>1</v>
      </c>
      <c r="H354" s="91" t="s">
        <v>622</v>
      </c>
    </row>
    <row r="355" spans="1:8" s="87" customFormat="1" ht="12.75" hidden="1">
      <c r="A355" s="88" t="s">
        <v>832</v>
      </c>
      <c r="B355" s="88" t="s">
        <v>60</v>
      </c>
      <c r="C355" s="88" t="s">
        <v>390</v>
      </c>
      <c r="D355" s="89" t="s">
        <v>1452</v>
      </c>
      <c r="E355" s="88" t="s">
        <v>613</v>
      </c>
      <c r="F355" s="92"/>
      <c r="G355" s="90">
        <v>0</v>
      </c>
      <c r="H355" s="91" t="s">
        <v>622</v>
      </c>
    </row>
    <row r="356" spans="1:8" s="87" customFormat="1" ht="12.75">
      <c r="A356" s="88" t="s">
        <v>833</v>
      </c>
      <c r="B356" s="88" t="s">
        <v>60</v>
      </c>
      <c r="C356" s="88" t="s">
        <v>391</v>
      </c>
      <c r="D356" s="89" t="s">
        <v>577</v>
      </c>
      <c r="E356" s="88" t="s">
        <v>614</v>
      </c>
      <c r="F356" s="92"/>
      <c r="G356" s="90">
        <v>1</v>
      </c>
      <c r="H356" s="91" t="s">
        <v>622</v>
      </c>
    </row>
    <row r="357" spans="1:8" s="87" customFormat="1" ht="12.75">
      <c r="A357" s="88" t="s">
        <v>834</v>
      </c>
      <c r="B357" s="88" t="s">
        <v>60</v>
      </c>
      <c r="C357" s="88" t="s">
        <v>392</v>
      </c>
      <c r="D357" s="89" t="s">
        <v>578</v>
      </c>
      <c r="E357" s="88" t="s">
        <v>611</v>
      </c>
      <c r="F357" s="92"/>
      <c r="G357" s="90">
        <v>2</v>
      </c>
      <c r="H357" s="91" t="s">
        <v>622</v>
      </c>
    </row>
    <row r="358" spans="1:8" s="87" customFormat="1" ht="12.75">
      <c r="A358" s="88" t="s">
        <v>835</v>
      </c>
      <c r="B358" s="88" t="s">
        <v>60</v>
      </c>
      <c r="C358" s="88" t="s">
        <v>393</v>
      </c>
      <c r="D358" s="89" t="s">
        <v>579</v>
      </c>
      <c r="E358" s="88" t="s">
        <v>609</v>
      </c>
      <c r="F358" s="92"/>
      <c r="G358" s="90">
        <v>1050</v>
      </c>
      <c r="H358" s="91" t="s">
        <v>622</v>
      </c>
    </row>
    <row r="359" spans="1:8" s="87" customFormat="1" ht="12.75">
      <c r="A359" s="88" t="s">
        <v>836</v>
      </c>
      <c r="B359" s="88" t="s">
        <v>60</v>
      </c>
      <c r="C359" s="88" t="s">
        <v>394</v>
      </c>
      <c r="D359" s="89" t="s">
        <v>580</v>
      </c>
      <c r="E359" s="88" t="s">
        <v>609</v>
      </c>
      <c r="F359" s="92"/>
      <c r="G359" s="90">
        <v>1050</v>
      </c>
      <c r="H359" s="91" t="s">
        <v>622</v>
      </c>
    </row>
    <row r="360" spans="1:8" s="87" customFormat="1" ht="12.75">
      <c r="A360" s="88" t="s">
        <v>837</v>
      </c>
      <c r="B360" s="88" t="s">
        <v>60</v>
      </c>
      <c r="C360" s="88" t="s">
        <v>395</v>
      </c>
      <c r="D360" s="89" t="s">
        <v>581</v>
      </c>
      <c r="E360" s="88" t="s">
        <v>613</v>
      </c>
      <c r="F360" s="92"/>
      <c r="G360" s="90">
        <v>81</v>
      </c>
      <c r="H360" s="91" t="s">
        <v>622</v>
      </c>
    </row>
    <row r="361" spans="1:8" s="87" customFormat="1" ht="12.75">
      <c r="A361" s="88" t="s">
        <v>838</v>
      </c>
      <c r="B361" s="88" t="s">
        <v>60</v>
      </c>
      <c r="C361" s="88" t="s">
        <v>396</v>
      </c>
      <c r="D361" s="89" t="s">
        <v>582</v>
      </c>
      <c r="E361" s="88" t="s">
        <v>606</v>
      </c>
      <c r="F361" s="92"/>
      <c r="G361" s="90">
        <v>15</v>
      </c>
      <c r="H361" s="91" t="s">
        <v>622</v>
      </c>
    </row>
    <row r="362" spans="1:8" s="87" customFormat="1" ht="12.75">
      <c r="A362" s="88" t="s">
        <v>839</v>
      </c>
      <c r="B362" s="88" t="s">
        <v>60</v>
      </c>
      <c r="C362" s="88" t="s">
        <v>1144</v>
      </c>
      <c r="D362" s="89" t="s">
        <v>1453</v>
      </c>
      <c r="E362" s="88" t="s">
        <v>606</v>
      </c>
      <c r="F362" s="92"/>
      <c r="G362" s="90">
        <v>5</v>
      </c>
      <c r="H362" s="91" t="s">
        <v>622</v>
      </c>
    </row>
    <row r="363" spans="1:8" s="87" customFormat="1" ht="12.75">
      <c r="A363" s="88" t="s">
        <v>840</v>
      </c>
      <c r="B363" s="88" t="s">
        <v>60</v>
      </c>
      <c r="C363" s="88" t="s">
        <v>1145</v>
      </c>
      <c r="D363" s="89" t="s">
        <v>1454</v>
      </c>
      <c r="E363" s="88" t="s">
        <v>606</v>
      </c>
      <c r="F363" s="92"/>
      <c r="G363" s="90">
        <v>5</v>
      </c>
      <c r="H363" s="91" t="s">
        <v>622</v>
      </c>
    </row>
    <row r="364" spans="1:8" s="87" customFormat="1" ht="12.75">
      <c r="A364" s="88" t="s">
        <v>841</v>
      </c>
      <c r="B364" s="88" t="s">
        <v>60</v>
      </c>
      <c r="C364" s="88" t="s">
        <v>1146</v>
      </c>
      <c r="D364" s="89" t="s">
        <v>1455</v>
      </c>
      <c r="E364" s="88" t="s">
        <v>609</v>
      </c>
      <c r="F364" s="92"/>
      <c r="G364" s="90">
        <v>20</v>
      </c>
      <c r="H364" s="91" t="s">
        <v>622</v>
      </c>
    </row>
    <row r="365" spans="1:8" s="87" customFormat="1" ht="12.75">
      <c r="A365" s="88" t="s">
        <v>842</v>
      </c>
      <c r="B365" s="88" t="s">
        <v>60</v>
      </c>
      <c r="C365" s="88" t="s">
        <v>1147</v>
      </c>
      <c r="D365" s="89" t="s">
        <v>1456</v>
      </c>
      <c r="E365" s="88" t="s">
        <v>609</v>
      </c>
      <c r="F365" s="92"/>
      <c r="G365" s="90">
        <v>20</v>
      </c>
      <c r="H365" s="91" t="s">
        <v>622</v>
      </c>
    </row>
    <row r="366" spans="1:8" s="87" customFormat="1" ht="12.75">
      <c r="A366" s="88" t="s">
        <v>843</v>
      </c>
      <c r="B366" s="88" t="s">
        <v>60</v>
      </c>
      <c r="C366" s="88" t="s">
        <v>1148</v>
      </c>
      <c r="D366" s="89" t="s">
        <v>1457</v>
      </c>
      <c r="E366" s="88" t="s">
        <v>606</v>
      </c>
      <c r="F366" s="92"/>
      <c r="G366" s="90">
        <v>3</v>
      </c>
      <c r="H366" s="91" t="s">
        <v>622</v>
      </c>
    </row>
    <row r="367" spans="1:8" s="87" customFormat="1" ht="12.75">
      <c r="A367" s="88" t="s">
        <v>844</v>
      </c>
      <c r="B367" s="88" t="s">
        <v>60</v>
      </c>
      <c r="C367" s="88" t="s">
        <v>1149</v>
      </c>
      <c r="D367" s="89" t="s">
        <v>1457</v>
      </c>
      <c r="E367" s="88" t="s">
        <v>606</v>
      </c>
      <c r="F367" s="92"/>
      <c r="G367" s="90">
        <v>3</v>
      </c>
      <c r="H367" s="91" t="s">
        <v>622</v>
      </c>
    </row>
    <row r="368" spans="1:8" s="87" customFormat="1" ht="12.75">
      <c r="A368" s="88" t="s">
        <v>845</v>
      </c>
      <c r="B368" s="88" t="s">
        <v>60</v>
      </c>
      <c r="C368" s="88" t="s">
        <v>1150</v>
      </c>
      <c r="D368" s="89" t="s">
        <v>1458</v>
      </c>
      <c r="E368" s="88" t="s">
        <v>609</v>
      </c>
      <c r="F368" s="92"/>
      <c r="G368" s="90">
        <v>2</v>
      </c>
      <c r="H368" s="91" t="s">
        <v>622</v>
      </c>
    </row>
    <row r="369" spans="1:8" s="87" customFormat="1" ht="12.75">
      <c r="A369" s="88" t="s">
        <v>846</v>
      </c>
      <c r="B369" s="88" t="s">
        <v>60</v>
      </c>
      <c r="C369" s="88" t="s">
        <v>1151</v>
      </c>
      <c r="D369" s="89" t="s">
        <v>1459</v>
      </c>
      <c r="E369" s="88" t="s">
        <v>609</v>
      </c>
      <c r="F369" s="92"/>
      <c r="G369" s="90">
        <v>2</v>
      </c>
      <c r="H369" s="91" t="s">
        <v>622</v>
      </c>
    </row>
    <row r="370" spans="1:8" s="87" customFormat="1" ht="12.75">
      <c r="A370" s="88" t="s">
        <v>847</v>
      </c>
      <c r="B370" s="88" t="s">
        <v>60</v>
      </c>
      <c r="C370" s="88" t="s">
        <v>1152</v>
      </c>
      <c r="D370" s="89" t="s">
        <v>1460</v>
      </c>
      <c r="E370" s="88" t="s">
        <v>609</v>
      </c>
      <c r="F370" s="92"/>
      <c r="G370" s="90">
        <v>55</v>
      </c>
      <c r="H370" s="91" t="s">
        <v>622</v>
      </c>
    </row>
    <row r="371" spans="1:8" s="87" customFormat="1" ht="12.75">
      <c r="A371" s="88" t="s">
        <v>848</v>
      </c>
      <c r="B371" s="88" t="s">
        <v>60</v>
      </c>
      <c r="C371" s="88" t="s">
        <v>1153</v>
      </c>
      <c r="D371" s="89" t="s">
        <v>1461</v>
      </c>
      <c r="E371" s="88" t="s">
        <v>609</v>
      </c>
      <c r="F371" s="92"/>
      <c r="G371" s="90">
        <v>55</v>
      </c>
      <c r="H371" s="91" t="s">
        <v>622</v>
      </c>
    </row>
    <row r="372" spans="1:8" s="87" customFormat="1" ht="12.75">
      <c r="A372" s="88" t="s">
        <v>849</v>
      </c>
      <c r="B372" s="88" t="s">
        <v>60</v>
      </c>
      <c r="C372" s="88" t="s">
        <v>1154</v>
      </c>
      <c r="D372" s="89" t="s">
        <v>1462</v>
      </c>
      <c r="E372" s="88" t="s">
        <v>609</v>
      </c>
      <c r="F372" s="92"/>
      <c r="G372" s="90">
        <v>40</v>
      </c>
      <c r="H372" s="91" t="s">
        <v>622</v>
      </c>
    </row>
    <row r="373" spans="1:8" s="87" customFormat="1" ht="12.75">
      <c r="A373" s="88" t="s">
        <v>850</v>
      </c>
      <c r="B373" s="88" t="s">
        <v>60</v>
      </c>
      <c r="C373" s="88" t="s">
        <v>1155</v>
      </c>
      <c r="D373" s="89" t="s">
        <v>1463</v>
      </c>
      <c r="E373" s="88" t="s">
        <v>609</v>
      </c>
      <c r="F373" s="92"/>
      <c r="G373" s="90">
        <v>40</v>
      </c>
      <c r="H373" s="91" t="s">
        <v>622</v>
      </c>
    </row>
    <row r="374" spans="1:8" s="87" customFormat="1" ht="12.75">
      <c r="A374" s="88" t="s">
        <v>851</v>
      </c>
      <c r="B374" s="88" t="s">
        <v>60</v>
      </c>
      <c r="C374" s="88" t="s">
        <v>397</v>
      </c>
      <c r="D374" s="89" t="s">
        <v>583</v>
      </c>
      <c r="E374" s="88" t="s">
        <v>609</v>
      </c>
      <c r="F374" s="92"/>
      <c r="G374" s="90">
        <v>2069</v>
      </c>
      <c r="H374" s="91" t="s">
        <v>622</v>
      </c>
    </row>
    <row r="375" spans="1:8" s="87" customFormat="1" ht="12.75">
      <c r="A375" s="88" t="s">
        <v>852</v>
      </c>
      <c r="B375" s="88" t="s">
        <v>60</v>
      </c>
      <c r="C375" s="88" t="s">
        <v>398</v>
      </c>
      <c r="D375" s="89" t="s">
        <v>584</v>
      </c>
      <c r="E375" s="88" t="s">
        <v>609</v>
      </c>
      <c r="F375" s="92"/>
      <c r="G375" s="90">
        <v>570</v>
      </c>
      <c r="H375" s="91" t="s">
        <v>622</v>
      </c>
    </row>
    <row r="376" spans="1:8" s="87" customFormat="1" ht="12.75">
      <c r="A376" s="88" t="s">
        <v>853</v>
      </c>
      <c r="B376" s="88" t="s">
        <v>60</v>
      </c>
      <c r="C376" s="88" t="s">
        <v>1156</v>
      </c>
      <c r="D376" s="89" t="s">
        <v>1464</v>
      </c>
      <c r="E376" s="88" t="s">
        <v>609</v>
      </c>
      <c r="F376" s="92"/>
      <c r="G376" s="90">
        <v>24</v>
      </c>
      <c r="H376" s="91" t="s">
        <v>622</v>
      </c>
    </row>
    <row r="377" spans="1:8" s="87" customFormat="1" ht="12.75">
      <c r="A377" s="88" t="s">
        <v>854</v>
      </c>
      <c r="B377" s="88" t="s">
        <v>60</v>
      </c>
      <c r="C377" s="88" t="s">
        <v>1156</v>
      </c>
      <c r="D377" s="89" t="s">
        <v>1465</v>
      </c>
      <c r="E377" s="88" t="s">
        <v>609</v>
      </c>
      <c r="F377" s="92"/>
      <c r="G377" s="90">
        <v>710</v>
      </c>
      <c r="H377" s="91" t="s">
        <v>622</v>
      </c>
    </row>
    <row r="378" spans="1:8" s="87" customFormat="1" ht="12.75">
      <c r="A378" s="88" t="s">
        <v>855</v>
      </c>
      <c r="B378" s="88" t="s">
        <v>60</v>
      </c>
      <c r="C378" s="88" t="s">
        <v>1157</v>
      </c>
      <c r="D378" s="89" t="s">
        <v>1466</v>
      </c>
      <c r="E378" s="88" t="s">
        <v>609</v>
      </c>
      <c r="F378" s="92"/>
      <c r="G378" s="90">
        <v>35</v>
      </c>
      <c r="H378" s="91" t="s">
        <v>622</v>
      </c>
    </row>
    <row r="379" spans="1:8" s="87" customFormat="1" ht="12.75">
      <c r="A379" s="88" t="s">
        <v>856</v>
      </c>
      <c r="B379" s="88" t="s">
        <v>60</v>
      </c>
      <c r="C379" s="88" t="s">
        <v>1158</v>
      </c>
      <c r="D379" s="89" t="s">
        <v>1467</v>
      </c>
      <c r="E379" s="88" t="s">
        <v>609</v>
      </c>
      <c r="F379" s="92"/>
      <c r="G379" s="90">
        <v>730</v>
      </c>
      <c r="H379" s="91" t="s">
        <v>622</v>
      </c>
    </row>
    <row r="380" spans="1:8" s="87" customFormat="1" ht="12.75">
      <c r="A380" s="88" t="s">
        <v>857</v>
      </c>
      <c r="B380" s="88" t="s">
        <v>60</v>
      </c>
      <c r="C380" s="88" t="s">
        <v>1159</v>
      </c>
      <c r="D380" s="89" t="s">
        <v>1468</v>
      </c>
      <c r="E380" s="88" t="s">
        <v>609</v>
      </c>
      <c r="F380" s="92"/>
      <c r="G380" s="90">
        <v>668</v>
      </c>
      <c r="H380" s="91" t="s">
        <v>622</v>
      </c>
    </row>
    <row r="381" spans="1:8" s="87" customFormat="1" ht="12.75">
      <c r="A381" s="88" t="s">
        <v>858</v>
      </c>
      <c r="B381" s="88" t="s">
        <v>60</v>
      </c>
      <c r="C381" s="88" t="s">
        <v>1160</v>
      </c>
      <c r="D381" s="89" t="s">
        <v>1469</v>
      </c>
      <c r="E381" s="88" t="s">
        <v>609</v>
      </c>
      <c r="F381" s="92"/>
      <c r="G381" s="90">
        <v>40</v>
      </c>
      <c r="H381" s="91" t="s">
        <v>622</v>
      </c>
    </row>
    <row r="382" spans="1:8" s="87" customFormat="1" ht="12.75">
      <c r="A382" s="88" t="s">
        <v>859</v>
      </c>
      <c r="B382" s="88" t="s">
        <v>60</v>
      </c>
      <c r="C382" s="88" t="s">
        <v>1161</v>
      </c>
      <c r="D382" s="89" t="s">
        <v>1470</v>
      </c>
      <c r="E382" s="88" t="s">
        <v>609</v>
      </c>
      <c r="F382" s="92"/>
      <c r="G382" s="90">
        <v>628</v>
      </c>
      <c r="H382" s="91" t="s">
        <v>622</v>
      </c>
    </row>
    <row r="383" spans="1:8" s="87" customFormat="1" ht="12.75">
      <c r="A383" s="88" t="s">
        <v>860</v>
      </c>
      <c r="B383" s="88" t="s">
        <v>60</v>
      </c>
      <c r="C383" s="88" t="s">
        <v>1162</v>
      </c>
      <c r="D383" s="89" t="s">
        <v>1471</v>
      </c>
      <c r="E383" s="88" t="s">
        <v>609</v>
      </c>
      <c r="F383" s="92"/>
      <c r="G383" s="90">
        <v>35</v>
      </c>
      <c r="H383" s="91" t="s">
        <v>622</v>
      </c>
    </row>
    <row r="384" spans="1:8" s="87" customFormat="1" ht="12.75">
      <c r="A384" s="88" t="s">
        <v>861</v>
      </c>
      <c r="B384" s="88" t="s">
        <v>60</v>
      </c>
      <c r="C384" s="88" t="s">
        <v>1163</v>
      </c>
      <c r="D384" s="89" t="s">
        <v>1472</v>
      </c>
      <c r="E384" s="88" t="s">
        <v>609</v>
      </c>
      <c r="F384" s="92"/>
      <c r="G384" s="90">
        <v>35</v>
      </c>
      <c r="H384" s="91" t="s">
        <v>622</v>
      </c>
    </row>
    <row r="385" spans="1:8" s="87" customFormat="1" ht="12.75">
      <c r="A385" s="88" t="s">
        <v>862</v>
      </c>
      <c r="B385" s="88" t="s">
        <v>60</v>
      </c>
      <c r="C385" s="88" t="s">
        <v>399</v>
      </c>
      <c r="D385" s="89" t="s">
        <v>585</v>
      </c>
      <c r="E385" s="88" t="s">
        <v>606</v>
      </c>
      <c r="F385" s="92"/>
      <c r="G385" s="90">
        <v>243</v>
      </c>
      <c r="H385" s="91" t="s">
        <v>622</v>
      </c>
    </row>
    <row r="386" spans="1:8" s="87" customFormat="1" ht="12.75">
      <c r="A386" s="88" t="s">
        <v>863</v>
      </c>
      <c r="B386" s="88" t="s">
        <v>60</v>
      </c>
      <c r="C386" s="88" t="s">
        <v>400</v>
      </c>
      <c r="D386" s="89" t="s">
        <v>586</v>
      </c>
      <c r="E386" s="88" t="s">
        <v>613</v>
      </c>
      <c r="F386" s="92"/>
      <c r="G386" s="90">
        <v>45</v>
      </c>
      <c r="H386" s="91" t="s">
        <v>622</v>
      </c>
    </row>
    <row r="387" spans="1:8" s="87" customFormat="1" ht="12.75">
      <c r="A387" s="88" t="s">
        <v>864</v>
      </c>
      <c r="B387" s="88" t="s">
        <v>60</v>
      </c>
      <c r="C387" s="88" t="s">
        <v>1164</v>
      </c>
      <c r="D387" s="89" t="s">
        <v>1473</v>
      </c>
      <c r="E387" s="88" t="s">
        <v>613</v>
      </c>
      <c r="F387" s="92"/>
      <c r="G387" s="90">
        <v>6</v>
      </c>
      <c r="H387" s="91" t="s">
        <v>622</v>
      </c>
    </row>
    <row r="388" spans="1:8" s="87" customFormat="1" ht="12.75">
      <c r="A388" s="88" t="s">
        <v>865</v>
      </c>
      <c r="B388" s="88" t="s">
        <v>60</v>
      </c>
      <c r="C388" s="88" t="s">
        <v>401</v>
      </c>
      <c r="D388" s="89" t="s">
        <v>587</v>
      </c>
      <c r="E388" s="88" t="s">
        <v>613</v>
      </c>
      <c r="F388" s="92"/>
      <c r="G388" s="90">
        <v>60</v>
      </c>
      <c r="H388" s="91" t="s">
        <v>622</v>
      </c>
    </row>
    <row r="389" spans="1:8" s="87" customFormat="1" ht="12.75">
      <c r="A389" s="88" t="s">
        <v>866</v>
      </c>
      <c r="B389" s="88" t="s">
        <v>60</v>
      </c>
      <c r="C389" s="88" t="s">
        <v>402</v>
      </c>
      <c r="D389" s="89" t="s">
        <v>588</v>
      </c>
      <c r="E389" s="88" t="s">
        <v>615</v>
      </c>
      <c r="F389" s="92"/>
      <c r="G389" s="90">
        <v>4</v>
      </c>
      <c r="H389" s="91" t="s">
        <v>622</v>
      </c>
    </row>
    <row r="390" spans="1:8" s="87" customFormat="1" ht="12.75">
      <c r="A390" s="88" t="s">
        <v>867</v>
      </c>
      <c r="B390" s="88" t="s">
        <v>60</v>
      </c>
      <c r="C390" s="88" t="s">
        <v>1165</v>
      </c>
      <c r="D390" s="89" t="s">
        <v>1474</v>
      </c>
      <c r="E390" s="88" t="s">
        <v>606</v>
      </c>
      <c r="F390" s="92"/>
      <c r="G390" s="90">
        <v>10</v>
      </c>
      <c r="H390" s="91" t="s">
        <v>622</v>
      </c>
    </row>
    <row r="391" spans="1:8" s="87" customFormat="1" ht="12.75">
      <c r="A391" s="88" t="s">
        <v>868</v>
      </c>
      <c r="B391" s="88" t="s">
        <v>60</v>
      </c>
      <c r="C391" s="88" t="s">
        <v>1166</v>
      </c>
      <c r="D391" s="89" t="s">
        <v>1475</v>
      </c>
      <c r="E391" s="88" t="s">
        <v>606</v>
      </c>
      <c r="F391" s="92"/>
      <c r="G391" s="90">
        <v>1</v>
      </c>
      <c r="H391" s="91" t="s">
        <v>622</v>
      </c>
    </row>
    <row r="392" spans="1:8" s="87" customFormat="1" ht="12.75">
      <c r="A392" s="88" t="s">
        <v>869</v>
      </c>
      <c r="B392" s="88" t="s">
        <v>60</v>
      </c>
      <c r="C392" s="88" t="s">
        <v>1167</v>
      </c>
      <c r="D392" s="89" t="s">
        <v>1476</v>
      </c>
      <c r="E392" s="88" t="s">
        <v>606</v>
      </c>
      <c r="F392" s="92"/>
      <c r="G392" s="90">
        <v>1</v>
      </c>
      <c r="H392" s="91" t="s">
        <v>622</v>
      </c>
    </row>
    <row r="393" spans="1:8" s="87" customFormat="1" ht="12.75">
      <c r="A393" s="88" t="s">
        <v>870</v>
      </c>
      <c r="B393" s="88" t="s">
        <v>60</v>
      </c>
      <c r="C393" s="88" t="s">
        <v>1168</v>
      </c>
      <c r="D393" s="89" t="s">
        <v>1477</v>
      </c>
      <c r="E393" s="88" t="s">
        <v>606</v>
      </c>
      <c r="F393" s="92"/>
      <c r="G393" s="90">
        <v>10</v>
      </c>
      <c r="H393" s="91" t="s">
        <v>622</v>
      </c>
    </row>
    <row r="394" spans="1:8" s="87" customFormat="1" ht="12.75">
      <c r="A394" s="88" t="s">
        <v>871</v>
      </c>
      <c r="B394" s="88" t="s">
        <v>60</v>
      </c>
      <c r="C394" s="88" t="s">
        <v>1169</v>
      </c>
      <c r="D394" s="89" t="s">
        <v>1478</v>
      </c>
      <c r="E394" s="88" t="s">
        <v>606</v>
      </c>
      <c r="F394" s="92"/>
      <c r="G394" s="90">
        <v>10</v>
      </c>
      <c r="H394" s="91" t="s">
        <v>622</v>
      </c>
    </row>
    <row r="395" spans="1:8" s="87" customFormat="1" ht="12.75" hidden="1">
      <c r="A395" s="88" t="s">
        <v>872</v>
      </c>
      <c r="B395" s="88" t="s">
        <v>60</v>
      </c>
      <c r="C395" s="88" t="s">
        <v>1170</v>
      </c>
      <c r="D395" s="89" t="s">
        <v>1479</v>
      </c>
      <c r="E395" s="88" t="s">
        <v>606</v>
      </c>
      <c r="F395" s="92"/>
      <c r="G395" s="90">
        <v>0</v>
      </c>
      <c r="H395" s="91" t="s">
        <v>622</v>
      </c>
    </row>
    <row r="396" spans="1:8" s="87" customFormat="1" ht="12.75" hidden="1">
      <c r="A396" s="88" t="s">
        <v>873</v>
      </c>
      <c r="B396" s="88" t="s">
        <v>60</v>
      </c>
      <c r="C396" s="88" t="s">
        <v>1171</v>
      </c>
      <c r="D396" s="89" t="s">
        <v>1480</v>
      </c>
      <c r="E396" s="88" t="s">
        <v>606</v>
      </c>
      <c r="F396" s="92"/>
      <c r="G396" s="90">
        <v>0</v>
      </c>
      <c r="H396" s="91" t="s">
        <v>622</v>
      </c>
    </row>
    <row r="397" spans="1:8" s="87" customFormat="1" ht="12.75">
      <c r="A397" s="88" t="s">
        <v>874</v>
      </c>
      <c r="B397" s="88" t="s">
        <v>60</v>
      </c>
      <c r="C397" s="88" t="s">
        <v>1172</v>
      </c>
      <c r="D397" s="89" t="s">
        <v>1481</v>
      </c>
      <c r="E397" s="88" t="s">
        <v>606</v>
      </c>
      <c r="F397" s="92"/>
      <c r="G397" s="90">
        <v>4</v>
      </c>
      <c r="H397" s="91" t="s">
        <v>622</v>
      </c>
    </row>
    <row r="398" spans="1:8" s="87" customFormat="1" ht="12.75" hidden="1">
      <c r="A398" s="88" t="s">
        <v>875</v>
      </c>
      <c r="B398" s="88" t="s">
        <v>60</v>
      </c>
      <c r="C398" s="88" t="s">
        <v>1173</v>
      </c>
      <c r="D398" s="89" t="s">
        <v>1482</v>
      </c>
      <c r="E398" s="88" t="s">
        <v>606</v>
      </c>
      <c r="F398" s="92"/>
      <c r="G398" s="90">
        <v>0</v>
      </c>
      <c r="H398" s="91" t="s">
        <v>622</v>
      </c>
    </row>
    <row r="399" spans="1:8" s="87" customFormat="1" ht="12.75">
      <c r="A399" s="88" t="s">
        <v>876</v>
      </c>
      <c r="B399" s="88" t="s">
        <v>60</v>
      </c>
      <c r="C399" s="88" t="s">
        <v>1174</v>
      </c>
      <c r="D399" s="89" t="s">
        <v>1483</v>
      </c>
      <c r="E399" s="88" t="s">
        <v>606</v>
      </c>
      <c r="F399" s="92"/>
      <c r="G399" s="90">
        <v>4</v>
      </c>
      <c r="H399" s="91" t="s">
        <v>622</v>
      </c>
    </row>
    <row r="400" spans="1:8" s="87" customFormat="1" ht="12.75" hidden="1">
      <c r="A400" s="88" t="s">
        <v>877</v>
      </c>
      <c r="B400" s="88" t="s">
        <v>60</v>
      </c>
      <c r="C400" s="88" t="s">
        <v>1175</v>
      </c>
      <c r="D400" s="89" t="s">
        <v>1484</v>
      </c>
      <c r="E400" s="88" t="s">
        <v>606</v>
      </c>
      <c r="F400" s="92"/>
      <c r="G400" s="90">
        <v>0</v>
      </c>
      <c r="H400" s="91" t="s">
        <v>622</v>
      </c>
    </row>
    <row r="401" spans="1:8" s="87" customFormat="1" ht="12.75" hidden="1">
      <c r="A401" s="88" t="s">
        <v>878</v>
      </c>
      <c r="B401" s="88" t="s">
        <v>60</v>
      </c>
      <c r="C401" s="88" t="s">
        <v>1176</v>
      </c>
      <c r="D401" s="89" t="s">
        <v>1485</v>
      </c>
      <c r="E401" s="88" t="s">
        <v>606</v>
      </c>
      <c r="F401" s="92"/>
      <c r="G401" s="90">
        <v>0</v>
      </c>
      <c r="H401" s="91" t="s">
        <v>622</v>
      </c>
    </row>
    <row r="402" spans="1:8" s="87" customFormat="1" ht="12.75" hidden="1">
      <c r="A402" s="88" t="s">
        <v>879</v>
      </c>
      <c r="B402" s="88" t="s">
        <v>60</v>
      </c>
      <c r="C402" s="88" t="s">
        <v>1177</v>
      </c>
      <c r="D402" s="89" t="s">
        <v>1486</v>
      </c>
      <c r="E402" s="88" t="s">
        <v>606</v>
      </c>
      <c r="F402" s="92"/>
      <c r="G402" s="90">
        <v>0</v>
      </c>
      <c r="H402" s="91" t="s">
        <v>622</v>
      </c>
    </row>
    <row r="403" spans="1:8" s="87" customFormat="1" ht="12.75" hidden="1">
      <c r="A403" s="88" t="s">
        <v>880</v>
      </c>
      <c r="B403" s="88" t="s">
        <v>60</v>
      </c>
      <c r="C403" s="88" t="s">
        <v>1178</v>
      </c>
      <c r="D403" s="89" t="s">
        <v>1487</v>
      </c>
      <c r="E403" s="88" t="s">
        <v>606</v>
      </c>
      <c r="F403" s="92"/>
      <c r="G403" s="90">
        <v>0</v>
      </c>
      <c r="H403" s="91" t="s">
        <v>622</v>
      </c>
    </row>
    <row r="404" spans="1:8" s="87" customFormat="1" ht="12.75">
      <c r="A404" s="88" t="s">
        <v>881</v>
      </c>
      <c r="B404" s="88" t="s">
        <v>60</v>
      </c>
      <c r="C404" s="88" t="s">
        <v>1179</v>
      </c>
      <c r="D404" s="89" t="s">
        <v>1488</v>
      </c>
      <c r="E404" s="88" t="s">
        <v>606</v>
      </c>
      <c r="F404" s="92"/>
      <c r="G404" s="90">
        <v>19</v>
      </c>
      <c r="H404" s="91" t="s">
        <v>622</v>
      </c>
    </row>
    <row r="405" spans="1:8" s="87" customFormat="1" ht="12.75">
      <c r="A405" s="88" t="s">
        <v>882</v>
      </c>
      <c r="B405" s="88" t="s">
        <v>60</v>
      </c>
      <c r="C405" s="88" t="s">
        <v>1180</v>
      </c>
      <c r="D405" s="89" t="s">
        <v>1489</v>
      </c>
      <c r="E405" s="88" t="s">
        <v>606</v>
      </c>
      <c r="F405" s="92"/>
      <c r="G405" s="90">
        <v>13</v>
      </c>
      <c r="H405" s="91" t="s">
        <v>622</v>
      </c>
    </row>
    <row r="406" spans="1:8" s="87" customFormat="1" ht="12.75">
      <c r="A406" s="88" t="s">
        <v>883</v>
      </c>
      <c r="B406" s="88" t="s">
        <v>60</v>
      </c>
      <c r="C406" s="88" t="s">
        <v>1181</v>
      </c>
      <c r="D406" s="89" t="s">
        <v>1490</v>
      </c>
      <c r="E406" s="88" t="s">
        <v>606</v>
      </c>
      <c r="F406" s="92"/>
      <c r="G406" s="90">
        <v>6</v>
      </c>
      <c r="H406" s="91" t="s">
        <v>622</v>
      </c>
    </row>
    <row r="407" spans="1:8" s="87" customFormat="1" ht="12.75" hidden="1">
      <c r="A407" s="88" t="s">
        <v>884</v>
      </c>
      <c r="B407" s="88" t="s">
        <v>60</v>
      </c>
      <c r="C407" s="88" t="s">
        <v>1182</v>
      </c>
      <c r="D407" s="89" t="s">
        <v>1491</v>
      </c>
      <c r="E407" s="88" t="s">
        <v>606</v>
      </c>
      <c r="F407" s="92"/>
      <c r="G407" s="90">
        <v>0</v>
      </c>
      <c r="H407" s="91" t="s">
        <v>622</v>
      </c>
    </row>
    <row r="408" spans="1:8" s="87" customFormat="1" ht="12.75">
      <c r="A408" s="88" t="s">
        <v>885</v>
      </c>
      <c r="B408" s="88" t="s">
        <v>60</v>
      </c>
      <c r="C408" s="88" t="s">
        <v>1183</v>
      </c>
      <c r="D408" s="89" t="s">
        <v>1492</v>
      </c>
      <c r="E408" s="88" t="s">
        <v>606</v>
      </c>
      <c r="F408" s="92"/>
      <c r="G408" s="90">
        <v>7</v>
      </c>
      <c r="H408" s="91" t="s">
        <v>622</v>
      </c>
    </row>
    <row r="409" spans="1:8" s="87" customFormat="1" ht="12.75">
      <c r="A409" s="88" t="s">
        <v>886</v>
      </c>
      <c r="B409" s="88" t="s">
        <v>60</v>
      </c>
      <c r="C409" s="88" t="s">
        <v>1184</v>
      </c>
      <c r="D409" s="89" t="s">
        <v>1493</v>
      </c>
      <c r="E409" s="88" t="s">
        <v>606</v>
      </c>
      <c r="F409" s="92"/>
      <c r="G409" s="90">
        <v>7</v>
      </c>
      <c r="H409" s="91" t="s">
        <v>622</v>
      </c>
    </row>
    <row r="410" spans="1:8" s="87" customFormat="1" ht="12.75">
      <c r="A410" s="88" t="s">
        <v>887</v>
      </c>
      <c r="B410" s="88" t="s">
        <v>60</v>
      </c>
      <c r="C410" s="88" t="s">
        <v>1185</v>
      </c>
      <c r="D410" s="89" t="s">
        <v>1494</v>
      </c>
      <c r="E410" s="88" t="s">
        <v>606</v>
      </c>
      <c r="F410" s="92"/>
      <c r="G410" s="90">
        <v>2</v>
      </c>
      <c r="H410" s="91" t="s">
        <v>622</v>
      </c>
    </row>
    <row r="411" spans="1:8" s="87" customFormat="1" ht="12.75">
      <c r="A411" s="88" t="s">
        <v>888</v>
      </c>
      <c r="B411" s="88" t="s">
        <v>60</v>
      </c>
      <c r="C411" s="88" t="s">
        <v>1186</v>
      </c>
      <c r="D411" s="89" t="s">
        <v>1495</v>
      </c>
      <c r="E411" s="88" t="s">
        <v>606</v>
      </c>
      <c r="F411" s="92"/>
      <c r="G411" s="90">
        <v>1</v>
      </c>
      <c r="H411" s="91" t="s">
        <v>622</v>
      </c>
    </row>
    <row r="412" spans="1:8" s="87" customFormat="1" ht="12.75">
      <c r="A412" s="88" t="s">
        <v>889</v>
      </c>
      <c r="B412" s="88" t="s">
        <v>60</v>
      </c>
      <c r="C412" s="88" t="s">
        <v>1187</v>
      </c>
      <c r="D412" s="89" t="s">
        <v>1496</v>
      </c>
      <c r="E412" s="88" t="s">
        <v>606</v>
      </c>
      <c r="F412" s="92"/>
      <c r="G412" s="90">
        <v>1</v>
      </c>
      <c r="H412" s="91" t="s">
        <v>622</v>
      </c>
    </row>
    <row r="413" spans="1:8" s="87" customFormat="1" ht="12.75">
      <c r="A413" s="88" t="s">
        <v>890</v>
      </c>
      <c r="B413" s="88" t="s">
        <v>60</v>
      </c>
      <c r="C413" s="88" t="s">
        <v>1188</v>
      </c>
      <c r="D413" s="89" t="s">
        <v>1497</v>
      </c>
      <c r="E413" s="88" t="s">
        <v>606</v>
      </c>
      <c r="F413" s="92"/>
      <c r="G413" s="90">
        <v>1</v>
      </c>
      <c r="H413" s="91" t="s">
        <v>622</v>
      </c>
    </row>
    <row r="414" spans="1:8" s="87" customFormat="1" ht="12.75">
      <c r="A414" s="88" t="s">
        <v>891</v>
      </c>
      <c r="B414" s="88" t="s">
        <v>60</v>
      </c>
      <c r="C414" s="88" t="s">
        <v>1189</v>
      </c>
      <c r="D414" s="89" t="s">
        <v>1498</v>
      </c>
      <c r="E414" s="88" t="s">
        <v>606</v>
      </c>
      <c r="F414" s="92"/>
      <c r="G414" s="90">
        <v>1</v>
      </c>
      <c r="H414" s="91" t="s">
        <v>622</v>
      </c>
    </row>
    <row r="415" spans="1:8" s="87" customFormat="1" ht="12.75">
      <c r="A415" s="88" t="s">
        <v>892</v>
      </c>
      <c r="B415" s="88" t="s">
        <v>60</v>
      </c>
      <c r="C415" s="88" t="s">
        <v>1190</v>
      </c>
      <c r="D415" s="89" t="s">
        <v>1499</v>
      </c>
      <c r="E415" s="88" t="s">
        <v>606</v>
      </c>
      <c r="F415" s="92"/>
      <c r="G415" s="90">
        <v>2</v>
      </c>
      <c r="H415" s="91" t="s">
        <v>622</v>
      </c>
    </row>
    <row r="416" spans="1:8" s="87" customFormat="1" ht="12.75">
      <c r="A416" s="88" t="s">
        <v>893</v>
      </c>
      <c r="B416" s="88" t="s">
        <v>60</v>
      </c>
      <c r="C416" s="88" t="s">
        <v>1191</v>
      </c>
      <c r="D416" s="89" t="s">
        <v>1499</v>
      </c>
      <c r="E416" s="88" t="s">
        <v>606</v>
      </c>
      <c r="F416" s="92"/>
      <c r="G416" s="90">
        <v>2</v>
      </c>
      <c r="H416" s="91" t="s">
        <v>622</v>
      </c>
    </row>
    <row r="417" spans="1:8" s="87" customFormat="1" ht="12.75">
      <c r="A417" s="88" t="s">
        <v>894</v>
      </c>
      <c r="B417" s="88" t="s">
        <v>60</v>
      </c>
      <c r="C417" s="88" t="s">
        <v>1192</v>
      </c>
      <c r="D417" s="89" t="s">
        <v>1500</v>
      </c>
      <c r="E417" s="88" t="s">
        <v>606</v>
      </c>
      <c r="F417" s="92"/>
      <c r="G417" s="90">
        <v>2</v>
      </c>
      <c r="H417" s="91" t="s">
        <v>622</v>
      </c>
    </row>
    <row r="418" spans="1:8" s="87" customFormat="1" ht="12.75">
      <c r="A418" s="88" t="s">
        <v>895</v>
      </c>
      <c r="B418" s="88" t="s">
        <v>60</v>
      </c>
      <c r="C418" s="88" t="s">
        <v>1193</v>
      </c>
      <c r="D418" s="89" t="s">
        <v>1500</v>
      </c>
      <c r="E418" s="88" t="s">
        <v>606</v>
      </c>
      <c r="F418" s="92"/>
      <c r="G418" s="90">
        <v>2</v>
      </c>
      <c r="H418" s="91" t="s">
        <v>622</v>
      </c>
    </row>
    <row r="419" spans="1:8" s="87" customFormat="1" ht="12.75">
      <c r="A419" s="88" t="s">
        <v>896</v>
      </c>
      <c r="B419" s="88" t="s">
        <v>60</v>
      </c>
      <c r="C419" s="88" t="s">
        <v>1194</v>
      </c>
      <c r="D419" s="89" t="s">
        <v>1501</v>
      </c>
      <c r="E419" s="88" t="s">
        <v>606</v>
      </c>
      <c r="F419" s="92"/>
      <c r="G419" s="90">
        <v>3</v>
      </c>
      <c r="H419" s="91" t="s">
        <v>622</v>
      </c>
    </row>
    <row r="420" spans="1:8" s="87" customFormat="1" ht="12.75">
      <c r="A420" s="88" t="s">
        <v>897</v>
      </c>
      <c r="B420" s="88" t="s">
        <v>60</v>
      </c>
      <c r="C420" s="88" t="s">
        <v>1195</v>
      </c>
      <c r="D420" s="89" t="s">
        <v>1501</v>
      </c>
      <c r="E420" s="88" t="s">
        <v>606</v>
      </c>
      <c r="F420" s="92"/>
      <c r="G420" s="90">
        <v>3</v>
      </c>
      <c r="H420" s="91" t="s">
        <v>622</v>
      </c>
    </row>
    <row r="421" spans="1:8" s="87" customFormat="1" ht="12.75">
      <c r="A421" s="88" t="s">
        <v>898</v>
      </c>
      <c r="B421" s="88" t="s">
        <v>60</v>
      </c>
      <c r="C421" s="88" t="s">
        <v>1196</v>
      </c>
      <c r="D421" s="89" t="s">
        <v>1502</v>
      </c>
      <c r="E421" s="88" t="s">
        <v>606</v>
      </c>
      <c r="F421" s="92"/>
      <c r="G421" s="90">
        <v>3</v>
      </c>
      <c r="H421" s="91" t="s">
        <v>622</v>
      </c>
    </row>
    <row r="422" spans="1:8" s="87" customFormat="1" ht="12.75">
      <c r="A422" s="88" t="s">
        <v>899</v>
      </c>
      <c r="B422" s="88" t="s">
        <v>60</v>
      </c>
      <c r="C422" s="88" t="s">
        <v>1197</v>
      </c>
      <c r="D422" s="89" t="s">
        <v>1502</v>
      </c>
      <c r="E422" s="88" t="s">
        <v>606</v>
      </c>
      <c r="F422" s="92"/>
      <c r="G422" s="90">
        <v>3</v>
      </c>
      <c r="H422" s="91" t="s">
        <v>622</v>
      </c>
    </row>
    <row r="423" spans="1:8" s="87" customFormat="1" ht="12.75">
      <c r="A423" s="88" t="s">
        <v>900</v>
      </c>
      <c r="B423" s="88" t="s">
        <v>60</v>
      </c>
      <c r="C423" s="88" t="s">
        <v>1198</v>
      </c>
      <c r="D423" s="89" t="s">
        <v>1503</v>
      </c>
      <c r="E423" s="88" t="s">
        <v>606</v>
      </c>
      <c r="F423" s="92"/>
      <c r="G423" s="90">
        <v>2</v>
      </c>
      <c r="H423" s="91" t="s">
        <v>622</v>
      </c>
    </row>
    <row r="424" spans="1:8" s="87" customFormat="1" ht="12.75">
      <c r="A424" s="88" t="s">
        <v>901</v>
      </c>
      <c r="B424" s="88" t="s">
        <v>60</v>
      </c>
      <c r="C424" s="88" t="s">
        <v>1199</v>
      </c>
      <c r="D424" s="89" t="s">
        <v>1503</v>
      </c>
      <c r="E424" s="88" t="s">
        <v>606</v>
      </c>
      <c r="F424" s="92"/>
      <c r="G424" s="90">
        <v>2</v>
      </c>
      <c r="H424" s="91" t="s">
        <v>622</v>
      </c>
    </row>
    <row r="425" spans="1:8" s="87" customFormat="1" ht="12.75">
      <c r="A425" s="88" t="s">
        <v>902</v>
      </c>
      <c r="B425" s="88" t="s">
        <v>60</v>
      </c>
      <c r="C425" s="88" t="s">
        <v>1200</v>
      </c>
      <c r="D425" s="89" t="s">
        <v>1504</v>
      </c>
      <c r="E425" s="88" t="s">
        <v>606</v>
      </c>
      <c r="F425" s="92"/>
      <c r="G425" s="90">
        <v>9</v>
      </c>
      <c r="H425" s="91" t="s">
        <v>622</v>
      </c>
    </row>
    <row r="426" spans="1:8" s="87" customFormat="1" ht="12.75">
      <c r="A426" s="88" t="s">
        <v>903</v>
      </c>
      <c r="B426" s="88" t="s">
        <v>60</v>
      </c>
      <c r="C426" s="88" t="s">
        <v>1201</v>
      </c>
      <c r="D426" s="89" t="s">
        <v>1504</v>
      </c>
      <c r="E426" s="88" t="s">
        <v>606</v>
      </c>
      <c r="F426" s="92"/>
      <c r="G426" s="90">
        <v>9</v>
      </c>
      <c r="H426" s="91" t="s">
        <v>622</v>
      </c>
    </row>
    <row r="427" spans="1:8" s="87" customFormat="1" ht="12.75">
      <c r="A427" s="88" t="s">
        <v>904</v>
      </c>
      <c r="B427" s="88" t="s">
        <v>60</v>
      </c>
      <c r="C427" s="88" t="s">
        <v>1202</v>
      </c>
      <c r="D427" s="89" t="s">
        <v>1505</v>
      </c>
      <c r="E427" s="88" t="s">
        <v>606</v>
      </c>
      <c r="F427" s="92"/>
      <c r="G427" s="90">
        <v>1</v>
      </c>
      <c r="H427" s="91" t="s">
        <v>622</v>
      </c>
    </row>
    <row r="428" spans="1:8" s="87" customFormat="1" ht="12.75">
      <c r="A428" s="88" t="s">
        <v>905</v>
      </c>
      <c r="B428" s="88" t="s">
        <v>60</v>
      </c>
      <c r="C428" s="88" t="s">
        <v>1203</v>
      </c>
      <c r="D428" s="89" t="s">
        <v>1506</v>
      </c>
      <c r="E428" s="88" t="s">
        <v>606</v>
      </c>
      <c r="F428" s="92"/>
      <c r="G428" s="90">
        <v>1</v>
      </c>
      <c r="H428" s="91" t="s">
        <v>622</v>
      </c>
    </row>
    <row r="429" spans="1:8" s="87" customFormat="1" ht="12.75">
      <c r="A429" s="88" t="s">
        <v>906</v>
      </c>
      <c r="B429" s="88" t="s">
        <v>60</v>
      </c>
      <c r="C429" s="88" t="s">
        <v>1204</v>
      </c>
      <c r="D429" s="89" t="s">
        <v>1507</v>
      </c>
      <c r="E429" s="88" t="s">
        <v>606</v>
      </c>
      <c r="F429" s="92"/>
      <c r="G429" s="90">
        <v>2</v>
      </c>
      <c r="H429" s="91" t="s">
        <v>622</v>
      </c>
    </row>
    <row r="430" spans="1:8" s="87" customFormat="1" ht="25.5">
      <c r="A430" s="88" t="s">
        <v>907</v>
      </c>
      <c r="B430" s="88" t="s">
        <v>60</v>
      </c>
      <c r="C430" s="88" t="s">
        <v>1205</v>
      </c>
      <c r="D430" s="89" t="s">
        <v>1508</v>
      </c>
      <c r="E430" s="88" t="s">
        <v>606</v>
      </c>
      <c r="F430" s="92"/>
      <c r="G430" s="90">
        <v>2</v>
      </c>
      <c r="H430" s="91" t="s">
        <v>622</v>
      </c>
    </row>
    <row r="431" spans="1:8" s="87" customFormat="1" ht="25.5" hidden="1">
      <c r="A431" s="88" t="s">
        <v>908</v>
      </c>
      <c r="B431" s="88" t="s">
        <v>60</v>
      </c>
      <c r="C431" s="88" t="s">
        <v>1206</v>
      </c>
      <c r="D431" s="89" t="s">
        <v>1509</v>
      </c>
      <c r="E431" s="88" t="s">
        <v>606</v>
      </c>
      <c r="F431" s="92"/>
      <c r="G431" s="90">
        <v>0</v>
      </c>
      <c r="H431" s="91" t="s">
        <v>622</v>
      </c>
    </row>
    <row r="432" spans="1:8" s="87" customFormat="1" ht="12.75">
      <c r="A432" s="88" t="s">
        <v>909</v>
      </c>
      <c r="B432" s="88" t="s">
        <v>60</v>
      </c>
      <c r="C432" s="88" t="s">
        <v>1207</v>
      </c>
      <c r="D432" s="89" t="s">
        <v>1510</v>
      </c>
      <c r="E432" s="88" t="s">
        <v>606</v>
      </c>
      <c r="F432" s="92"/>
      <c r="G432" s="90">
        <v>1</v>
      </c>
      <c r="H432" s="91" t="s">
        <v>622</v>
      </c>
    </row>
    <row r="433" spans="1:8" s="87" customFormat="1" ht="25.5">
      <c r="A433" s="88" t="s">
        <v>910</v>
      </c>
      <c r="B433" s="88" t="s">
        <v>60</v>
      </c>
      <c r="C433" s="88" t="s">
        <v>1208</v>
      </c>
      <c r="D433" s="89" t="s">
        <v>1511</v>
      </c>
      <c r="E433" s="88" t="s">
        <v>606</v>
      </c>
      <c r="F433" s="92"/>
      <c r="G433" s="90">
        <v>1</v>
      </c>
      <c r="H433" s="91" t="s">
        <v>622</v>
      </c>
    </row>
    <row r="434" spans="1:8" s="87" customFormat="1" ht="12.75">
      <c r="A434" s="88" t="s">
        <v>911</v>
      </c>
      <c r="B434" s="88" t="s">
        <v>60</v>
      </c>
      <c r="C434" s="88" t="s">
        <v>1209</v>
      </c>
      <c r="D434" s="89" t="s">
        <v>1512</v>
      </c>
      <c r="E434" s="88" t="s">
        <v>611</v>
      </c>
      <c r="F434" s="92"/>
      <c r="G434" s="90">
        <v>6</v>
      </c>
      <c r="H434" s="91" t="s">
        <v>622</v>
      </c>
    </row>
    <row r="435" spans="1:8" s="87" customFormat="1" ht="12.75">
      <c r="A435" s="88" t="s">
        <v>912</v>
      </c>
      <c r="B435" s="88" t="s">
        <v>60</v>
      </c>
      <c r="C435" s="88" t="s">
        <v>1210</v>
      </c>
      <c r="D435" s="89" t="s">
        <v>1513</v>
      </c>
      <c r="E435" s="88" t="s">
        <v>614</v>
      </c>
      <c r="F435" s="92"/>
      <c r="G435" s="90">
        <v>1</v>
      </c>
      <c r="H435" s="91" t="s">
        <v>622</v>
      </c>
    </row>
    <row r="436" spans="1:8" s="87" customFormat="1" ht="12.75">
      <c r="A436" s="88" t="s">
        <v>913</v>
      </c>
      <c r="B436" s="88" t="s">
        <v>60</v>
      </c>
      <c r="C436" s="88" t="s">
        <v>1211</v>
      </c>
      <c r="D436" s="89" t="s">
        <v>1514</v>
      </c>
      <c r="E436" s="88" t="s">
        <v>611</v>
      </c>
      <c r="F436" s="92"/>
      <c r="G436" s="90">
        <v>3</v>
      </c>
      <c r="H436" s="91" t="s">
        <v>622</v>
      </c>
    </row>
    <row r="437" spans="1:8" s="87" customFormat="1" ht="12.75">
      <c r="A437" s="88" t="s">
        <v>914</v>
      </c>
      <c r="B437" s="88" t="s">
        <v>60</v>
      </c>
      <c r="C437" s="88" t="s">
        <v>1212</v>
      </c>
      <c r="D437" s="89" t="s">
        <v>1514</v>
      </c>
      <c r="E437" s="88" t="s">
        <v>613</v>
      </c>
      <c r="F437" s="92"/>
      <c r="G437" s="90">
        <v>1</v>
      </c>
      <c r="H437" s="91" t="s">
        <v>622</v>
      </c>
    </row>
    <row r="438" spans="1:8" s="87" customFormat="1" ht="12.75">
      <c r="A438" s="88" t="s">
        <v>915</v>
      </c>
      <c r="B438" s="88" t="s">
        <v>60</v>
      </c>
      <c r="C438" s="88" t="s">
        <v>1213</v>
      </c>
      <c r="D438" s="89" t="s">
        <v>1515</v>
      </c>
      <c r="E438" s="88" t="s">
        <v>613</v>
      </c>
      <c r="F438" s="92"/>
      <c r="G438" s="90">
        <v>1</v>
      </c>
      <c r="H438" s="91" t="s">
        <v>622</v>
      </c>
    </row>
    <row r="439" spans="1:8" s="87" customFormat="1" ht="12.75">
      <c r="A439" s="88" t="s">
        <v>916</v>
      </c>
      <c r="B439" s="88" t="s">
        <v>60</v>
      </c>
      <c r="C439" s="88" t="s">
        <v>1214</v>
      </c>
      <c r="D439" s="89" t="s">
        <v>1515</v>
      </c>
      <c r="E439" s="88" t="s">
        <v>613</v>
      </c>
      <c r="F439" s="92"/>
      <c r="G439" s="90">
        <v>1</v>
      </c>
      <c r="H439" s="91" t="s">
        <v>622</v>
      </c>
    </row>
    <row r="440" spans="1:8" s="87" customFormat="1" ht="12.75">
      <c r="A440" s="88" t="s">
        <v>917</v>
      </c>
      <c r="B440" s="88" t="s">
        <v>60</v>
      </c>
      <c r="C440" s="88" t="s">
        <v>1215</v>
      </c>
      <c r="D440" s="89" t="s">
        <v>1516</v>
      </c>
      <c r="E440" s="88" t="s">
        <v>613</v>
      </c>
      <c r="F440" s="92"/>
      <c r="G440" s="90">
        <v>1</v>
      </c>
      <c r="H440" s="91" t="s">
        <v>622</v>
      </c>
    </row>
    <row r="441" spans="1:8" s="87" customFormat="1" ht="12.75">
      <c r="A441" s="88" t="s">
        <v>918</v>
      </c>
      <c r="B441" s="88" t="s">
        <v>60</v>
      </c>
      <c r="C441" s="88" t="s">
        <v>1205</v>
      </c>
      <c r="D441" s="89" t="s">
        <v>1516</v>
      </c>
      <c r="E441" s="88" t="s">
        <v>613</v>
      </c>
      <c r="F441" s="92"/>
      <c r="G441" s="90">
        <v>1</v>
      </c>
      <c r="H441" s="91" t="s">
        <v>622</v>
      </c>
    </row>
    <row r="442" spans="1:8" s="87" customFormat="1" ht="12.75">
      <c r="A442" s="88" t="s">
        <v>919</v>
      </c>
      <c r="B442" s="88" t="s">
        <v>60</v>
      </c>
      <c r="C442" s="88" t="s">
        <v>1216</v>
      </c>
      <c r="D442" s="89" t="s">
        <v>1517</v>
      </c>
      <c r="E442" s="88" t="s">
        <v>613</v>
      </c>
      <c r="F442" s="92"/>
      <c r="G442" s="90">
        <v>1</v>
      </c>
      <c r="H442" s="91" t="s">
        <v>622</v>
      </c>
    </row>
    <row r="443" spans="1:8" s="87" customFormat="1" ht="12.75">
      <c r="A443" s="88" t="s">
        <v>920</v>
      </c>
      <c r="B443" s="88" t="s">
        <v>60</v>
      </c>
      <c r="C443" s="88" t="s">
        <v>1217</v>
      </c>
      <c r="D443" s="89" t="s">
        <v>1517</v>
      </c>
      <c r="E443" s="88" t="s">
        <v>613</v>
      </c>
      <c r="F443" s="92"/>
      <c r="G443" s="90">
        <v>1</v>
      </c>
      <c r="H443" s="91" t="s">
        <v>622</v>
      </c>
    </row>
    <row r="444" spans="1:8" s="87" customFormat="1" ht="12.75">
      <c r="A444" s="88" t="s">
        <v>921</v>
      </c>
      <c r="B444" s="88" t="s">
        <v>60</v>
      </c>
      <c r="C444" s="88" t="s">
        <v>403</v>
      </c>
      <c r="D444" s="89" t="s">
        <v>589</v>
      </c>
      <c r="E444" s="88" t="s">
        <v>606</v>
      </c>
      <c r="F444" s="92"/>
      <c r="G444" s="90">
        <v>1</v>
      </c>
      <c r="H444" s="91" t="s">
        <v>622</v>
      </c>
    </row>
    <row r="445" spans="1:8" s="87" customFormat="1" ht="12.75">
      <c r="A445" s="88" t="s">
        <v>922</v>
      </c>
      <c r="B445" s="88" t="s">
        <v>60</v>
      </c>
      <c r="C445" s="88" t="s">
        <v>404</v>
      </c>
      <c r="D445" s="89" t="s">
        <v>590</v>
      </c>
      <c r="E445" s="88" t="s">
        <v>606</v>
      </c>
      <c r="F445" s="92"/>
      <c r="G445" s="90">
        <v>31</v>
      </c>
      <c r="H445" s="91" t="s">
        <v>622</v>
      </c>
    </row>
    <row r="446" spans="1:8" s="87" customFormat="1" ht="12.75">
      <c r="A446" s="88" t="s">
        <v>923</v>
      </c>
      <c r="B446" s="88" t="s">
        <v>60</v>
      </c>
      <c r="C446" s="88" t="s">
        <v>1218</v>
      </c>
      <c r="D446" s="89" t="s">
        <v>1518</v>
      </c>
      <c r="E446" s="88" t="s">
        <v>606</v>
      </c>
      <c r="F446" s="92"/>
      <c r="G446" s="90">
        <v>10</v>
      </c>
      <c r="H446" s="91" t="s">
        <v>622</v>
      </c>
    </row>
    <row r="447" spans="1:8" s="87" customFormat="1" ht="12.75">
      <c r="A447" s="88" t="s">
        <v>924</v>
      </c>
      <c r="B447" s="88" t="s">
        <v>60</v>
      </c>
      <c r="C447" s="88" t="s">
        <v>1219</v>
      </c>
      <c r="D447" s="89" t="s">
        <v>1519</v>
      </c>
      <c r="E447" s="88" t="s">
        <v>606</v>
      </c>
      <c r="F447" s="92"/>
      <c r="G447" s="90">
        <v>2</v>
      </c>
      <c r="H447" s="91" t="s">
        <v>622</v>
      </c>
    </row>
    <row r="448" spans="1:8" s="87" customFormat="1" ht="12.75" hidden="1">
      <c r="A448" s="88" t="s">
        <v>925</v>
      </c>
      <c r="B448" s="88" t="s">
        <v>60</v>
      </c>
      <c r="C448" s="88" t="s">
        <v>1220</v>
      </c>
      <c r="D448" s="89" t="s">
        <v>1520</v>
      </c>
      <c r="E448" s="88" t="s">
        <v>606</v>
      </c>
      <c r="F448" s="92"/>
      <c r="G448" s="90">
        <v>0</v>
      </c>
      <c r="H448" s="91" t="s">
        <v>622</v>
      </c>
    </row>
    <row r="449" spans="1:8" s="87" customFormat="1" ht="12.75" hidden="1">
      <c r="A449" s="88" t="s">
        <v>926</v>
      </c>
      <c r="B449" s="88" t="s">
        <v>60</v>
      </c>
      <c r="C449" s="88" t="s">
        <v>405</v>
      </c>
      <c r="D449" s="89" t="s">
        <v>591</v>
      </c>
      <c r="E449" s="88" t="s">
        <v>606</v>
      </c>
      <c r="F449" s="92"/>
      <c r="G449" s="90">
        <v>0</v>
      </c>
      <c r="H449" s="91" t="s">
        <v>622</v>
      </c>
    </row>
    <row r="450" spans="1:8" s="87" customFormat="1" ht="12.75" hidden="1">
      <c r="A450" s="88" t="s">
        <v>927</v>
      </c>
      <c r="B450" s="88" t="s">
        <v>60</v>
      </c>
      <c r="C450" s="88" t="s">
        <v>406</v>
      </c>
      <c r="D450" s="89" t="s">
        <v>592</v>
      </c>
      <c r="E450" s="88" t="s">
        <v>606</v>
      </c>
      <c r="F450" s="92"/>
      <c r="G450" s="90">
        <v>0</v>
      </c>
      <c r="H450" s="91" t="s">
        <v>622</v>
      </c>
    </row>
    <row r="451" spans="1:8" s="87" customFormat="1" ht="12.75">
      <c r="A451" s="88" t="s">
        <v>928</v>
      </c>
      <c r="B451" s="88" t="s">
        <v>60</v>
      </c>
      <c r="C451" s="88" t="s">
        <v>407</v>
      </c>
      <c r="D451" s="89" t="s">
        <v>593</v>
      </c>
      <c r="E451" s="88" t="s">
        <v>606</v>
      </c>
      <c r="F451" s="92"/>
      <c r="G451" s="90">
        <v>3</v>
      </c>
      <c r="H451" s="91" t="s">
        <v>622</v>
      </c>
    </row>
    <row r="452" spans="1:8" s="87" customFormat="1" ht="12.75">
      <c r="A452" s="88" t="s">
        <v>929</v>
      </c>
      <c r="B452" s="88" t="s">
        <v>60</v>
      </c>
      <c r="C452" s="88" t="s">
        <v>1221</v>
      </c>
      <c r="D452" s="89" t="s">
        <v>1521</v>
      </c>
      <c r="E452" s="88" t="s">
        <v>606</v>
      </c>
      <c r="F452" s="92"/>
      <c r="G452" s="90">
        <v>16</v>
      </c>
      <c r="H452" s="91" t="s">
        <v>622</v>
      </c>
    </row>
    <row r="453" spans="1:8" s="87" customFormat="1" ht="12.75">
      <c r="A453" s="88" t="s">
        <v>930</v>
      </c>
      <c r="B453" s="88" t="s">
        <v>60</v>
      </c>
      <c r="C453" s="88" t="s">
        <v>408</v>
      </c>
      <c r="D453" s="89" t="s">
        <v>594</v>
      </c>
      <c r="E453" s="88" t="s">
        <v>606</v>
      </c>
      <c r="F453" s="92"/>
      <c r="G453" s="90">
        <v>3</v>
      </c>
      <c r="H453" s="91" t="s">
        <v>622</v>
      </c>
    </row>
    <row r="454" spans="1:8" s="87" customFormat="1" ht="12.75">
      <c r="A454" s="88" t="s">
        <v>931</v>
      </c>
      <c r="B454" s="88" t="s">
        <v>60</v>
      </c>
      <c r="C454" s="88" t="s">
        <v>409</v>
      </c>
      <c r="D454" s="89" t="s">
        <v>595</v>
      </c>
      <c r="E454" s="88" t="s">
        <v>606</v>
      </c>
      <c r="F454" s="92"/>
      <c r="G454" s="90">
        <v>3</v>
      </c>
      <c r="H454" s="91" t="s">
        <v>622</v>
      </c>
    </row>
    <row r="455" spans="1:8" s="87" customFormat="1" ht="12.75">
      <c r="A455" s="88" t="s">
        <v>932</v>
      </c>
      <c r="B455" s="88" t="s">
        <v>60</v>
      </c>
      <c r="C455" s="88" t="s">
        <v>410</v>
      </c>
      <c r="D455" s="89" t="s">
        <v>596</v>
      </c>
      <c r="E455" s="88" t="s">
        <v>611</v>
      </c>
      <c r="F455" s="92"/>
      <c r="G455" s="90">
        <v>1</v>
      </c>
      <c r="H455" s="91" t="s">
        <v>622</v>
      </c>
    </row>
    <row r="456" spans="1:8" s="87" customFormat="1" ht="12.75">
      <c r="A456" s="88" t="s">
        <v>933</v>
      </c>
      <c r="B456" s="88" t="s">
        <v>60</v>
      </c>
      <c r="C456" s="88" t="s">
        <v>411</v>
      </c>
      <c r="D456" s="89" t="s">
        <v>597</v>
      </c>
      <c r="E456" s="88" t="s">
        <v>614</v>
      </c>
      <c r="F456" s="92"/>
      <c r="G456" s="90">
        <v>1</v>
      </c>
      <c r="H456" s="91" t="s">
        <v>622</v>
      </c>
    </row>
    <row r="457" spans="1:8" s="87" customFormat="1" ht="25.5">
      <c r="A457" s="88" t="s">
        <v>934</v>
      </c>
      <c r="B457" s="88" t="s">
        <v>60</v>
      </c>
      <c r="C457" s="88" t="s">
        <v>412</v>
      </c>
      <c r="D457" s="89" t="s">
        <v>598</v>
      </c>
      <c r="E457" s="88" t="s">
        <v>606</v>
      </c>
      <c r="F457" s="92"/>
      <c r="G457" s="90">
        <v>1</v>
      </c>
      <c r="H457" s="91" t="s">
        <v>622</v>
      </c>
    </row>
    <row r="458" spans="1:8" s="87" customFormat="1" ht="12.75">
      <c r="A458" s="88" t="s">
        <v>935</v>
      </c>
      <c r="B458" s="88" t="s">
        <v>60</v>
      </c>
      <c r="C458" s="88" t="s">
        <v>413</v>
      </c>
      <c r="D458" s="89" t="s">
        <v>1522</v>
      </c>
      <c r="E458" s="88" t="s">
        <v>606</v>
      </c>
      <c r="F458" s="92"/>
      <c r="G458" s="90">
        <v>1</v>
      </c>
      <c r="H458" s="91" t="s">
        <v>622</v>
      </c>
    </row>
    <row r="459" spans="1:8" s="87" customFormat="1" ht="12.75">
      <c r="A459" s="88" t="s">
        <v>936</v>
      </c>
      <c r="B459" s="88" t="s">
        <v>60</v>
      </c>
      <c r="C459" s="88" t="s">
        <v>414</v>
      </c>
      <c r="D459" s="89" t="s">
        <v>600</v>
      </c>
      <c r="E459" s="88" t="s">
        <v>611</v>
      </c>
      <c r="F459" s="92"/>
      <c r="G459" s="90">
        <v>5</v>
      </c>
      <c r="H459" s="91" t="s">
        <v>622</v>
      </c>
    </row>
    <row r="460" spans="1:8" s="87" customFormat="1" ht="12.75">
      <c r="A460" s="88" t="s">
        <v>937</v>
      </c>
      <c r="B460" s="88" t="s">
        <v>60</v>
      </c>
      <c r="C460" s="88" t="s">
        <v>415</v>
      </c>
      <c r="D460" s="89" t="s">
        <v>601</v>
      </c>
      <c r="E460" s="88" t="s">
        <v>611</v>
      </c>
      <c r="F460" s="92"/>
      <c r="G460" s="90">
        <v>6</v>
      </c>
      <c r="H460" s="91" t="s">
        <v>622</v>
      </c>
    </row>
    <row r="461" spans="1:8" s="87" customFormat="1" ht="12.75">
      <c r="A461" s="88" t="s">
        <v>938</v>
      </c>
      <c r="B461" s="88" t="s">
        <v>60</v>
      </c>
      <c r="C461" s="88" t="s">
        <v>416</v>
      </c>
      <c r="D461" s="89" t="s">
        <v>602</v>
      </c>
      <c r="E461" s="88" t="s">
        <v>611</v>
      </c>
      <c r="F461" s="92"/>
      <c r="G461" s="90">
        <v>20</v>
      </c>
      <c r="H461" s="91" t="s">
        <v>622</v>
      </c>
    </row>
    <row r="462" spans="1:8" s="87" customFormat="1" ht="12.75" hidden="1">
      <c r="A462" s="88" t="s">
        <v>939</v>
      </c>
      <c r="B462" s="88" t="s">
        <v>60</v>
      </c>
      <c r="C462" s="88" t="s">
        <v>1222</v>
      </c>
      <c r="D462" s="89" t="s">
        <v>1523</v>
      </c>
      <c r="E462" s="88" t="s">
        <v>611</v>
      </c>
      <c r="F462" s="92"/>
      <c r="G462" s="90">
        <v>0</v>
      </c>
      <c r="H462" s="91" t="s">
        <v>622</v>
      </c>
    </row>
    <row r="463" spans="1:8" s="87" customFormat="1" ht="12.75" hidden="1">
      <c r="A463" s="88" t="s">
        <v>940</v>
      </c>
      <c r="B463" s="88" t="s">
        <v>60</v>
      </c>
      <c r="C463" s="88" t="s">
        <v>1223</v>
      </c>
      <c r="D463" s="89" t="s">
        <v>1524</v>
      </c>
      <c r="E463" s="88" t="s">
        <v>606</v>
      </c>
      <c r="F463" s="92"/>
      <c r="G463" s="90">
        <v>0</v>
      </c>
      <c r="H463" s="91" t="s">
        <v>622</v>
      </c>
    </row>
    <row r="464" spans="1:8" s="87" customFormat="1" ht="12.75">
      <c r="A464" s="88" t="s">
        <v>941</v>
      </c>
      <c r="B464" s="88" t="s">
        <v>60</v>
      </c>
      <c r="C464" s="88" t="s">
        <v>416</v>
      </c>
      <c r="D464" s="89" t="s">
        <v>603</v>
      </c>
      <c r="E464" s="88" t="s">
        <v>616</v>
      </c>
      <c r="F464" s="92"/>
      <c r="G464" s="90">
        <v>1</v>
      </c>
      <c r="H464" s="91" t="s">
        <v>622</v>
      </c>
    </row>
    <row r="465" spans="1:8" s="87" customFormat="1" ht="12.75">
      <c r="A465" s="88" t="s">
        <v>942</v>
      </c>
      <c r="B465" s="88" t="s">
        <v>60</v>
      </c>
      <c r="C465" s="88" t="s">
        <v>417</v>
      </c>
      <c r="D465" s="89" t="s">
        <v>604</v>
      </c>
      <c r="E465" s="88" t="s">
        <v>611</v>
      </c>
      <c r="F465" s="92"/>
      <c r="G465" s="90">
        <v>16</v>
      </c>
      <c r="H465" s="91" t="s">
        <v>622</v>
      </c>
    </row>
    <row r="466" spans="1:8" s="87" customFormat="1" ht="12.75">
      <c r="A466" s="88" t="s">
        <v>943</v>
      </c>
      <c r="B466" s="88" t="s">
        <v>60</v>
      </c>
      <c r="C466" s="88" t="s">
        <v>1224</v>
      </c>
      <c r="D466" s="89" t="s">
        <v>1525</v>
      </c>
      <c r="E466" s="88" t="s">
        <v>606</v>
      </c>
      <c r="F466" s="92"/>
      <c r="G466" s="90">
        <v>66</v>
      </c>
      <c r="H466" s="91" t="s">
        <v>622</v>
      </c>
    </row>
    <row r="468" ht="11.25" customHeight="1">
      <c r="A468" s="24" t="s">
        <v>18</v>
      </c>
    </row>
    <row r="469" spans="1:7" ht="12.75">
      <c r="A469" s="194"/>
      <c r="B469" s="185"/>
      <c r="C469" s="185"/>
      <c r="D469" s="185"/>
      <c r="E469" s="185"/>
      <c r="F469" s="185"/>
      <c r="G469" s="185"/>
    </row>
  </sheetData>
  <sheetProtection algorithmName="SHA-512" hashValue="ZSggpXqgmuMY8AxQNlobsxvGvQfm5r7wSyh/VAyRBgGiJVcrCW+XjJyW1TJU45YaJSxcCNdTMVwVif2my7R0ow==" saltValue="8Dhom1uIIewcoaMJJ1bgBg==" spinCount="100000" sheet="1" objects="1" scenarios="1"/>
  <mergeCells count="18">
    <mergeCell ref="A469:G469"/>
    <mergeCell ref="A6:B7"/>
    <mergeCell ref="C6:D7"/>
    <mergeCell ref="E6:E7"/>
    <mergeCell ref="F6:H7"/>
    <mergeCell ref="A8:B9"/>
    <mergeCell ref="C8:D9"/>
    <mergeCell ref="E8:E9"/>
    <mergeCell ref="F8:H9"/>
    <mergeCell ref="A4:B5"/>
    <mergeCell ref="C4:D5"/>
    <mergeCell ref="E4:E5"/>
    <mergeCell ref="F4:H5"/>
    <mergeCell ref="A1:H1"/>
    <mergeCell ref="A2:B3"/>
    <mergeCell ref="C2:D3"/>
    <mergeCell ref="E2:E3"/>
    <mergeCell ref="F2:H3"/>
  </mergeCells>
  <printOptions/>
  <pageMargins left="0.394" right="0.394" top="0.591" bottom="0.591" header="0.5" footer="0.5"/>
  <pageSetup fitToHeight="0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6"/>
  <sheetViews>
    <sheetView workbookViewId="0" topLeftCell="A1">
      <pane ySplit="11" topLeftCell="A12" activePane="bottomLeft" state="frozen"/>
      <selection pane="bottomLeft" activeCell="D12" sqref="D12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61.7109375" style="0" customWidth="1"/>
    <col min="5" max="5" width="4.28125" style="0" customWidth="1"/>
    <col min="6" max="6" width="12.8515625" style="0" customWidth="1"/>
    <col min="7" max="7" width="12.00390625" style="0" customWidth="1"/>
    <col min="8" max="9" width="14.28125" style="0" hidden="1" customWidth="1"/>
    <col min="10" max="10" width="14.28125" style="0" customWidth="1"/>
    <col min="11" max="12" width="11.7109375" style="0" hidden="1" customWidth="1"/>
    <col min="13" max="13" width="12.00390625" style="0" customWidth="1"/>
    <col min="25" max="62" width="12.140625" style="0" hidden="1" customWidth="1"/>
  </cols>
  <sheetData>
    <row r="1" spans="1:13" ht="72.95" customHeight="1">
      <c r="A1" s="219" t="s">
        <v>1704</v>
      </c>
      <c r="B1" s="181"/>
      <c r="C1" s="181"/>
      <c r="D1" s="181"/>
      <c r="E1" s="242"/>
      <c r="F1" s="242"/>
      <c r="G1" s="181"/>
      <c r="H1" s="181"/>
      <c r="I1" s="181"/>
      <c r="J1" s="181"/>
      <c r="K1" s="181"/>
      <c r="L1" s="181"/>
      <c r="M1" s="181"/>
    </row>
    <row r="2" spans="1:14" ht="12.75">
      <c r="A2" s="182" t="s">
        <v>0</v>
      </c>
      <c r="B2" s="183"/>
      <c r="C2" s="183"/>
      <c r="D2" s="186" t="str">
        <f>'Stavební rozpočet'!D2</f>
        <v>"Snížení energetické náročnosti bytových domů v ul.Komenského"-změna vnitřních prostorů</v>
      </c>
      <c r="G2" s="189" t="str">
        <f>'Stavební rozpočet'!G2</f>
        <v xml:space="preserve"> </v>
      </c>
      <c r="H2" s="183"/>
      <c r="I2" s="189"/>
      <c r="J2" s="189"/>
      <c r="K2" s="183"/>
      <c r="L2" s="183"/>
      <c r="M2" s="220"/>
      <c r="N2" s="18"/>
    </row>
    <row r="3" spans="1:14" ht="12.75">
      <c r="A3" s="184"/>
      <c r="B3" s="185"/>
      <c r="C3" s="185"/>
      <c r="D3" s="188"/>
      <c r="G3" s="185"/>
      <c r="H3" s="185"/>
      <c r="I3" s="185"/>
      <c r="J3" s="185"/>
      <c r="K3" s="185"/>
      <c r="L3" s="185"/>
      <c r="M3" s="191"/>
      <c r="N3" s="18"/>
    </row>
    <row r="4" spans="1:14" ht="12.75">
      <c r="A4" s="193" t="s">
        <v>1</v>
      </c>
      <c r="B4" s="185"/>
      <c r="C4" s="185"/>
      <c r="D4" s="194"/>
      <c r="G4" s="194" t="str">
        <f>'Stavební rozpočet'!G4</f>
        <v> </v>
      </c>
      <c r="H4" s="185"/>
      <c r="I4" s="194"/>
      <c r="J4" s="194"/>
      <c r="K4" s="185"/>
      <c r="L4" s="185"/>
      <c r="M4" s="191"/>
      <c r="N4" s="18"/>
    </row>
    <row r="5" spans="1:14" ht="12.75">
      <c r="A5" s="184"/>
      <c r="B5" s="185"/>
      <c r="C5" s="185"/>
      <c r="D5" s="185"/>
      <c r="G5" s="185"/>
      <c r="H5" s="185"/>
      <c r="I5" s="185"/>
      <c r="J5" s="185"/>
      <c r="K5" s="185"/>
      <c r="L5" s="185"/>
      <c r="M5" s="191"/>
      <c r="N5" s="18"/>
    </row>
    <row r="6" spans="1:14" ht="12.75">
      <c r="A6" s="193" t="s">
        <v>2</v>
      </c>
      <c r="B6" s="185"/>
      <c r="C6" s="185"/>
      <c r="D6" s="194"/>
      <c r="G6" s="194" t="str">
        <f>'Stavební rozpočet'!G6</f>
        <v> </v>
      </c>
      <c r="H6" s="185"/>
      <c r="I6" s="194"/>
      <c r="J6" s="194"/>
      <c r="K6" s="185"/>
      <c r="L6" s="185"/>
      <c r="M6" s="191"/>
      <c r="N6" s="18"/>
    </row>
    <row r="7" spans="1:14" ht="12.75">
      <c r="A7" s="184"/>
      <c r="B7" s="185"/>
      <c r="C7" s="185"/>
      <c r="D7" s="185"/>
      <c r="G7" s="185"/>
      <c r="H7" s="185"/>
      <c r="I7" s="185"/>
      <c r="J7" s="185"/>
      <c r="K7" s="185"/>
      <c r="L7" s="185"/>
      <c r="M7" s="191"/>
      <c r="N7" s="18"/>
    </row>
    <row r="8" spans="1:14" ht="12.75">
      <c r="A8" s="193" t="s">
        <v>4</v>
      </c>
      <c r="B8" s="185"/>
      <c r="C8" s="185"/>
      <c r="D8" s="194"/>
      <c r="G8" s="194"/>
      <c r="H8" s="185"/>
      <c r="I8" s="194"/>
      <c r="J8" s="194"/>
      <c r="K8" s="185"/>
      <c r="L8" s="185"/>
      <c r="M8" s="191"/>
      <c r="N8" s="18"/>
    </row>
    <row r="9" spans="1:14" ht="12.75">
      <c r="A9" s="223"/>
      <c r="B9" s="221"/>
      <c r="C9" s="221"/>
      <c r="D9" s="221"/>
      <c r="E9" s="70"/>
      <c r="F9" s="70"/>
      <c r="G9" s="221"/>
      <c r="H9" s="221"/>
      <c r="I9" s="221"/>
      <c r="J9" s="221"/>
      <c r="K9" s="221"/>
      <c r="L9" s="221"/>
      <c r="M9" s="222"/>
      <c r="N9" s="18"/>
    </row>
    <row r="10" spans="1:14" ht="12.75">
      <c r="A10" s="32" t="s">
        <v>78</v>
      </c>
      <c r="B10" s="39" t="s">
        <v>58</v>
      </c>
      <c r="C10" s="39" t="s">
        <v>245</v>
      </c>
      <c r="D10" s="39" t="s">
        <v>418</v>
      </c>
      <c r="E10" s="39" t="s">
        <v>605</v>
      </c>
      <c r="F10" s="44" t="s">
        <v>617</v>
      </c>
      <c r="G10" s="45" t="s">
        <v>618</v>
      </c>
      <c r="H10" s="229" t="s">
        <v>72</v>
      </c>
      <c r="I10" s="230"/>
      <c r="J10" s="231"/>
      <c r="K10" s="229" t="s">
        <v>76</v>
      </c>
      <c r="L10" s="231"/>
      <c r="M10" s="49" t="s">
        <v>620</v>
      </c>
      <c r="N10" s="19"/>
    </row>
    <row r="11" spans="1:62" ht="12.75">
      <c r="A11" s="33" t="s">
        <v>57</v>
      </c>
      <c r="B11" s="40" t="s">
        <v>57</v>
      </c>
      <c r="C11" s="40" t="s">
        <v>57</v>
      </c>
      <c r="D11" s="22" t="s">
        <v>419</v>
      </c>
      <c r="E11" s="40" t="s">
        <v>57</v>
      </c>
      <c r="F11" s="40" t="s">
        <v>57</v>
      </c>
      <c r="G11" s="46" t="s">
        <v>619</v>
      </c>
      <c r="H11" s="25" t="s">
        <v>73</v>
      </c>
      <c r="I11" s="26" t="s">
        <v>21</v>
      </c>
      <c r="J11" s="28" t="s">
        <v>75</v>
      </c>
      <c r="K11" s="25" t="s">
        <v>618</v>
      </c>
      <c r="L11" s="28" t="s">
        <v>75</v>
      </c>
      <c r="M11" s="50" t="s">
        <v>621</v>
      </c>
      <c r="N11" s="19"/>
      <c r="Z11" s="48" t="s">
        <v>623</v>
      </c>
      <c r="AA11" s="48" t="s">
        <v>624</v>
      </c>
      <c r="AB11" s="48" t="s">
        <v>625</v>
      </c>
      <c r="AC11" s="48" t="s">
        <v>626</v>
      </c>
      <c r="AD11" s="48" t="s">
        <v>627</v>
      </c>
      <c r="AE11" s="48" t="s">
        <v>628</v>
      </c>
      <c r="AF11" s="48" t="s">
        <v>629</v>
      </c>
      <c r="AG11" s="48" t="s">
        <v>630</v>
      </c>
      <c r="AH11" s="48" t="s">
        <v>631</v>
      </c>
      <c r="BH11" s="48" t="s">
        <v>659</v>
      </c>
      <c r="BI11" s="48" t="s">
        <v>660</v>
      </c>
      <c r="BJ11" s="48" t="s">
        <v>661</v>
      </c>
    </row>
    <row r="12" spans="1:13" ht="12.75">
      <c r="A12" s="34"/>
      <c r="B12" s="41" t="s">
        <v>63</v>
      </c>
      <c r="C12" s="41"/>
      <c r="D12" s="41" t="s">
        <v>69</v>
      </c>
      <c r="E12" s="34" t="s">
        <v>57</v>
      </c>
      <c r="F12" s="34" t="s">
        <v>57</v>
      </c>
      <c r="G12" s="34" t="s">
        <v>57</v>
      </c>
      <c r="H12" s="58">
        <f>H13</f>
        <v>0</v>
      </c>
      <c r="I12" s="58">
        <f>I13</f>
        <v>0</v>
      </c>
      <c r="J12" s="58">
        <f>J13</f>
        <v>0</v>
      </c>
      <c r="K12" s="47"/>
      <c r="L12" s="58">
        <f>L13</f>
        <v>0</v>
      </c>
      <c r="M12" s="47"/>
    </row>
    <row r="13" spans="1:47" ht="12.75">
      <c r="A13" s="35"/>
      <c r="B13" s="42" t="s">
        <v>63</v>
      </c>
      <c r="C13" s="42" t="s">
        <v>1705</v>
      </c>
      <c r="D13" s="42" t="s">
        <v>1716</v>
      </c>
      <c r="E13" s="35" t="s">
        <v>57</v>
      </c>
      <c r="F13" s="35" t="s">
        <v>57</v>
      </c>
      <c r="G13" s="35" t="s">
        <v>57</v>
      </c>
      <c r="H13" s="59">
        <f>SUM(H14:H32)</f>
        <v>0</v>
      </c>
      <c r="I13" s="59">
        <f>SUM(I14:I32)</f>
        <v>0</v>
      </c>
      <c r="J13" s="59">
        <f>SUM(J14:J32)</f>
        <v>0</v>
      </c>
      <c r="K13" s="48"/>
      <c r="L13" s="59">
        <f>SUM(L14:L32)</f>
        <v>0</v>
      </c>
      <c r="M13" s="48"/>
      <c r="AI13" s="48" t="s">
        <v>63</v>
      </c>
      <c r="AS13" s="59">
        <f>SUM(AJ14:AJ32)</f>
        <v>0</v>
      </c>
      <c r="AT13" s="59">
        <f>SUM(AK14:AK32)</f>
        <v>0</v>
      </c>
      <c r="AU13" s="59">
        <f>SUM(AL14:AL32)</f>
        <v>0</v>
      </c>
    </row>
    <row r="14" spans="1:62" ht="12.75">
      <c r="A14" s="36" t="s">
        <v>79</v>
      </c>
      <c r="B14" s="36" t="s">
        <v>63</v>
      </c>
      <c r="C14" s="36" t="s">
        <v>1706</v>
      </c>
      <c r="D14" s="36" t="s">
        <v>1717</v>
      </c>
      <c r="E14" s="36" t="s">
        <v>606</v>
      </c>
      <c r="F14" s="55">
        <f>'Stavební rozpočet'!F968</f>
        <v>1</v>
      </c>
      <c r="G14" s="98"/>
      <c r="H14" s="55">
        <f>F14*AO14</f>
        <v>0</v>
      </c>
      <c r="I14" s="55">
        <f>F14*AP14</f>
        <v>0</v>
      </c>
      <c r="J14" s="55">
        <f>F14*G14</f>
        <v>0</v>
      </c>
      <c r="K14" s="55">
        <f>'Stavební rozpočet'!K968</f>
        <v>0</v>
      </c>
      <c r="L14" s="55">
        <f>F14*K14</f>
        <v>0</v>
      </c>
      <c r="M14" s="51" t="s">
        <v>622</v>
      </c>
      <c r="Z14" s="29">
        <f>IF(AQ14="5",BJ14,0)</f>
        <v>0</v>
      </c>
      <c r="AB14" s="29">
        <f>IF(AQ14="1",BH14,0)</f>
        <v>0</v>
      </c>
      <c r="AC14" s="29">
        <f>IF(AQ14="1",BI14,0)</f>
        <v>0</v>
      </c>
      <c r="AD14" s="29">
        <f>IF(AQ14="7",BH14,0)</f>
        <v>0</v>
      </c>
      <c r="AE14" s="29">
        <f>IF(AQ14="7",BI14,0)</f>
        <v>0</v>
      </c>
      <c r="AF14" s="29">
        <f>IF(AQ14="2",BH14,0)</f>
        <v>0</v>
      </c>
      <c r="AG14" s="29">
        <f>IF(AQ14="2",BI14,0)</f>
        <v>0</v>
      </c>
      <c r="AH14" s="29">
        <f>IF(AQ14="0",BJ14,0)</f>
        <v>0</v>
      </c>
      <c r="AI14" s="48" t="s">
        <v>63</v>
      </c>
      <c r="AJ14" s="55">
        <f>IF(AN14=0,J14,0)</f>
        <v>0</v>
      </c>
      <c r="AK14" s="55">
        <f>IF(AN14=15,J14,0)</f>
        <v>0</v>
      </c>
      <c r="AL14" s="55">
        <f>IF(AN14=21,J14,0)</f>
        <v>0</v>
      </c>
      <c r="AN14" s="29">
        <v>15</v>
      </c>
      <c r="AO14" s="29">
        <f>G14*0</f>
        <v>0</v>
      </c>
      <c r="AP14" s="29">
        <f>G14*(1-0)</f>
        <v>0</v>
      </c>
      <c r="AQ14" s="51" t="s">
        <v>79</v>
      </c>
      <c r="AV14" s="29">
        <f>AW14+AX14</f>
        <v>0</v>
      </c>
      <c r="AW14" s="29">
        <f>F14*AO14</f>
        <v>0</v>
      </c>
      <c r="AX14" s="29">
        <f>F14*AP14</f>
        <v>0</v>
      </c>
      <c r="AY14" s="54" t="s">
        <v>1736</v>
      </c>
      <c r="AZ14" s="54" t="s">
        <v>1737</v>
      </c>
      <c r="BA14" s="48" t="s">
        <v>1738</v>
      </c>
      <c r="BC14" s="29">
        <f>AW14+AX14</f>
        <v>0</v>
      </c>
      <c r="BD14" s="29">
        <f>G14/(100-BE14)*100</f>
        <v>0</v>
      </c>
      <c r="BE14" s="29">
        <v>0</v>
      </c>
      <c r="BF14" s="29">
        <f>L14</f>
        <v>0</v>
      </c>
      <c r="BH14" s="55">
        <f>F14*AO14</f>
        <v>0</v>
      </c>
      <c r="BI14" s="55">
        <f>F14*AP14</f>
        <v>0</v>
      </c>
      <c r="BJ14" s="55">
        <f>F14*G14</f>
        <v>0</v>
      </c>
    </row>
    <row r="15" spans="4:7" ht="12.75" customHeight="1">
      <c r="D15" s="79" t="s">
        <v>1718</v>
      </c>
      <c r="G15" s="99"/>
    </row>
    <row r="16" spans="1:62" ht="12.75">
      <c r="A16" s="36" t="s">
        <v>80</v>
      </c>
      <c r="B16" s="36" t="s">
        <v>63</v>
      </c>
      <c r="C16" s="36" t="s">
        <v>1707</v>
      </c>
      <c r="D16" s="36" t="s">
        <v>1719</v>
      </c>
      <c r="E16" s="36" t="s">
        <v>606</v>
      </c>
      <c r="F16" s="55">
        <f>'Stavební rozpočet'!F969</f>
        <v>1</v>
      </c>
      <c r="G16" s="98"/>
      <c r="H16" s="55">
        <f>F16*AO16</f>
        <v>0</v>
      </c>
      <c r="I16" s="55">
        <f>F16*AP16</f>
        <v>0</v>
      </c>
      <c r="J16" s="55">
        <f>F16*G16</f>
        <v>0</v>
      </c>
      <c r="K16" s="55">
        <f>'Stavební rozpočet'!K969</f>
        <v>0</v>
      </c>
      <c r="L16" s="55">
        <f>F16*K16</f>
        <v>0</v>
      </c>
      <c r="M16" s="51" t="s">
        <v>622</v>
      </c>
      <c r="Z16" s="29">
        <f>IF(AQ16="5",BJ16,0)</f>
        <v>0</v>
      </c>
      <c r="AB16" s="29">
        <f>IF(AQ16="1",BH16,0)</f>
        <v>0</v>
      </c>
      <c r="AC16" s="29">
        <f>IF(AQ16="1",BI16,0)</f>
        <v>0</v>
      </c>
      <c r="AD16" s="29">
        <f>IF(AQ16="7",BH16,0)</f>
        <v>0</v>
      </c>
      <c r="AE16" s="29">
        <f>IF(AQ16="7",BI16,0)</f>
        <v>0</v>
      </c>
      <c r="AF16" s="29">
        <f>IF(AQ16="2",BH16,0)</f>
        <v>0</v>
      </c>
      <c r="AG16" s="29">
        <f>IF(AQ16="2",BI16,0)</f>
        <v>0</v>
      </c>
      <c r="AH16" s="29">
        <f>IF(AQ16="0",BJ16,0)</f>
        <v>0</v>
      </c>
      <c r="AI16" s="48" t="s">
        <v>63</v>
      </c>
      <c r="AJ16" s="55">
        <f>IF(AN16=0,J16,0)</f>
        <v>0</v>
      </c>
      <c r="AK16" s="55">
        <f>IF(AN16=15,J16,0)</f>
        <v>0</v>
      </c>
      <c r="AL16" s="55">
        <f>IF(AN16=21,J16,0)</f>
        <v>0</v>
      </c>
      <c r="AN16" s="29">
        <v>15</v>
      </c>
      <c r="AO16" s="29">
        <f>G16*0</f>
        <v>0</v>
      </c>
      <c r="AP16" s="29">
        <f>G16*(1-0)</f>
        <v>0</v>
      </c>
      <c r="AQ16" s="51" t="s">
        <v>79</v>
      </c>
      <c r="AV16" s="29">
        <f>AW16+AX16</f>
        <v>0</v>
      </c>
      <c r="AW16" s="29">
        <f>F16*AO16</f>
        <v>0</v>
      </c>
      <c r="AX16" s="29">
        <f>F16*AP16</f>
        <v>0</v>
      </c>
      <c r="AY16" s="54" t="s">
        <v>1736</v>
      </c>
      <c r="AZ16" s="54" t="s">
        <v>1737</v>
      </c>
      <c r="BA16" s="48" t="s">
        <v>1738</v>
      </c>
      <c r="BC16" s="29">
        <f>AW16+AX16</f>
        <v>0</v>
      </c>
      <c r="BD16" s="29">
        <f>G16/(100-BE16)*100</f>
        <v>0</v>
      </c>
      <c r="BE16" s="29">
        <v>0</v>
      </c>
      <c r="BF16" s="29">
        <f>L16</f>
        <v>0</v>
      </c>
      <c r="BH16" s="55">
        <f>F16*AO16</f>
        <v>0</v>
      </c>
      <c r="BI16" s="55">
        <f>F16*AP16</f>
        <v>0</v>
      </c>
      <c r="BJ16" s="55">
        <f>F16*G16</f>
        <v>0</v>
      </c>
    </row>
    <row r="17" spans="4:7" ht="12.75" customHeight="1">
      <c r="D17" s="79" t="s">
        <v>1720</v>
      </c>
      <c r="G17" s="99"/>
    </row>
    <row r="18" spans="1:62" ht="12.75">
      <c r="A18" s="36" t="s">
        <v>81</v>
      </c>
      <c r="B18" s="36" t="s">
        <v>63</v>
      </c>
      <c r="C18" s="36" t="s">
        <v>1708</v>
      </c>
      <c r="D18" s="36" t="s">
        <v>1721</v>
      </c>
      <c r="E18" s="36" t="s">
        <v>606</v>
      </c>
      <c r="F18" s="55">
        <f>'Stavební rozpočet'!F970</f>
        <v>1</v>
      </c>
      <c r="G18" s="98"/>
      <c r="H18" s="55">
        <f>F18*AO18</f>
        <v>0</v>
      </c>
      <c r="I18" s="55">
        <f>F18*AP18</f>
        <v>0</v>
      </c>
      <c r="J18" s="55">
        <f>F18*G18</f>
        <v>0</v>
      </c>
      <c r="K18" s="55">
        <f>'Stavební rozpočet'!K970</f>
        <v>0</v>
      </c>
      <c r="L18" s="55">
        <f>F18*K18</f>
        <v>0</v>
      </c>
      <c r="M18" s="51" t="s">
        <v>622</v>
      </c>
      <c r="Z18" s="29">
        <f>IF(AQ18="5",BJ18,0)</f>
        <v>0</v>
      </c>
      <c r="AB18" s="29">
        <f>IF(AQ18="1",BH18,0)</f>
        <v>0</v>
      </c>
      <c r="AC18" s="29">
        <f>IF(AQ18="1",BI18,0)</f>
        <v>0</v>
      </c>
      <c r="AD18" s="29">
        <f>IF(AQ18="7",BH18,0)</f>
        <v>0</v>
      </c>
      <c r="AE18" s="29">
        <f>IF(AQ18="7",BI18,0)</f>
        <v>0</v>
      </c>
      <c r="AF18" s="29">
        <f>IF(AQ18="2",BH18,0)</f>
        <v>0</v>
      </c>
      <c r="AG18" s="29">
        <f>IF(AQ18="2",BI18,0)</f>
        <v>0</v>
      </c>
      <c r="AH18" s="29">
        <f>IF(AQ18="0",BJ18,0)</f>
        <v>0</v>
      </c>
      <c r="AI18" s="48" t="s">
        <v>63</v>
      </c>
      <c r="AJ18" s="55">
        <f>IF(AN18=0,J18,0)</f>
        <v>0</v>
      </c>
      <c r="AK18" s="55">
        <f>IF(AN18=15,J18,0)</f>
        <v>0</v>
      </c>
      <c r="AL18" s="55">
        <f>IF(AN18=21,J18,0)</f>
        <v>0</v>
      </c>
      <c r="AN18" s="29">
        <v>15</v>
      </c>
      <c r="AO18" s="29">
        <f>G18*0</f>
        <v>0</v>
      </c>
      <c r="AP18" s="29">
        <f>G18*(1-0)</f>
        <v>0</v>
      </c>
      <c r="AQ18" s="51" t="s">
        <v>79</v>
      </c>
      <c r="AV18" s="29">
        <f>AW18+AX18</f>
        <v>0</v>
      </c>
      <c r="AW18" s="29">
        <f>F18*AO18</f>
        <v>0</v>
      </c>
      <c r="AX18" s="29">
        <f>F18*AP18</f>
        <v>0</v>
      </c>
      <c r="AY18" s="54" t="s">
        <v>1736</v>
      </c>
      <c r="AZ18" s="54" t="s">
        <v>1737</v>
      </c>
      <c r="BA18" s="48" t="s">
        <v>1738</v>
      </c>
      <c r="BC18" s="29">
        <f>AW18+AX18</f>
        <v>0</v>
      </c>
      <c r="BD18" s="29">
        <f>G18/(100-BE18)*100</f>
        <v>0</v>
      </c>
      <c r="BE18" s="29">
        <v>0</v>
      </c>
      <c r="BF18" s="29">
        <f>L18</f>
        <v>0</v>
      </c>
      <c r="BH18" s="55">
        <f>F18*AO18</f>
        <v>0</v>
      </c>
      <c r="BI18" s="55">
        <f>F18*AP18</f>
        <v>0</v>
      </c>
      <c r="BJ18" s="55">
        <f>F18*G18</f>
        <v>0</v>
      </c>
    </row>
    <row r="19" spans="4:7" ht="12.75" customHeight="1">
      <c r="D19" s="79" t="s">
        <v>1722</v>
      </c>
      <c r="G19" s="99"/>
    </row>
    <row r="20" spans="1:62" ht="12.75" customHeight="1">
      <c r="A20" s="36" t="s">
        <v>82</v>
      </c>
      <c r="B20" s="36" t="s">
        <v>63</v>
      </c>
      <c r="C20" s="36" t="s">
        <v>1709</v>
      </c>
      <c r="D20" s="36" t="s">
        <v>38</v>
      </c>
      <c r="E20" s="36" t="s">
        <v>606</v>
      </c>
      <c r="F20" s="55">
        <f>'Stavební rozpočet'!F971</f>
        <v>1</v>
      </c>
      <c r="G20" s="98"/>
      <c r="H20" s="55">
        <f>F20*AO20</f>
        <v>0</v>
      </c>
      <c r="I20" s="55">
        <f>F20*AP20</f>
        <v>0</v>
      </c>
      <c r="J20" s="55">
        <f>F20*G20</f>
        <v>0</v>
      </c>
      <c r="K20" s="55">
        <f>'Stavební rozpočet'!K971</f>
        <v>0</v>
      </c>
      <c r="L20" s="55">
        <f>F20*K20</f>
        <v>0</v>
      </c>
      <c r="M20" s="51" t="s">
        <v>622</v>
      </c>
      <c r="Z20" s="29">
        <f>IF(AQ20="5",BJ20,0)</f>
        <v>0</v>
      </c>
      <c r="AB20" s="29">
        <f>IF(AQ20="1",BH20,0)</f>
        <v>0</v>
      </c>
      <c r="AC20" s="29">
        <f>IF(AQ20="1",BI20,0)</f>
        <v>0</v>
      </c>
      <c r="AD20" s="29">
        <f>IF(AQ20="7",BH20,0)</f>
        <v>0</v>
      </c>
      <c r="AE20" s="29">
        <f>IF(AQ20="7",BI20,0)</f>
        <v>0</v>
      </c>
      <c r="AF20" s="29">
        <f>IF(AQ20="2",BH20,0)</f>
        <v>0</v>
      </c>
      <c r="AG20" s="29">
        <f>IF(AQ20="2",BI20,0)</f>
        <v>0</v>
      </c>
      <c r="AH20" s="29">
        <f>IF(AQ20="0",BJ20,0)</f>
        <v>0</v>
      </c>
      <c r="AI20" s="48" t="s">
        <v>63</v>
      </c>
      <c r="AJ20" s="55">
        <f>IF(AN20=0,J20,0)</f>
        <v>0</v>
      </c>
      <c r="AK20" s="55">
        <f>IF(AN20=15,J20,0)</f>
        <v>0</v>
      </c>
      <c r="AL20" s="55">
        <f>IF(AN20=21,J20,0)</f>
        <v>0</v>
      </c>
      <c r="AN20" s="29">
        <v>15</v>
      </c>
      <c r="AO20" s="29">
        <f>G20*0</f>
        <v>0</v>
      </c>
      <c r="AP20" s="29">
        <f>G20*(1-0)</f>
        <v>0</v>
      </c>
      <c r="AQ20" s="51" t="s">
        <v>79</v>
      </c>
      <c r="AV20" s="29">
        <f>AW20+AX20</f>
        <v>0</v>
      </c>
      <c r="AW20" s="29">
        <f>F20*AO20</f>
        <v>0</v>
      </c>
      <c r="AX20" s="29">
        <f>F20*AP20</f>
        <v>0</v>
      </c>
      <c r="AY20" s="54" t="s">
        <v>1736</v>
      </c>
      <c r="AZ20" s="54" t="s">
        <v>1737</v>
      </c>
      <c r="BA20" s="48" t="s">
        <v>1738</v>
      </c>
      <c r="BC20" s="29">
        <f>AW20+AX20</f>
        <v>0</v>
      </c>
      <c r="BD20" s="29">
        <f>G20/(100-BE20)*100</f>
        <v>0</v>
      </c>
      <c r="BE20" s="29">
        <v>0</v>
      </c>
      <c r="BF20" s="29">
        <f>L20</f>
        <v>0</v>
      </c>
      <c r="BH20" s="55">
        <f>F20*AO20</f>
        <v>0</v>
      </c>
      <c r="BI20" s="55">
        <f>F20*AP20</f>
        <v>0</v>
      </c>
      <c r="BJ20" s="55">
        <f>F20*G20</f>
        <v>0</v>
      </c>
    </row>
    <row r="21" spans="4:7" ht="12.75" customHeight="1">
      <c r="D21" s="79" t="s">
        <v>1723</v>
      </c>
      <c r="G21" s="99"/>
    </row>
    <row r="22" spans="1:62" ht="12.75" customHeight="1">
      <c r="A22" s="36" t="s">
        <v>83</v>
      </c>
      <c r="B22" s="36" t="s">
        <v>63</v>
      </c>
      <c r="C22" s="36" t="s">
        <v>1710</v>
      </c>
      <c r="D22" s="36" t="s">
        <v>1724</v>
      </c>
      <c r="E22" s="36" t="s">
        <v>606</v>
      </c>
      <c r="F22" s="55">
        <f>'Stavební rozpočet'!F972</f>
        <v>1</v>
      </c>
      <c r="G22" s="98"/>
      <c r="H22" s="55">
        <f>F22*AO22</f>
        <v>0</v>
      </c>
      <c r="I22" s="55">
        <f>F22*AP22</f>
        <v>0</v>
      </c>
      <c r="J22" s="55">
        <f>F22*G22</f>
        <v>0</v>
      </c>
      <c r="K22" s="55">
        <f>'Stavební rozpočet'!K972</f>
        <v>0</v>
      </c>
      <c r="L22" s="55">
        <f>F22*K22</f>
        <v>0</v>
      </c>
      <c r="M22" s="51" t="s">
        <v>622</v>
      </c>
      <c r="Z22" s="29">
        <f>IF(AQ22="5",BJ22,0)</f>
        <v>0</v>
      </c>
      <c r="AB22" s="29">
        <f>IF(AQ22="1",BH22,0)</f>
        <v>0</v>
      </c>
      <c r="AC22" s="29">
        <f>IF(AQ22="1",BI22,0)</f>
        <v>0</v>
      </c>
      <c r="AD22" s="29">
        <f>IF(AQ22="7",BH22,0)</f>
        <v>0</v>
      </c>
      <c r="AE22" s="29">
        <f>IF(AQ22="7",BI22,0)</f>
        <v>0</v>
      </c>
      <c r="AF22" s="29">
        <f>IF(AQ22="2",BH22,0)</f>
        <v>0</v>
      </c>
      <c r="AG22" s="29">
        <f>IF(AQ22="2",BI22,0)</f>
        <v>0</v>
      </c>
      <c r="AH22" s="29">
        <f>IF(AQ22="0",BJ22,0)</f>
        <v>0</v>
      </c>
      <c r="AI22" s="48" t="s">
        <v>63</v>
      </c>
      <c r="AJ22" s="55">
        <f>IF(AN22=0,J22,0)</f>
        <v>0</v>
      </c>
      <c r="AK22" s="55">
        <f>IF(AN22=15,J22,0)</f>
        <v>0</v>
      </c>
      <c r="AL22" s="55">
        <f>IF(AN22=21,J22,0)</f>
        <v>0</v>
      </c>
      <c r="AN22" s="29">
        <v>15</v>
      </c>
      <c r="AO22" s="29">
        <f>G22*0</f>
        <v>0</v>
      </c>
      <c r="AP22" s="29">
        <f>G22*(1-0)</f>
        <v>0</v>
      </c>
      <c r="AQ22" s="51" t="s">
        <v>79</v>
      </c>
      <c r="AV22" s="29">
        <f>AW22+AX22</f>
        <v>0</v>
      </c>
      <c r="AW22" s="29">
        <f>F22*AO22</f>
        <v>0</v>
      </c>
      <c r="AX22" s="29">
        <f>F22*AP22</f>
        <v>0</v>
      </c>
      <c r="AY22" s="54" t="s">
        <v>1736</v>
      </c>
      <c r="AZ22" s="54" t="s">
        <v>1737</v>
      </c>
      <c r="BA22" s="48" t="s">
        <v>1738</v>
      </c>
      <c r="BC22" s="29">
        <f>AW22+AX22</f>
        <v>0</v>
      </c>
      <c r="BD22" s="29">
        <f>G22/(100-BE22)*100</f>
        <v>0</v>
      </c>
      <c r="BE22" s="29">
        <v>0</v>
      </c>
      <c r="BF22" s="29">
        <f>L22</f>
        <v>0</v>
      </c>
      <c r="BH22" s="55">
        <f>F22*AO22</f>
        <v>0</v>
      </c>
      <c r="BI22" s="55">
        <f>F22*AP22</f>
        <v>0</v>
      </c>
      <c r="BJ22" s="55">
        <f>F22*G22</f>
        <v>0</v>
      </c>
    </row>
    <row r="23" spans="4:7" ht="12.75" customHeight="1">
      <c r="D23" s="43" t="s">
        <v>1725</v>
      </c>
      <c r="G23" s="99"/>
    </row>
    <row r="24" spans="1:62" ht="12.75" customHeight="1">
      <c r="A24" s="36" t="s">
        <v>84</v>
      </c>
      <c r="B24" s="36" t="s">
        <v>63</v>
      </c>
      <c r="C24" s="36" t="s">
        <v>1711</v>
      </c>
      <c r="D24" s="36" t="s">
        <v>1726</v>
      </c>
      <c r="E24" s="36" t="s">
        <v>606</v>
      </c>
      <c r="F24" s="55">
        <f>'Stavební rozpočet'!F973</f>
        <v>1</v>
      </c>
      <c r="G24" s="98"/>
      <c r="H24" s="55">
        <f>F24*AO24</f>
        <v>0</v>
      </c>
      <c r="I24" s="55">
        <f>F24*AP24</f>
        <v>0</v>
      </c>
      <c r="J24" s="55">
        <f>F24*G24</f>
        <v>0</v>
      </c>
      <c r="K24" s="55">
        <f>'Stavební rozpočet'!K973</f>
        <v>0</v>
      </c>
      <c r="L24" s="55">
        <f>F24*K24</f>
        <v>0</v>
      </c>
      <c r="M24" s="51" t="s">
        <v>622</v>
      </c>
      <c r="Z24" s="29">
        <f>IF(AQ24="5",BJ24,0)</f>
        <v>0</v>
      </c>
      <c r="AB24" s="29">
        <f>IF(AQ24="1",BH24,0)</f>
        <v>0</v>
      </c>
      <c r="AC24" s="29">
        <f>IF(AQ24="1",BI24,0)</f>
        <v>0</v>
      </c>
      <c r="AD24" s="29">
        <f>IF(AQ24="7",BH24,0)</f>
        <v>0</v>
      </c>
      <c r="AE24" s="29">
        <f>IF(AQ24="7",BI24,0)</f>
        <v>0</v>
      </c>
      <c r="AF24" s="29">
        <f>IF(AQ24="2",BH24,0)</f>
        <v>0</v>
      </c>
      <c r="AG24" s="29">
        <f>IF(AQ24="2",BI24,0)</f>
        <v>0</v>
      </c>
      <c r="AH24" s="29">
        <f>IF(AQ24="0",BJ24,0)</f>
        <v>0</v>
      </c>
      <c r="AI24" s="48" t="s">
        <v>63</v>
      </c>
      <c r="AJ24" s="55">
        <f>IF(AN24=0,J24,0)</f>
        <v>0</v>
      </c>
      <c r="AK24" s="55">
        <f>IF(AN24=15,J24,0)</f>
        <v>0</v>
      </c>
      <c r="AL24" s="55">
        <f>IF(AN24=21,J24,0)</f>
        <v>0</v>
      </c>
      <c r="AN24" s="29">
        <v>15</v>
      </c>
      <c r="AO24" s="29">
        <f>G24*0</f>
        <v>0</v>
      </c>
      <c r="AP24" s="29">
        <f>G24*(1-0)</f>
        <v>0</v>
      </c>
      <c r="AQ24" s="51" t="s">
        <v>79</v>
      </c>
      <c r="AV24" s="29">
        <f>AW24+AX24</f>
        <v>0</v>
      </c>
      <c r="AW24" s="29">
        <f>F24*AO24</f>
        <v>0</v>
      </c>
      <c r="AX24" s="29">
        <f>F24*AP24</f>
        <v>0</v>
      </c>
      <c r="AY24" s="54" t="s">
        <v>1736</v>
      </c>
      <c r="AZ24" s="54" t="s">
        <v>1737</v>
      </c>
      <c r="BA24" s="48" t="s">
        <v>1738</v>
      </c>
      <c r="BC24" s="29">
        <f>AW24+AX24</f>
        <v>0</v>
      </c>
      <c r="BD24" s="29">
        <f>G24/(100-BE24)*100</f>
        <v>0</v>
      </c>
      <c r="BE24" s="29">
        <v>0</v>
      </c>
      <c r="BF24" s="29">
        <f>L24</f>
        <v>0</v>
      </c>
      <c r="BH24" s="55">
        <f>F24*AO24</f>
        <v>0</v>
      </c>
      <c r="BI24" s="55">
        <f>F24*AP24</f>
        <v>0</v>
      </c>
      <c r="BJ24" s="55">
        <f>F24*G24</f>
        <v>0</v>
      </c>
    </row>
    <row r="25" spans="4:7" ht="12.75" customHeight="1">
      <c r="D25" s="79" t="s">
        <v>1727</v>
      </c>
      <c r="G25" s="99"/>
    </row>
    <row r="26" spans="1:62" ht="12.75">
      <c r="A26" s="36" t="s">
        <v>85</v>
      </c>
      <c r="B26" s="36" t="s">
        <v>63</v>
      </c>
      <c r="C26" s="36" t="s">
        <v>1712</v>
      </c>
      <c r="D26" s="36" t="s">
        <v>1728</v>
      </c>
      <c r="E26" s="36" t="s">
        <v>606</v>
      </c>
      <c r="F26" s="55">
        <f>'Stavební rozpočet'!F974</f>
        <v>1</v>
      </c>
      <c r="G26" s="98"/>
      <c r="H26" s="55">
        <f>F26*AO26</f>
        <v>0</v>
      </c>
      <c r="I26" s="55">
        <f>F26*AP26</f>
        <v>0</v>
      </c>
      <c r="J26" s="55">
        <f>F26*G26</f>
        <v>0</v>
      </c>
      <c r="K26" s="55">
        <f>'Stavební rozpočet'!K974</f>
        <v>0</v>
      </c>
      <c r="L26" s="55">
        <f>F26*K26</f>
        <v>0</v>
      </c>
      <c r="M26" s="51" t="s">
        <v>622</v>
      </c>
      <c r="Z26" s="29">
        <f>IF(AQ26="5",BJ26,0)</f>
        <v>0</v>
      </c>
      <c r="AB26" s="29">
        <f>IF(AQ26="1",BH26,0)</f>
        <v>0</v>
      </c>
      <c r="AC26" s="29">
        <f>IF(AQ26="1",BI26,0)</f>
        <v>0</v>
      </c>
      <c r="AD26" s="29">
        <f>IF(AQ26="7",BH26,0)</f>
        <v>0</v>
      </c>
      <c r="AE26" s="29">
        <f>IF(AQ26="7",BI26,0)</f>
        <v>0</v>
      </c>
      <c r="AF26" s="29">
        <f>IF(AQ26="2",BH26,0)</f>
        <v>0</v>
      </c>
      <c r="AG26" s="29">
        <f>IF(AQ26="2",BI26,0)</f>
        <v>0</v>
      </c>
      <c r="AH26" s="29">
        <f>IF(AQ26="0",BJ26,0)</f>
        <v>0</v>
      </c>
      <c r="AI26" s="48" t="s">
        <v>63</v>
      </c>
      <c r="AJ26" s="55">
        <f>IF(AN26=0,J26,0)</f>
        <v>0</v>
      </c>
      <c r="AK26" s="55">
        <f>IF(AN26=15,J26,0)</f>
        <v>0</v>
      </c>
      <c r="AL26" s="55">
        <f>IF(AN26=21,J26,0)</f>
        <v>0</v>
      </c>
      <c r="AN26" s="29">
        <v>15</v>
      </c>
      <c r="AO26" s="29">
        <f>G26*0</f>
        <v>0</v>
      </c>
      <c r="AP26" s="29">
        <f>G26*(1-0)</f>
        <v>0</v>
      </c>
      <c r="AQ26" s="51" t="s">
        <v>79</v>
      </c>
      <c r="AV26" s="29">
        <f>AW26+AX26</f>
        <v>0</v>
      </c>
      <c r="AW26" s="29">
        <f>F26*AO26</f>
        <v>0</v>
      </c>
      <c r="AX26" s="29">
        <f>F26*AP26</f>
        <v>0</v>
      </c>
      <c r="AY26" s="54" t="s">
        <v>1736</v>
      </c>
      <c r="AZ26" s="54" t="s">
        <v>1737</v>
      </c>
      <c r="BA26" s="48" t="s">
        <v>1738</v>
      </c>
      <c r="BC26" s="29">
        <f>AW26+AX26</f>
        <v>0</v>
      </c>
      <c r="BD26" s="29">
        <f>G26/(100-BE26)*100</f>
        <v>0</v>
      </c>
      <c r="BE26" s="29">
        <v>0</v>
      </c>
      <c r="BF26" s="29">
        <f>L26</f>
        <v>0</v>
      </c>
      <c r="BH26" s="55">
        <f>F26*AO26</f>
        <v>0</v>
      </c>
      <c r="BI26" s="55">
        <f>F26*AP26</f>
        <v>0</v>
      </c>
      <c r="BJ26" s="55">
        <f>F26*G26</f>
        <v>0</v>
      </c>
    </row>
    <row r="27" spans="4:7" ht="12.75" customHeight="1">
      <c r="D27" s="79" t="s">
        <v>1729</v>
      </c>
      <c r="G27" s="99"/>
    </row>
    <row r="28" spans="1:62" ht="12.75" customHeight="1">
      <c r="A28" s="36" t="s">
        <v>86</v>
      </c>
      <c r="B28" s="36" t="s">
        <v>63</v>
      </c>
      <c r="C28" s="36" t="s">
        <v>1713</v>
      </c>
      <c r="D28" s="36" t="s">
        <v>1730</v>
      </c>
      <c r="E28" s="36" t="s">
        <v>606</v>
      </c>
      <c r="F28" s="55">
        <f>'Stavební rozpočet'!F975</f>
        <v>1</v>
      </c>
      <c r="G28" s="98"/>
      <c r="H28" s="55">
        <f>F28*AO28</f>
        <v>0</v>
      </c>
      <c r="I28" s="55">
        <f>F28*AP28</f>
        <v>0</v>
      </c>
      <c r="J28" s="55">
        <f>F28*G28</f>
        <v>0</v>
      </c>
      <c r="K28" s="55">
        <f>'Stavební rozpočet'!K975</f>
        <v>0</v>
      </c>
      <c r="L28" s="55">
        <f>F28*K28</f>
        <v>0</v>
      </c>
      <c r="M28" s="51" t="s">
        <v>622</v>
      </c>
      <c r="Z28" s="29">
        <f>IF(AQ28="5",BJ28,0)</f>
        <v>0</v>
      </c>
      <c r="AB28" s="29">
        <f>IF(AQ28="1",BH28,0)</f>
        <v>0</v>
      </c>
      <c r="AC28" s="29">
        <f>IF(AQ28="1",BI28,0)</f>
        <v>0</v>
      </c>
      <c r="AD28" s="29">
        <f>IF(AQ28="7",BH28,0)</f>
        <v>0</v>
      </c>
      <c r="AE28" s="29">
        <f>IF(AQ28="7",BI28,0)</f>
        <v>0</v>
      </c>
      <c r="AF28" s="29">
        <f>IF(AQ28="2",BH28,0)</f>
        <v>0</v>
      </c>
      <c r="AG28" s="29">
        <f>IF(AQ28="2",BI28,0)</f>
        <v>0</v>
      </c>
      <c r="AH28" s="29">
        <f>IF(AQ28="0",BJ28,0)</f>
        <v>0</v>
      </c>
      <c r="AI28" s="48" t="s">
        <v>63</v>
      </c>
      <c r="AJ28" s="55">
        <f>IF(AN28=0,J28,0)</f>
        <v>0</v>
      </c>
      <c r="AK28" s="55">
        <f>IF(AN28=15,J28,0)</f>
        <v>0</v>
      </c>
      <c r="AL28" s="55">
        <f>IF(AN28=21,J28,0)</f>
        <v>0</v>
      </c>
      <c r="AN28" s="29">
        <v>15</v>
      </c>
      <c r="AO28" s="29">
        <f>G28*0</f>
        <v>0</v>
      </c>
      <c r="AP28" s="29">
        <f>G28*(1-0)</f>
        <v>0</v>
      </c>
      <c r="AQ28" s="51" t="s">
        <v>79</v>
      </c>
      <c r="AV28" s="29">
        <f>AW28+AX28</f>
        <v>0</v>
      </c>
      <c r="AW28" s="29">
        <f>F28*AO28</f>
        <v>0</v>
      </c>
      <c r="AX28" s="29">
        <f>F28*AP28</f>
        <v>0</v>
      </c>
      <c r="AY28" s="54" t="s">
        <v>1736</v>
      </c>
      <c r="AZ28" s="54" t="s">
        <v>1737</v>
      </c>
      <c r="BA28" s="48" t="s">
        <v>1738</v>
      </c>
      <c r="BC28" s="29">
        <f>AW28+AX28</f>
        <v>0</v>
      </c>
      <c r="BD28" s="29">
        <f>G28/(100-BE28)*100</f>
        <v>0</v>
      </c>
      <c r="BE28" s="29">
        <v>0</v>
      </c>
      <c r="BF28" s="29">
        <f>L28</f>
        <v>0</v>
      </c>
      <c r="BH28" s="55">
        <f>F28*AO28</f>
        <v>0</v>
      </c>
      <c r="BI28" s="55">
        <f>F28*AP28</f>
        <v>0</v>
      </c>
      <c r="BJ28" s="55">
        <f>F28*G28</f>
        <v>0</v>
      </c>
    </row>
    <row r="29" spans="4:7" ht="12.75" customHeight="1">
      <c r="D29" s="79" t="s">
        <v>1731</v>
      </c>
      <c r="G29" s="99"/>
    </row>
    <row r="30" spans="1:62" ht="12.75" customHeight="1">
      <c r="A30" s="36" t="s">
        <v>87</v>
      </c>
      <c r="B30" s="36" t="s">
        <v>63</v>
      </c>
      <c r="C30" s="36" t="s">
        <v>1714</v>
      </c>
      <c r="D30" s="36" t="s">
        <v>1732</v>
      </c>
      <c r="E30" s="36" t="s">
        <v>606</v>
      </c>
      <c r="F30" s="55">
        <f>'Stavební rozpočet'!F976</f>
        <v>1</v>
      </c>
      <c r="G30" s="98"/>
      <c r="H30" s="55">
        <f>F30*AO30</f>
        <v>0</v>
      </c>
      <c r="I30" s="55">
        <f>F30*AP30</f>
        <v>0</v>
      </c>
      <c r="J30" s="55">
        <f>F30*G30</f>
        <v>0</v>
      </c>
      <c r="K30" s="55">
        <f>'Stavební rozpočet'!K976</f>
        <v>0</v>
      </c>
      <c r="L30" s="55">
        <f>F30*K30</f>
        <v>0</v>
      </c>
      <c r="M30" s="51" t="s">
        <v>622</v>
      </c>
      <c r="Z30" s="29">
        <f>IF(AQ30="5",BJ30,0)</f>
        <v>0</v>
      </c>
      <c r="AB30" s="29">
        <f>IF(AQ30="1",BH30,0)</f>
        <v>0</v>
      </c>
      <c r="AC30" s="29">
        <f>IF(AQ30="1",BI30,0)</f>
        <v>0</v>
      </c>
      <c r="AD30" s="29">
        <f>IF(AQ30="7",BH30,0)</f>
        <v>0</v>
      </c>
      <c r="AE30" s="29">
        <f>IF(AQ30="7",BI30,0)</f>
        <v>0</v>
      </c>
      <c r="AF30" s="29">
        <f>IF(AQ30="2",BH30,0)</f>
        <v>0</v>
      </c>
      <c r="AG30" s="29">
        <f>IF(AQ30="2",BI30,0)</f>
        <v>0</v>
      </c>
      <c r="AH30" s="29">
        <f>IF(AQ30="0",BJ30,0)</f>
        <v>0</v>
      </c>
      <c r="AI30" s="48" t="s">
        <v>63</v>
      </c>
      <c r="AJ30" s="55">
        <f>IF(AN30=0,J30,0)</f>
        <v>0</v>
      </c>
      <c r="AK30" s="55">
        <f>IF(AN30=15,J30,0)</f>
        <v>0</v>
      </c>
      <c r="AL30" s="55">
        <f>IF(AN30=21,J30,0)</f>
        <v>0</v>
      </c>
      <c r="AN30" s="29">
        <v>15</v>
      </c>
      <c r="AO30" s="29">
        <f>G30*0</f>
        <v>0</v>
      </c>
      <c r="AP30" s="29">
        <f>G30*(1-0)</f>
        <v>0</v>
      </c>
      <c r="AQ30" s="51" t="s">
        <v>79</v>
      </c>
      <c r="AV30" s="29">
        <f>AW30+AX30</f>
        <v>0</v>
      </c>
      <c r="AW30" s="29">
        <f>F30*AO30</f>
        <v>0</v>
      </c>
      <c r="AX30" s="29">
        <f>F30*AP30</f>
        <v>0</v>
      </c>
      <c r="AY30" s="54" t="s">
        <v>1736</v>
      </c>
      <c r="AZ30" s="54" t="s">
        <v>1737</v>
      </c>
      <c r="BA30" s="48" t="s">
        <v>1738</v>
      </c>
      <c r="BC30" s="29">
        <f>AW30+AX30</f>
        <v>0</v>
      </c>
      <c r="BD30" s="29">
        <f>G30/(100-BE30)*100</f>
        <v>0</v>
      </c>
      <c r="BE30" s="29">
        <v>0</v>
      </c>
      <c r="BF30" s="29">
        <f>L30</f>
        <v>0</v>
      </c>
      <c r="BH30" s="55">
        <f>F30*AO30</f>
        <v>0</v>
      </c>
      <c r="BI30" s="55">
        <f>F30*AP30</f>
        <v>0</v>
      </c>
      <c r="BJ30" s="55">
        <f>F30*G30</f>
        <v>0</v>
      </c>
    </row>
    <row r="31" spans="4:7" ht="12.75" customHeight="1">
      <c r="D31" s="79" t="s">
        <v>1733</v>
      </c>
      <c r="G31" s="99"/>
    </row>
    <row r="32" spans="1:62" ht="12.75" customHeight="1">
      <c r="A32" s="36" t="s">
        <v>88</v>
      </c>
      <c r="B32" s="36" t="s">
        <v>63</v>
      </c>
      <c r="C32" s="36" t="s">
        <v>1715</v>
      </c>
      <c r="D32" s="36" t="s">
        <v>1734</v>
      </c>
      <c r="E32" s="36" t="s">
        <v>606</v>
      </c>
      <c r="F32" s="55">
        <f>'Stavební rozpočet'!F977</f>
        <v>1</v>
      </c>
      <c r="G32" s="98"/>
      <c r="H32" s="55">
        <f>F32*AO32</f>
        <v>0</v>
      </c>
      <c r="I32" s="55">
        <f>F32*AP32</f>
        <v>0</v>
      </c>
      <c r="J32" s="55">
        <f>F32*G32</f>
        <v>0</v>
      </c>
      <c r="K32" s="55">
        <f>'Stavební rozpočet'!K977</f>
        <v>0</v>
      </c>
      <c r="L32" s="55">
        <f>F32*K32</f>
        <v>0</v>
      </c>
      <c r="M32" s="51" t="s">
        <v>622</v>
      </c>
      <c r="Z32" s="29">
        <f>IF(AQ32="5",BJ32,0)</f>
        <v>0</v>
      </c>
      <c r="AB32" s="29">
        <f>IF(AQ32="1",BH32,0)</f>
        <v>0</v>
      </c>
      <c r="AC32" s="29">
        <f>IF(AQ32="1",BI32,0)</f>
        <v>0</v>
      </c>
      <c r="AD32" s="29">
        <f>IF(AQ32="7",BH32,0)</f>
        <v>0</v>
      </c>
      <c r="AE32" s="29">
        <f>IF(AQ32="7",BI32,0)</f>
        <v>0</v>
      </c>
      <c r="AF32" s="29">
        <f>IF(AQ32="2",BH32,0)</f>
        <v>0</v>
      </c>
      <c r="AG32" s="29">
        <f>IF(AQ32="2",BI32,0)</f>
        <v>0</v>
      </c>
      <c r="AH32" s="29">
        <f>IF(AQ32="0",BJ32,0)</f>
        <v>0</v>
      </c>
      <c r="AI32" s="48" t="s">
        <v>63</v>
      </c>
      <c r="AJ32" s="55">
        <f>IF(AN32=0,J32,0)</f>
        <v>0</v>
      </c>
      <c r="AK32" s="55">
        <f>IF(AN32=15,J32,0)</f>
        <v>0</v>
      </c>
      <c r="AL32" s="55">
        <f>IF(AN32=21,J32,0)</f>
        <v>0</v>
      </c>
      <c r="AN32" s="29">
        <v>15</v>
      </c>
      <c r="AO32" s="29">
        <f>G32*0</f>
        <v>0</v>
      </c>
      <c r="AP32" s="29">
        <f>G32*(1-0)</f>
        <v>0</v>
      </c>
      <c r="AQ32" s="51" t="s">
        <v>79</v>
      </c>
      <c r="AV32" s="29">
        <f>AW32+AX32</f>
        <v>0</v>
      </c>
      <c r="AW32" s="29">
        <f>F32*AO32</f>
        <v>0</v>
      </c>
      <c r="AX32" s="29">
        <f>F32*AP32</f>
        <v>0</v>
      </c>
      <c r="AY32" s="54" t="s">
        <v>1736</v>
      </c>
      <c r="AZ32" s="54" t="s">
        <v>1737</v>
      </c>
      <c r="BA32" s="48" t="s">
        <v>1738</v>
      </c>
      <c r="BC32" s="29">
        <f>AW32+AX32</f>
        <v>0</v>
      </c>
      <c r="BD32" s="29">
        <f>G32/(100-BE32)*100</f>
        <v>0</v>
      </c>
      <c r="BE32" s="29">
        <v>0</v>
      </c>
      <c r="BF32" s="29">
        <f>L32</f>
        <v>0</v>
      </c>
      <c r="BH32" s="55">
        <f>F32*AO32</f>
        <v>0</v>
      </c>
      <c r="BI32" s="55">
        <f>F32*AP32</f>
        <v>0</v>
      </c>
      <c r="BJ32" s="55">
        <f>F32*G32</f>
        <v>0</v>
      </c>
    </row>
    <row r="33" spans="1:13" ht="12.75" customHeight="1">
      <c r="A33" s="1"/>
      <c r="B33" s="1"/>
      <c r="C33" s="1"/>
      <c r="D33" s="80" t="s">
        <v>1735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5"/>
      <c r="B34" s="5"/>
      <c r="C34" s="5"/>
      <c r="D34" s="5"/>
      <c r="E34" s="5"/>
      <c r="F34" s="5"/>
      <c r="G34" s="5"/>
      <c r="H34" s="225" t="s">
        <v>74</v>
      </c>
      <c r="I34" s="187"/>
      <c r="J34" s="31">
        <f>J13</f>
        <v>0</v>
      </c>
      <c r="K34" s="5"/>
      <c r="L34" s="5"/>
      <c r="M34" s="5"/>
    </row>
    <row r="35" ht="11.25" customHeight="1">
      <c r="A35" s="24" t="s">
        <v>18</v>
      </c>
    </row>
    <row r="36" spans="1:13" ht="12.75">
      <c r="A36" s="19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</sheetData>
  <mergeCells count="21">
    <mergeCell ref="H10:J10"/>
    <mergeCell ref="K10:L10"/>
    <mergeCell ref="H34:I34"/>
    <mergeCell ref="A36:M36"/>
    <mergeCell ref="A6:C7"/>
    <mergeCell ref="D6:D7"/>
    <mergeCell ref="G6:H7"/>
    <mergeCell ref="I6:M7"/>
    <mergeCell ref="A8:C9"/>
    <mergeCell ref="D8:D9"/>
    <mergeCell ref="G8:H9"/>
    <mergeCell ref="I8:M9"/>
    <mergeCell ref="A4:C5"/>
    <mergeCell ref="D4:D5"/>
    <mergeCell ref="G4:H5"/>
    <mergeCell ref="I4:M5"/>
    <mergeCell ref="A1:M1"/>
    <mergeCell ref="A2:C3"/>
    <mergeCell ref="D2:D3"/>
    <mergeCell ref="G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 topLeftCell="A1">
      <selection activeCell="A23" sqref="A23:G23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95" customHeight="1">
      <c r="A1" s="219" t="s">
        <v>1739</v>
      </c>
      <c r="B1" s="181"/>
      <c r="C1" s="181"/>
      <c r="D1" s="181"/>
      <c r="E1" s="181"/>
      <c r="F1" s="181"/>
      <c r="G1" s="181"/>
      <c r="H1" s="181"/>
    </row>
    <row r="2" spans="1:9" ht="12.75">
      <c r="A2" s="182" t="s">
        <v>0</v>
      </c>
      <c r="B2" s="183"/>
      <c r="C2" s="186" t="str">
        <f>'Stavební rozpočet'!D2</f>
        <v>"Snížení energetické náročnosti bytových domů v ul.Komenského"-změna vnitřních prostorů</v>
      </c>
      <c r="D2" s="187"/>
      <c r="E2" s="189" t="s">
        <v>31</v>
      </c>
      <c r="F2" s="189"/>
      <c r="G2" s="183"/>
      <c r="H2" s="220"/>
      <c r="I2" s="18"/>
    </row>
    <row r="3" spans="1:9" ht="12.75">
      <c r="A3" s="184"/>
      <c r="B3" s="185"/>
      <c r="C3" s="188"/>
      <c r="D3" s="188"/>
      <c r="E3" s="185"/>
      <c r="F3" s="185"/>
      <c r="G3" s="185"/>
      <c r="H3" s="191"/>
      <c r="I3" s="18"/>
    </row>
    <row r="4" spans="1:9" ht="12.75">
      <c r="A4" s="193" t="s">
        <v>1</v>
      </c>
      <c r="B4" s="185"/>
      <c r="C4" s="194"/>
      <c r="D4" s="185"/>
      <c r="E4" s="194" t="s">
        <v>32</v>
      </c>
      <c r="F4" s="194"/>
      <c r="G4" s="185"/>
      <c r="H4" s="191"/>
      <c r="I4" s="18"/>
    </row>
    <row r="5" spans="1:9" ht="12.75">
      <c r="A5" s="184"/>
      <c r="B5" s="185"/>
      <c r="C5" s="185"/>
      <c r="D5" s="185"/>
      <c r="E5" s="185"/>
      <c r="F5" s="185"/>
      <c r="G5" s="185"/>
      <c r="H5" s="191"/>
      <c r="I5" s="18"/>
    </row>
    <row r="6" spans="1:9" ht="12.75">
      <c r="A6" s="193" t="s">
        <v>2</v>
      </c>
      <c r="B6" s="185"/>
      <c r="C6" s="194"/>
      <c r="D6" s="185"/>
      <c r="E6" s="194" t="s">
        <v>33</v>
      </c>
      <c r="F6" s="194"/>
      <c r="G6" s="185"/>
      <c r="H6" s="191"/>
      <c r="I6" s="18"/>
    </row>
    <row r="7" spans="1:9" ht="12.75">
      <c r="A7" s="184"/>
      <c r="B7" s="185"/>
      <c r="C7" s="185"/>
      <c r="D7" s="185"/>
      <c r="E7" s="185"/>
      <c r="F7" s="185"/>
      <c r="G7" s="185"/>
      <c r="H7" s="191"/>
      <c r="I7" s="18"/>
    </row>
    <row r="8" spans="1:9" ht="12.75">
      <c r="A8" s="193" t="s">
        <v>35</v>
      </c>
      <c r="B8" s="185"/>
      <c r="C8" s="194"/>
      <c r="D8" s="185"/>
      <c r="E8" s="194" t="s">
        <v>71</v>
      </c>
      <c r="F8" s="194"/>
      <c r="G8" s="185"/>
      <c r="H8" s="191"/>
      <c r="I8" s="18"/>
    </row>
    <row r="9" spans="1:9" ht="12.75">
      <c r="A9" s="223"/>
      <c r="B9" s="221"/>
      <c r="C9" s="221"/>
      <c r="D9" s="221"/>
      <c r="E9" s="221"/>
      <c r="F9" s="221"/>
      <c r="G9" s="221"/>
      <c r="H9" s="222"/>
      <c r="I9" s="18"/>
    </row>
    <row r="10" spans="1:9" ht="12.75">
      <c r="A10" s="60" t="s">
        <v>78</v>
      </c>
      <c r="B10" s="62" t="s">
        <v>58</v>
      </c>
      <c r="C10" s="62" t="s">
        <v>245</v>
      </c>
      <c r="D10" s="62" t="s">
        <v>418</v>
      </c>
      <c r="E10" s="62" t="s">
        <v>605</v>
      </c>
      <c r="F10" s="62" t="s">
        <v>419</v>
      </c>
      <c r="G10" s="63" t="s">
        <v>617</v>
      </c>
      <c r="H10" s="65" t="s">
        <v>662</v>
      </c>
      <c r="I10" s="19"/>
    </row>
    <row r="11" spans="1:8" ht="12.75">
      <c r="A11" s="61" t="s">
        <v>79</v>
      </c>
      <c r="B11" s="61" t="s">
        <v>63</v>
      </c>
      <c r="C11" s="61" t="s">
        <v>1706</v>
      </c>
      <c r="D11" s="61" t="s">
        <v>1717</v>
      </c>
      <c r="E11" s="61" t="s">
        <v>606</v>
      </c>
      <c r="F11" s="9"/>
      <c r="G11" s="64">
        <v>1</v>
      </c>
      <c r="H11" s="66" t="s">
        <v>622</v>
      </c>
    </row>
    <row r="12" spans="1:8" ht="12.75">
      <c r="A12" s="36" t="s">
        <v>80</v>
      </c>
      <c r="B12" s="36" t="s">
        <v>63</v>
      </c>
      <c r="C12" s="36" t="s">
        <v>1707</v>
      </c>
      <c r="D12" s="36" t="s">
        <v>1719</v>
      </c>
      <c r="E12" s="36" t="s">
        <v>606</v>
      </c>
      <c r="G12" s="55">
        <v>1</v>
      </c>
      <c r="H12" s="51" t="s">
        <v>622</v>
      </c>
    </row>
    <row r="13" spans="1:8" ht="12.75">
      <c r="A13" s="36" t="s">
        <v>81</v>
      </c>
      <c r="B13" s="36" t="s">
        <v>63</v>
      </c>
      <c r="C13" s="36" t="s">
        <v>1708</v>
      </c>
      <c r="D13" s="36" t="s">
        <v>1721</v>
      </c>
      <c r="E13" s="36" t="s">
        <v>606</v>
      </c>
      <c r="G13" s="55">
        <v>1</v>
      </c>
      <c r="H13" s="51" t="s">
        <v>622</v>
      </c>
    </row>
    <row r="14" spans="1:8" ht="12.75">
      <c r="A14" s="36" t="s">
        <v>82</v>
      </c>
      <c r="B14" s="36" t="s">
        <v>63</v>
      </c>
      <c r="C14" s="36" t="s">
        <v>1709</v>
      </c>
      <c r="D14" s="36" t="s">
        <v>38</v>
      </c>
      <c r="E14" s="36" t="s">
        <v>606</v>
      </c>
      <c r="G14" s="55">
        <v>1</v>
      </c>
      <c r="H14" s="51" t="s">
        <v>622</v>
      </c>
    </row>
    <row r="15" spans="1:8" ht="12.75">
      <c r="A15" s="36" t="s">
        <v>83</v>
      </c>
      <c r="B15" s="36" t="s">
        <v>63</v>
      </c>
      <c r="C15" s="36" t="s">
        <v>1710</v>
      </c>
      <c r="D15" s="36" t="s">
        <v>1724</v>
      </c>
      <c r="E15" s="36" t="s">
        <v>606</v>
      </c>
      <c r="G15" s="55">
        <v>1</v>
      </c>
      <c r="H15" s="51" t="s">
        <v>622</v>
      </c>
    </row>
    <row r="16" spans="1:8" ht="12.75">
      <c r="A16" s="36" t="s">
        <v>84</v>
      </c>
      <c r="B16" s="36" t="s">
        <v>63</v>
      </c>
      <c r="C16" s="36" t="s">
        <v>1711</v>
      </c>
      <c r="D16" s="36" t="s">
        <v>1726</v>
      </c>
      <c r="E16" s="36" t="s">
        <v>606</v>
      </c>
      <c r="G16" s="55">
        <v>1</v>
      </c>
      <c r="H16" s="51" t="s">
        <v>622</v>
      </c>
    </row>
    <row r="17" spans="1:8" ht="12.75">
      <c r="A17" s="36" t="s">
        <v>85</v>
      </c>
      <c r="B17" s="36" t="s">
        <v>63</v>
      </c>
      <c r="C17" s="36" t="s">
        <v>1712</v>
      </c>
      <c r="D17" s="36" t="s">
        <v>1728</v>
      </c>
      <c r="E17" s="36" t="s">
        <v>606</v>
      </c>
      <c r="G17" s="55">
        <v>1</v>
      </c>
      <c r="H17" s="51" t="s">
        <v>622</v>
      </c>
    </row>
    <row r="18" spans="1:8" ht="12.75">
      <c r="A18" s="36" t="s">
        <v>86</v>
      </c>
      <c r="B18" s="36" t="s">
        <v>63</v>
      </c>
      <c r="C18" s="36" t="s">
        <v>1713</v>
      </c>
      <c r="D18" s="36" t="s">
        <v>1730</v>
      </c>
      <c r="E18" s="36" t="s">
        <v>606</v>
      </c>
      <c r="G18" s="55">
        <v>1</v>
      </c>
      <c r="H18" s="51" t="s">
        <v>622</v>
      </c>
    </row>
    <row r="19" spans="1:8" ht="12.75">
      <c r="A19" s="36" t="s">
        <v>87</v>
      </c>
      <c r="B19" s="36" t="s">
        <v>63</v>
      </c>
      <c r="C19" s="36" t="s">
        <v>1714</v>
      </c>
      <c r="D19" s="36" t="s">
        <v>1732</v>
      </c>
      <c r="E19" s="36" t="s">
        <v>606</v>
      </c>
      <c r="G19" s="55">
        <v>1</v>
      </c>
      <c r="H19" s="51" t="s">
        <v>622</v>
      </c>
    </row>
    <row r="20" spans="1:8" ht="12.75">
      <c r="A20" s="36" t="s">
        <v>88</v>
      </c>
      <c r="B20" s="36" t="s">
        <v>63</v>
      </c>
      <c r="C20" s="36" t="s">
        <v>1715</v>
      </c>
      <c r="D20" s="36" t="s">
        <v>1734</v>
      </c>
      <c r="E20" s="36" t="s">
        <v>606</v>
      </c>
      <c r="G20" s="55">
        <v>1</v>
      </c>
      <c r="H20" s="51" t="s">
        <v>622</v>
      </c>
    </row>
    <row r="22" ht="11.25" customHeight="1">
      <c r="A22" s="24" t="s">
        <v>18</v>
      </c>
    </row>
    <row r="23" spans="1:7" ht="12.75">
      <c r="A23" s="194"/>
      <c r="B23" s="185"/>
      <c r="C23" s="185"/>
      <c r="D23" s="185"/>
      <c r="E23" s="185"/>
      <c r="F23" s="185"/>
      <c r="G23" s="185"/>
    </row>
  </sheetData>
  <sheetProtection algorithmName="SHA-512" hashValue="YkM2nfgMaYZNke/tcNXGb2lT3NYOobqqrdB+moVE8NoLXUkbjS3UmQzSzy/ZbOHE8V/oKRkESbmuxge/hGAlXQ==" saltValue="HquWjJr6yCGuNX321+mebA==" spinCount="100000" sheet="1" objects="1" scenarios="1"/>
  <mergeCells count="18">
    <mergeCell ref="A23:G23"/>
    <mergeCell ref="A6:B7"/>
    <mergeCell ref="C6:D7"/>
    <mergeCell ref="E6:E7"/>
    <mergeCell ref="F6:H7"/>
    <mergeCell ref="A8:B9"/>
    <mergeCell ref="C8:D9"/>
    <mergeCell ref="E8:E9"/>
    <mergeCell ref="F8:H9"/>
    <mergeCell ref="A4:B5"/>
    <mergeCell ref="C4:D5"/>
    <mergeCell ref="E4:E5"/>
    <mergeCell ref="F4:H5"/>
    <mergeCell ref="A1:H1"/>
    <mergeCell ref="A2:B3"/>
    <mergeCell ref="C2:D3"/>
    <mergeCell ref="E2:E3"/>
    <mergeCell ref="F2:H3"/>
  </mergeCells>
  <printOptions/>
  <pageMargins left="0.394" right="0.394" top="0.591" bottom="0.591" header="0.5" footer="0.5"/>
  <pageSetup fitToHeight="0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80"/>
  <sheetViews>
    <sheetView workbookViewId="0" topLeftCell="A1">
      <pane ySplit="11" topLeftCell="A527" activePane="bottomLeft" state="frozen"/>
      <selection pane="bottomLeft" activeCell="A1" sqref="A1:XFD1048576"/>
    </sheetView>
  </sheetViews>
  <sheetFormatPr defaultColWidth="11.57421875" defaultRowHeight="12.75"/>
  <cols>
    <col min="1" max="1" width="3.7109375" style="87" customWidth="1"/>
    <col min="2" max="2" width="7.7109375" style="87" customWidth="1"/>
    <col min="3" max="3" width="14.28125" style="87" customWidth="1"/>
    <col min="4" max="4" width="128.8515625" style="87" customWidth="1"/>
    <col min="5" max="5" width="7.421875" style="87" customWidth="1"/>
    <col min="6" max="6" width="12.8515625" style="87" customWidth="1"/>
    <col min="7" max="7" width="12.00390625" style="87" customWidth="1"/>
    <col min="8" max="10" width="14.28125" style="87" customWidth="1"/>
    <col min="11" max="13" width="11.7109375" style="87" customWidth="1"/>
    <col min="14" max="24" width="11.57421875" style="87" customWidth="1"/>
    <col min="25" max="62" width="12.140625" style="87" customWidth="1"/>
    <col min="63" max="16384" width="11.57421875" style="87" customWidth="1"/>
  </cols>
  <sheetData>
    <row r="1" spans="1:13" ht="72.95" customHeight="1">
      <c r="A1" s="243" t="s">
        <v>1740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4" ht="12.75">
      <c r="A2" s="245" t="s">
        <v>0</v>
      </c>
      <c r="B2" s="246"/>
      <c r="C2" s="246"/>
      <c r="D2" s="249" t="s">
        <v>2171</v>
      </c>
      <c r="E2" s="251" t="s">
        <v>70</v>
      </c>
      <c r="F2" s="246"/>
      <c r="G2" s="251" t="s">
        <v>57</v>
      </c>
      <c r="H2" s="252" t="s">
        <v>31</v>
      </c>
      <c r="I2" s="253">
        <v>0</v>
      </c>
      <c r="J2" s="246"/>
      <c r="K2" s="246"/>
      <c r="L2" s="246"/>
      <c r="M2" s="254"/>
      <c r="N2" s="139"/>
    </row>
    <row r="3" spans="1:14" ht="12.75">
      <c r="A3" s="247"/>
      <c r="B3" s="248"/>
      <c r="C3" s="248"/>
      <c r="D3" s="250"/>
      <c r="E3" s="248"/>
      <c r="F3" s="248"/>
      <c r="G3" s="248"/>
      <c r="H3" s="248"/>
      <c r="I3" s="248"/>
      <c r="J3" s="248"/>
      <c r="K3" s="248"/>
      <c r="L3" s="248"/>
      <c r="M3" s="255"/>
      <c r="N3" s="139"/>
    </row>
    <row r="4" spans="1:14" ht="12.75">
      <c r="A4" s="257" t="s">
        <v>1</v>
      </c>
      <c r="B4" s="248"/>
      <c r="C4" s="248"/>
      <c r="D4" s="256">
        <v>0</v>
      </c>
      <c r="E4" s="258" t="s">
        <v>3</v>
      </c>
      <c r="F4" s="248"/>
      <c r="G4" s="258" t="s">
        <v>2172</v>
      </c>
      <c r="H4" s="259" t="s">
        <v>32</v>
      </c>
      <c r="I4" s="256">
        <v>0</v>
      </c>
      <c r="J4" s="248"/>
      <c r="K4" s="248"/>
      <c r="L4" s="248"/>
      <c r="M4" s="255"/>
      <c r="N4" s="139"/>
    </row>
    <row r="5" spans="1:14" ht="12.75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55"/>
      <c r="N5" s="139"/>
    </row>
    <row r="6" spans="1:14" ht="12.75">
      <c r="A6" s="257" t="s">
        <v>2</v>
      </c>
      <c r="B6" s="248"/>
      <c r="C6" s="248"/>
      <c r="D6" s="256">
        <v>0</v>
      </c>
      <c r="E6" s="258" t="s">
        <v>34</v>
      </c>
      <c r="F6" s="248"/>
      <c r="G6" s="258" t="s">
        <v>2172</v>
      </c>
      <c r="H6" s="259" t="s">
        <v>33</v>
      </c>
      <c r="I6" s="256">
        <v>0</v>
      </c>
      <c r="J6" s="248"/>
      <c r="K6" s="248"/>
      <c r="L6" s="248"/>
      <c r="M6" s="255"/>
      <c r="N6" s="139"/>
    </row>
    <row r="7" spans="1:14" ht="12.75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55"/>
      <c r="N7" s="139"/>
    </row>
    <row r="8" spans="1:14" ht="12.75">
      <c r="A8" s="257" t="s">
        <v>4</v>
      </c>
      <c r="B8" s="248"/>
      <c r="C8" s="248"/>
      <c r="D8" s="256">
        <v>0</v>
      </c>
      <c r="E8" s="258" t="s">
        <v>71</v>
      </c>
      <c r="F8" s="248"/>
      <c r="G8" s="258" t="s">
        <v>2173</v>
      </c>
      <c r="H8" s="259" t="s">
        <v>35</v>
      </c>
      <c r="I8" s="256">
        <v>0</v>
      </c>
      <c r="J8" s="248"/>
      <c r="K8" s="248"/>
      <c r="L8" s="248"/>
      <c r="M8" s="255"/>
      <c r="N8" s="139"/>
    </row>
    <row r="9" spans="1:14" ht="12.75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7"/>
      <c r="N9" s="139"/>
    </row>
    <row r="10" spans="1:14" ht="12.75">
      <c r="A10" s="140" t="s">
        <v>78</v>
      </c>
      <c r="B10" s="141" t="s">
        <v>58</v>
      </c>
      <c r="C10" s="141" t="s">
        <v>245</v>
      </c>
      <c r="D10" s="141" t="s">
        <v>64</v>
      </c>
      <c r="E10" s="141" t="s">
        <v>605</v>
      </c>
      <c r="F10" s="142" t="s">
        <v>617</v>
      </c>
      <c r="G10" s="143" t="s">
        <v>618</v>
      </c>
      <c r="H10" s="260" t="s">
        <v>72</v>
      </c>
      <c r="I10" s="261"/>
      <c r="J10" s="262"/>
      <c r="K10" s="260" t="s">
        <v>76</v>
      </c>
      <c r="L10" s="262"/>
      <c r="M10" s="144" t="s">
        <v>620</v>
      </c>
      <c r="N10" s="145"/>
    </row>
    <row r="11" spans="1:62" ht="12.75">
      <c r="A11" s="146" t="s">
        <v>57</v>
      </c>
      <c r="B11" s="147" t="s">
        <v>57</v>
      </c>
      <c r="C11" s="147" t="s">
        <v>57</v>
      </c>
      <c r="D11" s="148" t="s">
        <v>419</v>
      </c>
      <c r="E11" s="147" t="s">
        <v>57</v>
      </c>
      <c r="F11" s="147" t="s">
        <v>57</v>
      </c>
      <c r="G11" s="149" t="s">
        <v>619</v>
      </c>
      <c r="H11" s="150" t="s">
        <v>73</v>
      </c>
      <c r="I11" s="151" t="s">
        <v>21</v>
      </c>
      <c r="J11" s="152" t="s">
        <v>75</v>
      </c>
      <c r="K11" s="150" t="s">
        <v>618</v>
      </c>
      <c r="L11" s="152" t="s">
        <v>75</v>
      </c>
      <c r="M11" s="153" t="s">
        <v>621</v>
      </c>
      <c r="N11" s="145"/>
      <c r="Z11" s="154" t="s">
        <v>623</v>
      </c>
      <c r="AA11" s="154" t="s">
        <v>624</v>
      </c>
      <c r="AB11" s="154" t="s">
        <v>625</v>
      </c>
      <c r="AC11" s="154" t="s">
        <v>626</v>
      </c>
      <c r="AD11" s="154" t="s">
        <v>627</v>
      </c>
      <c r="AE11" s="154" t="s">
        <v>628</v>
      </c>
      <c r="AF11" s="154" t="s">
        <v>629</v>
      </c>
      <c r="AG11" s="154" t="s">
        <v>630</v>
      </c>
      <c r="AH11" s="154" t="s">
        <v>631</v>
      </c>
      <c r="BH11" s="154" t="s">
        <v>659</v>
      </c>
      <c r="BI11" s="154" t="s">
        <v>660</v>
      </c>
      <c r="BJ11" s="154" t="s">
        <v>661</v>
      </c>
    </row>
    <row r="12" spans="1:13" ht="12.75" hidden="1">
      <c r="A12" s="155"/>
      <c r="B12" s="156" t="s">
        <v>59</v>
      </c>
      <c r="C12" s="156"/>
      <c r="D12" s="156" t="s">
        <v>65</v>
      </c>
      <c r="E12" s="155" t="s">
        <v>57</v>
      </c>
      <c r="F12" s="155" t="s">
        <v>57</v>
      </c>
      <c r="G12" s="155" t="s">
        <v>57</v>
      </c>
      <c r="H12" s="157">
        <f>H13+H17+H23+H32+H35+H40+H45+H52+H55+H63+H65+H76+H89+H94+H138+H144+H156+H161</f>
        <v>0</v>
      </c>
      <c r="I12" s="157">
        <f>I13+I17+I23+I32+I35+I40+I45+I52+I55+I63+I65+I76+I89+I94+I138+I144+I156+I161</f>
        <v>0</v>
      </c>
      <c r="J12" s="157">
        <f>J13+J17+J23+J32+J35+J40+J45+J52+J55+J63+J65+J76+J89+J94+J138+J144+J156+J161</f>
        <v>0</v>
      </c>
      <c r="K12" s="158"/>
      <c r="L12" s="157">
        <f>L13+L17+L23+L32+L35+L40+L45+L52+L55+L63+L65+L76+L89+L94+L138+L144+L156+L161</f>
        <v>0</v>
      </c>
      <c r="M12" s="158"/>
    </row>
    <row r="13" spans="1:47" ht="12.75" hidden="1">
      <c r="A13" s="159"/>
      <c r="B13" s="160" t="s">
        <v>59</v>
      </c>
      <c r="C13" s="160" t="s">
        <v>109</v>
      </c>
      <c r="D13" s="160" t="s">
        <v>420</v>
      </c>
      <c r="E13" s="159" t="s">
        <v>57</v>
      </c>
      <c r="F13" s="159" t="s">
        <v>57</v>
      </c>
      <c r="G13" s="159" t="s">
        <v>57</v>
      </c>
      <c r="H13" s="161">
        <f>SUM(H14:H16)</f>
        <v>0</v>
      </c>
      <c r="I13" s="161">
        <f>SUM(I14:I16)</f>
        <v>0</v>
      </c>
      <c r="J13" s="161">
        <f>SUM(J14:J16)</f>
        <v>0</v>
      </c>
      <c r="K13" s="154"/>
      <c r="L13" s="161">
        <f>SUM(L14:L16)</f>
        <v>0</v>
      </c>
      <c r="M13" s="154"/>
      <c r="AI13" s="154" t="s">
        <v>59</v>
      </c>
      <c r="AS13" s="161">
        <f>SUM(AJ14:AJ16)</f>
        <v>0</v>
      </c>
      <c r="AT13" s="161">
        <f>SUM(AK14:AK16)</f>
        <v>0</v>
      </c>
      <c r="AU13" s="161">
        <f>SUM(AL14:AL16)</f>
        <v>0</v>
      </c>
    </row>
    <row r="14" spans="1:62" ht="12.75" hidden="1">
      <c r="A14" s="88" t="s">
        <v>79</v>
      </c>
      <c r="B14" s="88" t="s">
        <v>59</v>
      </c>
      <c r="C14" s="88" t="s">
        <v>246</v>
      </c>
      <c r="D14" s="88" t="s">
        <v>421</v>
      </c>
      <c r="E14" s="88" t="s">
        <v>606</v>
      </c>
      <c r="F14" s="90"/>
      <c r="G14" s="90">
        <v>339</v>
      </c>
      <c r="H14" s="90">
        <f>F14*AO14</f>
        <v>0</v>
      </c>
      <c r="I14" s="90">
        <f>F14*AP14</f>
        <v>0</v>
      </c>
      <c r="J14" s="90">
        <f>F14*G14</f>
        <v>0</v>
      </c>
      <c r="K14" s="90">
        <v>0.04529</v>
      </c>
      <c r="L14" s="90">
        <f>F14*K14</f>
        <v>0</v>
      </c>
      <c r="M14" s="91" t="s">
        <v>622</v>
      </c>
      <c r="Z14" s="90">
        <f>IF(AQ14="5",BJ14,0)</f>
        <v>0</v>
      </c>
      <c r="AB14" s="90">
        <f>IF(AQ14="1",BH14,0)</f>
        <v>0</v>
      </c>
      <c r="AC14" s="90">
        <f>IF(AQ14="1",BI14,0)</f>
        <v>0</v>
      </c>
      <c r="AD14" s="90">
        <f>IF(AQ14="7",BH14,0)</f>
        <v>0</v>
      </c>
      <c r="AE14" s="90">
        <f>IF(AQ14="7",BI14,0)</f>
        <v>0</v>
      </c>
      <c r="AF14" s="90">
        <f>IF(AQ14="2",BH14,0)</f>
        <v>0</v>
      </c>
      <c r="AG14" s="90">
        <f>IF(AQ14="2",BI14,0)</f>
        <v>0</v>
      </c>
      <c r="AH14" s="90">
        <f>IF(AQ14="0",BJ14,0)</f>
        <v>0</v>
      </c>
      <c r="AI14" s="154" t="s">
        <v>59</v>
      </c>
      <c r="AJ14" s="90">
        <f>IF(AN14=0,J14,0)</f>
        <v>0</v>
      </c>
      <c r="AK14" s="90">
        <f>IF(AN14=15,J14,0)</f>
        <v>0</v>
      </c>
      <c r="AL14" s="90">
        <f>IF(AN14=21,J14,0)</f>
        <v>0</v>
      </c>
      <c r="AN14" s="90">
        <v>15</v>
      </c>
      <c r="AO14" s="90">
        <f>G14*0.746607669616519</f>
        <v>253.09999999999997</v>
      </c>
      <c r="AP14" s="90">
        <f>G14*(1-0.746607669616519)</f>
        <v>85.90000000000005</v>
      </c>
      <c r="AQ14" s="91" t="s">
        <v>79</v>
      </c>
      <c r="AV14" s="90">
        <f>AW14+AX14</f>
        <v>0</v>
      </c>
      <c r="AW14" s="90">
        <f>F14*AO14</f>
        <v>0</v>
      </c>
      <c r="AX14" s="90">
        <f>F14*AP14</f>
        <v>0</v>
      </c>
      <c r="AY14" s="91" t="s">
        <v>632</v>
      </c>
      <c r="AZ14" s="91" t="s">
        <v>650</v>
      </c>
      <c r="BA14" s="154" t="s">
        <v>658</v>
      </c>
      <c r="BC14" s="90">
        <f>AW14+AX14</f>
        <v>0</v>
      </c>
      <c r="BD14" s="90">
        <f>G14/(100-BE14)*100</f>
        <v>339</v>
      </c>
      <c r="BE14" s="90">
        <v>0</v>
      </c>
      <c r="BF14" s="90">
        <f>L14</f>
        <v>0</v>
      </c>
      <c r="BH14" s="90">
        <f>F14*AO14</f>
        <v>0</v>
      </c>
      <c r="BI14" s="90">
        <f>F14*AP14</f>
        <v>0</v>
      </c>
      <c r="BJ14" s="90">
        <f>F14*G14</f>
        <v>0</v>
      </c>
    </row>
    <row r="15" spans="1:62" ht="12.75" hidden="1">
      <c r="A15" s="88" t="s">
        <v>80</v>
      </c>
      <c r="B15" s="88" t="s">
        <v>59</v>
      </c>
      <c r="C15" s="88" t="s">
        <v>247</v>
      </c>
      <c r="D15" s="88" t="s">
        <v>422</v>
      </c>
      <c r="E15" s="88" t="s">
        <v>606</v>
      </c>
      <c r="F15" s="90"/>
      <c r="G15" s="90">
        <v>477.5</v>
      </c>
      <c r="H15" s="90">
        <f>F15*AO15</f>
        <v>0</v>
      </c>
      <c r="I15" s="90">
        <f>F15*AP15</f>
        <v>0</v>
      </c>
      <c r="J15" s="90">
        <f>F15*G15</f>
        <v>0</v>
      </c>
      <c r="K15" s="90">
        <v>0.06314</v>
      </c>
      <c r="L15" s="90">
        <f>F15*K15</f>
        <v>0</v>
      </c>
      <c r="M15" s="91" t="s">
        <v>622</v>
      </c>
      <c r="Z15" s="90">
        <f>IF(AQ15="5",BJ15,0)</f>
        <v>0</v>
      </c>
      <c r="AB15" s="90">
        <f>IF(AQ15="1",BH15,0)</f>
        <v>0</v>
      </c>
      <c r="AC15" s="90">
        <f>IF(AQ15="1",BI15,0)</f>
        <v>0</v>
      </c>
      <c r="AD15" s="90">
        <f>IF(AQ15="7",BH15,0)</f>
        <v>0</v>
      </c>
      <c r="AE15" s="90">
        <f>IF(AQ15="7",BI15,0)</f>
        <v>0</v>
      </c>
      <c r="AF15" s="90">
        <f>IF(AQ15="2",BH15,0)</f>
        <v>0</v>
      </c>
      <c r="AG15" s="90">
        <f>IF(AQ15="2",BI15,0)</f>
        <v>0</v>
      </c>
      <c r="AH15" s="90">
        <f>IF(AQ15="0",BJ15,0)</f>
        <v>0</v>
      </c>
      <c r="AI15" s="154" t="s">
        <v>59</v>
      </c>
      <c r="AJ15" s="90">
        <f>IF(AN15=0,J15,0)</f>
        <v>0</v>
      </c>
      <c r="AK15" s="90">
        <f>IF(AN15=15,J15,0)</f>
        <v>0</v>
      </c>
      <c r="AL15" s="90">
        <f>IF(AN15=21,J15,0)</f>
        <v>0</v>
      </c>
      <c r="AN15" s="90">
        <v>15</v>
      </c>
      <c r="AO15" s="90">
        <f>G15*0.809549738219895</f>
        <v>386.55999999999983</v>
      </c>
      <c r="AP15" s="90">
        <f>G15*(1-0.809549738219895)</f>
        <v>90.94000000000015</v>
      </c>
      <c r="AQ15" s="91" t="s">
        <v>79</v>
      </c>
      <c r="AV15" s="90">
        <f>AW15+AX15</f>
        <v>0</v>
      </c>
      <c r="AW15" s="90">
        <f>F15*AO15</f>
        <v>0</v>
      </c>
      <c r="AX15" s="90">
        <f>F15*AP15</f>
        <v>0</v>
      </c>
      <c r="AY15" s="91" t="s">
        <v>632</v>
      </c>
      <c r="AZ15" s="91" t="s">
        <v>650</v>
      </c>
      <c r="BA15" s="154" t="s">
        <v>658</v>
      </c>
      <c r="BC15" s="90">
        <f>AW15+AX15</f>
        <v>0</v>
      </c>
      <c r="BD15" s="90">
        <f>G15/(100-BE15)*100</f>
        <v>477.50000000000006</v>
      </c>
      <c r="BE15" s="90">
        <v>0</v>
      </c>
      <c r="BF15" s="90">
        <f>L15</f>
        <v>0</v>
      </c>
      <c r="BH15" s="90">
        <f>F15*AO15</f>
        <v>0</v>
      </c>
      <c r="BI15" s="90">
        <f>F15*AP15</f>
        <v>0</v>
      </c>
      <c r="BJ15" s="90">
        <f>F15*G15</f>
        <v>0</v>
      </c>
    </row>
    <row r="16" spans="1:62" ht="12.75" hidden="1">
      <c r="A16" s="88" t="s">
        <v>81</v>
      </c>
      <c r="B16" s="88" t="s">
        <v>59</v>
      </c>
      <c r="C16" s="88" t="s">
        <v>248</v>
      </c>
      <c r="D16" s="88" t="s">
        <v>423</v>
      </c>
      <c r="E16" s="88" t="s">
        <v>607</v>
      </c>
      <c r="F16" s="90"/>
      <c r="G16" s="90">
        <v>95</v>
      </c>
      <c r="H16" s="90">
        <f>F16*AO16</f>
        <v>0</v>
      </c>
      <c r="I16" s="90">
        <f>F16*AP16</f>
        <v>0</v>
      </c>
      <c r="J16" s="90">
        <f>F16*G16</f>
        <v>0</v>
      </c>
      <c r="K16" s="90">
        <v>0.00115</v>
      </c>
      <c r="L16" s="90">
        <f>F16*K16</f>
        <v>0</v>
      </c>
      <c r="M16" s="91" t="s">
        <v>622</v>
      </c>
      <c r="Z16" s="90">
        <f>IF(AQ16="5",BJ16,0)</f>
        <v>0</v>
      </c>
      <c r="AB16" s="90">
        <f>IF(AQ16="1",BH16,0)</f>
        <v>0</v>
      </c>
      <c r="AC16" s="90">
        <f>IF(AQ16="1",BI16,0)</f>
        <v>0</v>
      </c>
      <c r="AD16" s="90">
        <f>IF(AQ16="7",BH16,0)</f>
        <v>0</v>
      </c>
      <c r="AE16" s="90">
        <f>IF(AQ16="7",BI16,0)</f>
        <v>0</v>
      </c>
      <c r="AF16" s="90">
        <f>IF(AQ16="2",BH16,0)</f>
        <v>0</v>
      </c>
      <c r="AG16" s="90">
        <f>IF(AQ16="2",BI16,0)</f>
        <v>0</v>
      </c>
      <c r="AH16" s="90">
        <f>IF(AQ16="0",BJ16,0)</f>
        <v>0</v>
      </c>
      <c r="AI16" s="154" t="s">
        <v>59</v>
      </c>
      <c r="AJ16" s="90">
        <f>IF(AN16=0,J16,0)</f>
        <v>0</v>
      </c>
      <c r="AK16" s="90">
        <f>IF(AN16=15,J16,0)</f>
        <v>0</v>
      </c>
      <c r="AL16" s="90">
        <f>IF(AN16=21,J16,0)</f>
        <v>0</v>
      </c>
      <c r="AN16" s="90">
        <v>15</v>
      </c>
      <c r="AO16" s="90">
        <f>G16*0.776526315789474</f>
        <v>73.77000000000002</v>
      </c>
      <c r="AP16" s="90">
        <f>G16*(1-0.776526315789474)</f>
        <v>21.229999999999976</v>
      </c>
      <c r="AQ16" s="91" t="s">
        <v>79</v>
      </c>
      <c r="AV16" s="90">
        <f>AW16+AX16</f>
        <v>0</v>
      </c>
      <c r="AW16" s="90">
        <f>F16*AO16</f>
        <v>0</v>
      </c>
      <c r="AX16" s="90">
        <f>F16*AP16</f>
        <v>0</v>
      </c>
      <c r="AY16" s="91" t="s">
        <v>632</v>
      </c>
      <c r="AZ16" s="91" t="s">
        <v>650</v>
      </c>
      <c r="BA16" s="154" t="s">
        <v>658</v>
      </c>
      <c r="BC16" s="90">
        <f>AW16+AX16</f>
        <v>0</v>
      </c>
      <c r="BD16" s="90">
        <f>G16/(100-BE16)*100</f>
        <v>95</v>
      </c>
      <c r="BE16" s="90">
        <v>0</v>
      </c>
      <c r="BF16" s="90">
        <f>L16</f>
        <v>0</v>
      </c>
      <c r="BH16" s="90">
        <f>F16*AO16</f>
        <v>0</v>
      </c>
      <c r="BI16" s="90">
        <f>F16*AP16</f>
        <v>0</v>
      </c>
      <c r="BJ16" s="90">
        <f>F16*G16</f>
        <v>0</v>
      </c>
    </row>
    <row r="17" spans="1:47" ht="12.75" hidden="1">
      <c r="A17" s="159"/>
      <c r="B17" s="160" t="s">
        <v>59</v>
      </c>
      <c r="C17" s="160" t="s">
        <v>112</v>
      </c>
      <c r="D17" s="160" t="s">
        <v>425</v>
      </c>
      <c r="E17" s="159" t="s">
        <v>57</v>
      </c>
      <c r="F17" s="159"/>
      <c r="G17" s="159" t="s">
        <v>57</v>
      </c>
      <c r="H17" s="161">
        <f>SUM(H18:H22)</f>
        <v>0</v>
      </c>
      <c r="I17" s="161">
        <f>SUM(I18:I22)</f>
        <v>0</v>
      </c>
      <c r="J17" s="161">
        <f>SUM(J18:J22)</f>
        <v>0</v>
      </c>
      <c r="K17" s="154"/>
      <c r="L17" s="161">
        <f>SUM(L18:L22)</f>
        <v>0</v>
      </c>
      <c r="M17" s="154"/>
      <c r="AI17" s="154" t="s">
        <v>59</v>
      </c>
      <c r="AS17" s="161">
        <f>SUM(AJ18:AJ22)</f>
        <v>0</v>
      </c>
      <c r="AT17" s="161">
        <f>SUM(AK18:AK22)</f>
        <v>0</v>
      </c>
      <c r="AU17" s="161">
        <f>SUM(AL18:AL22)</f>
        <v>0</v>
      </c>
    </row>
    <row r="18" spans="1:62" ht="12.75" hidden="1">
      <c r="A18" s="88" t="s">
        <v>82</v>
      </c>
      <c r="B18" s="88" t="s">
        <v>59</v>
      </c>
      <c r="C18" s="88" t="s">
        <v>249</v>
      </c>
      <c r="D18" s="88" t="s">
        <v>426</v>
      </c>
      <c r="E18" s="88" t="s">
        <v>608</v>
      </c>
      <c r="F18" s="90"/>
      <c r="G18" s="90">
        <v>548</v>
      </c>
      <c r="H18" s="90">
        <f>F18*AO18</f>
        <v>0</v>
      </c>
      <c r="I18" s="90">
        <f>F18*AP18</f>
        <v>0</v>
      </c>
      <c r="J18" s="90">
        <f>F18*G18</f>
        <v>0</v>
      </c>
      <c r="K18" s="90">
        <v>0.11666</v>
      </c>
      <c r="L18" s="90">
        <f>F18*K18</f>
        <v>0</v>
      </c>
      <c r="M18" s="91" t="s">
        <v>622</v>
      </c>
      <c r="Z18" s="90">
        <f>IF(AQ18="5",BJ18,0)</f>
        <v>0</v>
      </c>
      <c r="AB18" s="90">
        <f>IF(AQ18="1",BH18,0)</f>
        <v>0</v>
      </c>
      <c r="AC18" s="90">
        <f>IF(AQ18="1",BI18,0)</f>
        <v>0</v>
      </c>
      <c r="AD18" s="90">
        <f>IF(AQ18="7",BH18,0)</f>
        <v>0</v>
      </c>
      <c r="AE18" s="90">
        <f>IF(AQ18="7",BI18,0)</f>
        <v>0</v>
      </c>
      <c r="AF18" s="90">
        <f>IF(AQ18="2",BH18,0)</f>
        <v>0</v>
      </c>
      <c r="AG18" s="90">
        <f>IF(AQ18="2",BI18,0)</f>
        <v>0</v>
      </c>
      <c r="AH18" s="90">
        <f>IF(AQ18="0",BJ18,0)</f>
        <v>0</v>
      </c>
      <c r="AI18" s="154" t="s">
        <v>59</v>
      </c>
      <c r="AJ18" s="90">
        <f>IF(AN18=0,J18,0)</f>
        <v>0</v>
      </c>
      <c r="AK18" s="90">
        <f>IF(AN18=15,J18,0)</f>
        <v>0</v>
      </c>
      <c r="AL18" s="90">
        <f>IF(AN18=21,J18,0)</f>
        <v>0</v>
      </c>
      <c r="AN18" s="90">
        <v>15</v>
      </c>
      <c r="AO18" s="90">
        <f>G18*0.640748178023009</f>
        <v>351.13000155660893</v>
      </c>
      <c r="AP18" s="90">
        <f>G18*(1-0.640748178023009)</f>
        <v>196.86999844339107</v>
      </c>
      <c r="AQ18" s="91" t="s">
        <v>79</v>
      </c>
      <c r="AV18" s="90">
        <f>AW18+AX18</f>
        <v>0</v>
      </c>
      <c r="AW18" s="90">
        <f>F18*AO18</f>
        <v>0</v>
      </c>
      <c r="AX18" s="90">
        <f>F18*AP18</f>
        <v>0</v>
      </c>
      <c r="AY18" s="91" t="s">
        <v>633</v>
      </c>
      <c r="AZ18" s="91" t="s">
        <v>650</v>
      </c>
      <c r="BA18" s="154" t="s">
        <v>658</v>
      </c>
      <c r="BC18" s="90">
        <f>AW18+AX18</f>
        <v>0</v>
      </c>
      <c r="BD18" s="90">
        <f>G18/(100-BE18)*100</f>
        <v>548</v>
      </c>
      <c r="BE18" s="90">
        <v>0</v>
      </c>
      <c r="BF18" s="90">
        <f>L18</f>
        <v>0</v>
      </c>
      <c r="BH18" s="90">
        <f>F18*AO18</f>
        <v>0</v>
      </c>
      <c r="BI18" s="90">
        <f>F18*AP18</f>
        <v>0</v>
      </c>
      <c r="BJ18" s="90">
        <f>F18*G18</f>
        <v>0</v>
      </c>
    </row>
    <row r="19" spans="1:62" ht="12.75" hidden="1">
      <c r="A19" s="88" t="s">
        <v>83</v>
      </c>
      <c r="B19" s="88" t="s">
        <v>59</v>
      </c>
      <c r="C19" s="88" t="s">
        <v>250</v>
      </c>
      <c r="D19" s="88" t="s">
        <v>427</v>
      </c>
      <c r="E19" s="88" t="s">
        <v>608</v>
      </c>
      <c r="F19" s="90"/>
      <c r="G19" s="90">
        <v>1230</v>
      </c>
      <c r="H19" s="90">
        <f>F19*AO19</f>
        <v>0</v>
      </c>
      <c r="I19" s="90">
        <f>F19*AP19</f>
        <v>0</v>
      </c>
      <c r="J19" s="90">
        <f>F19*G19</f>
        <v>0</v>
      </c>
      <c r="K19" s="90">
        <v>0.0286</v>
      </c>
      <c r="L19" s="90">
        <f>F19*K19</f>
        <v>0</v>
      </c>
      <c r="M19" s="91" t="s">
        <v>622</v>
      </c>
      <c r="Z19" s="90">
        <f>IF(AQ19="5",BJ19,0)</f>
        <v>0</v>
      </c>
      <c r="AB19" s="90">
        <f>IF(AQ19="1",BH19,0)</f>
        <v>0</v>
      </c>
      <c r="AC19" s="90">
        <f>IF(AQ19="1",BI19,0)</f>
        <v>0</v>
      </c>
      <c r="AD19" s="90">
        <f>IF(AQ19="7",BH19,0)</f>
        <v>0</v>
      </c>
      <c r="AE19" s="90">
        <f>IF(AQ19="7",BI19,0)</f>
        <v>0</v>
      </c>
      <c r="AF19" s="90">
        <f>IF(AQ19="2",BH19,0)</f>
        <v>0</v>
      </c>
      <c r="AG19" s="90">
        <f>IF(AQ19="2",BI19,0)</f>
        <v>0</v>
      </c>
      <c r="AH19" s="90">
        <f>IF(AQ19="0",BJ19,0)</f>
        <v>0</v>
      </c>
      <c r="AI19" s="154" t="s">
        <v>59</v>
      </c>
      <c r="AJ19" s="90">
        <f>IF(AN19=0,J19,0)</f>
        <v>0</v>
      </c>
      <c r="AK19" s="90">
        <f>IF(AN19=15,J19,0)</f>
        <v>0</v>
      </c>
      <c r="AL19" s="90">
        <f>IF(AN19=21,J19,0)</f>
        <v>0</v>
      </c>
      <c r="AN19" s="90">
        <v>15</v>
      </c>
      <c r="AO19" s="90">
        <f>G19*0.356243902439024</f>
        <v>438.1799999999995</v>
      </c>
      <c r="AP19" s="90">
        <f>G19*(1-0.356243902439024)</f>
        <v>791.8200000000004</v>
      </c>
      <c r="AQ19" s="91" t="s">
        <v>79</v>
      </c>
      <c r="AV19" s="90">
        <f>AW19+AX19</f>
        <v>0</v>
      </c>
      <c r="AW19" s="90">
        <f>F19*AO19</f>
        <v>0</v>
      </c>
      <c r="AX19" s="90">
        <f>F19*AP19</f>
        <v>0</v>
      </c>
      <c r="AY19" s="91" t="s">
        <v>633</v>
      </c>
      <c r="AZ19" s="91" t="s">
        <v>650</v>
      </c>
      <c r="BA19" s="154" t="s">
        <v>658</v>
      </c>
      <c r="BC19" s="90">
        <f>AW19+AX19</f>
        <v>0</v>
      </c>
      <c r="BD19" s="90">
        <f>G19/(100-BE19)*100</f>
        <v>1230</v>
      </c>
      <c r="BE19" s="90">
        <v>0</v>
      </c>
      <c r="BF19" s="90">
        <f>L19</f>
        <v>0</v>
      </c>
      <c r="BH19" s="90">
        <f>F19*AO19</f>
        <v>0</v>
      </c>
      <c r="BI19" s="90">
        <f>F19*AP19</f>
        <v>0</v>
      </c>
      <c r="BJ19" s="90">
        <f>F19*G19</f>
        <v>0</v>
      </c>
    </row>
    <row r="20" spans="1:62" ht="12.75" hidden="1">
      <c r="A20" s="88" t="s">
        <v>84</v>
      </c>
      <c r="B20" s="88" t="s">
        <v>59</v>
      </c>
      <c r="C20" s="88" t="s">
        <v>251</v>
      </c>
      <c r="D20" s="88" t="s">
        <v>429</v>
      </c>
      <c r="E20" s="88" t="s">
        <v>606</v>
      </c>
      <c r="F20" s="90"/>
      <c r="G20" s="90">
        <v>1107.84</v>
      </c>
      <c r="H20" s="90">
        <f>F20*AO20</f>
        <v>0</v>
      </c>
      <c r="I20" s="90">
        <f>F20*AP20</f>
        <v>0</v>
      </c>
      <c r="J20" s="90">
        <f>F20*G20</f>
        <v>0</v>
      </c>
      <c r="K20" s="90">
        <v>0.0016</v>
      </c>
      <c r="L20" s="90">
        <f>F20*K20</f>
        <v>0</v>
      </c>
      <c r="M20" s="91" t="s">
        <v>622</v>
      </c>
      <c r="Z20" s="90">
        <f>IF(AQ20="5",BJ20,0)</f>
        <v>0</v>
      </c>
      <c r="AB20" s="90">
        <f>IF(AQ20="1",BH20,0)</f>
        <v>0</v>
      </c>
      <c r="AC20" s="90">
        <f>IF(AQ20="1",BI20,0)</f>
        <v>0</v>
      </c>
      <c r="AD20" s="90">
        <f>IF(AQ20="7",BH20,0)</f>
        <v>0</v>
      </c>
      <c r="AE20" s="90">
        <f>IF(AQ20="7",BI20,0)</f>
        <v>0</v>
      </c>
      <c r="AF20" s="90">
        <f>IF(AQ20="2",BH20,0)</f>
        <v>0</v>
      </c>
      <c r="AG20" s="90">
        <f>IF(AQ20="2",BI20,0)</f>
        <v>0</v>
      </c>
      <c r="AH20" s="90">
        <f>IF(AQ20="0",BJ20,0)</f>
        <v>0</v>
      </c>
      <c r="AI20" s="154" t="s">
        <v>59</v>
      </c>
      <c r="AJ20" s="90">
        <f>IF(AN20=0,J20,0)</f>
        <v>0</v>
      </c>
      <c r="AK20" s="90">
        <f>IF(AN20=15,J20,0)</f>
        <v>0</v>
      </c>
      <c r="AL20" s="90">
        <f>IF(AN20=21,J20,0)</f>
        <v>0</v>
      </c>
      <c r="AN20" s="90">
        <v>15</v>
      </c>
      <c r="AO20" s="90">
        <f>G20*0.608391103408434</f>
        <v>673.9999999999995</v>
      </c>
      <c r="AP20" s="90">
        <f>G20*(1-0.608391103408434)</f>
        <v>433.8400000000004</v>
      </c>
      <c r="AQ20" s="91" t="s">
        <v>79</v>
      </c>
      <c r="AV20" s="90">
        <f>AW20+AX20</f>
        <v>0</v>
      </c>
      <c r="AW20" s="90">
        <f>F20*AO20</f>
        <v>0</v>
      </c>
      <c r="AX20" s="90">
        <f>F20*AP20</f>
        <v>0</v>
      </c>
      <c r="AY20" s="91" t="s">
        <v>633</v>
      </c>
      <c r="AZ20" s="91" t="s">
        <v>650</v>
      </c>
      <c r="BA20" s="154" t="s">
        <v>658</v>
      </c>
      <c r="BC20" s="90">
        <f>AW20+AX20</f>
        <v>0</v>
      </c>
      <c r="BD20" s="90">
        <f>G20/(100-BE20)*100</f>
        <v>1107.84</v>
      </c>
      <c r="BE20" s="90">
        <v>0</v>
      </c>
      <c r="BF20" s="90">
        <f>L20</f>
        <v>0</v>
      </c>
      <c r="BH20" s="90">
        <f>F20*AO20</f>
        <v>0</v>
      </c>
      <c r="BI20" s="90">
        <f>F20*AP20</f>
        <v>0</v>
      </c>
      <c r="BJ20" s="90">
        <f>F20*G20</f>
        <v>0</v>
      </c>
    </row>
    <row r="21" spans="1:62" ht="12.75" hidden="1">
      <c r="A21" s="88" t="s">
        <v>85</v>
      </c>
      <c r="B21" s="88" t="s">
        <v>59</v>
      </c>
      <c r="C21" s="88" t="s">
        <v>252</v>
      </c>
      <c r="D21" s="88" t="s">
        <v>431</v>
      </c>
      <c r="E21" s="88" t="s">
        <v>609</v>
      </c>
      <c r="F21" s="90"/>
      <c r="G21" s="90">
        <v>147</v>
      </c>
      <c r="H21" s="90">
        <f>F21*AO21</f>
        <v>0</v>
      </c>
      <c r="I21" s="90">
        <f>F21*AP21</f>
        <v>0</v>
      </c>
      <c r="J21" s="90">
        <f>F21*G21</f>
        <v>0</v>
      </c>
      <c r="K21" s="90">
        <v>0.00102</v>
      </c>
      <c r="L21" s="90">
        <f>F21*K21</f>
        <v>0</v>
      </c>
      <c r="M21" s="91" t="s">
        <v>622</v>
      </c>
      <c r="Z21" s="90">
        <f>IF(AQ21="5",BJ21,0)</f>
        <v>0</v>
      </c>
      <c r="AB21" s="90">
        <f>IF(AQ21="1",BH21,0)</f>
        <v>0</v>
      </c>
      <c r="AC21" s="90">
        <f>IF(AQ21="1",BI21,0)</f>
        <v>0</v>
      </c>
      <c r="AD21" s="90">
        <f>IF(AQ21="7",BH21,0)</f>
        <v>0</v>
      </c>
      <c r="AE21" s="90">
        <f>IF(AQ21="7",BI21,0)</f>
        <v>0</v>
      </c>
      <c r="AF21" s="90">
        <f>IF(AQ21="2",BH21,0)</f>
        <v>0</v>
      </c>
      <c r="AG21" s="90">
        <f>IF(AQ21="2",BI21,0)</f>
        <v>0</v>
      </c>
      <c r="AH21" s="90">
        <f>IF(AQ21="0",BJ21,0)</f>
        <v>0</v>
      </c>
      <c r="AI21" s="154" t="s">
        <v>59</v>
      </c>
      <c r="AJ21" s="90">
        <f>IF(AN21=0,J21,0)</f>
        <v>0</v>
      </c>
      <c r="AK21" s="90">
        <f>IF(AN21=15,J21,0)</f>
        <v>0</v>
      </c>
      <c r="AL21" s="90">
        <f>IF(AN21=21,J21,0)</f>
        <v>0</v>
      </c>
      <c r="AN21" s="90">
        <v>15</v>
      </c>
      <c r="AO21" s="90">
        <f>G21*0.142925170068027</f>
        <v>21.009999999999966</v>
      </c>
      <c r="AP21" s="90">
        <f>G21*(1-0.142925170068027)</f>
        <v>125.99000000000004</v>
      </c>
      <c r="AQ21" s="91" t="s">
        <v>79</v>
      </c>
      <c r="AV21" s="90">
        <f>AW21+AX21</f>
        <v>0</v>
      </c>
      <c r="AW21" s="90">
        <f>F21*AO21</f>
        <v>0</v>
      </c>
      <c r="AX21" s="90">
        <f>F21*AP21</f>
        <v>0</v>
      </c>
      <c r="AY21" s="91" t="s">
        <v>633</v>
      </c>
      <c r="AZ21" s="91" t="s">
        <v>650</v>
      </c>
      <c r="BA21" s="154" t="s">
        <v>658</v>
      </c>
      <c r="BC21" s="90">
        <f>AW21+AX21</f>
        <v>0</v>
      </c>
      <c r="BD21" s="90">
        <f>G21/(100-BE21)*100</f>
        <v>147</v>
      </c>
      <c r="BE21" s="90">
        <v>0</v>
      </c>
      <c r="BF21" s="90">
        <f>L21</f>
        <v>0</v>
      </c>
      <c r="BH21" s="90">
        <f>F21*AO21</f>
        <v>0</v>
      </c>
      <c r="BI21" s="90">
        <f>F21*AP21</f>
        <v>0</v>
      </c>
      <c r="BJ21" s="90">
        <f>F21*G21</f>
        <v>0</v>
      </c>
    </row>
    <row r="22" spans="1:62" ht="12.75" hidden="1">
      <c r="A22" s="88" t="s">
        <v>86</v>
      </c>
      <c r="B22" s="88" t="s">
        <v>59</v>
      </c>
      <c r="C22" s="88" t="s">
        <v>253</v>
      </c>
      <c r="D22" s="88" t="s">
        <v>432</v>
      </c>
      <c r="E22" s="88" t="s">
        <v>608</v>
      </c>
      <c r="F22" s="90"/>
      <c r="G22" s="90">
        <v>536.99</v>
      </c>
      <c r="H22" s="90">
        <f>F22*AO22</f>
        <v>0</v>
      </c>
      <c r="I22" s="90">
        <f>F22*AP22</f>
        <v>0</v>
      </c>
      <c r="J22" s="90">
        <f>F22*G22</f>
        <v>0</v>
      </c>
      <c r="K22" s="90">
        <v>0.01275</v>
      </c>
      <c r="L22" s="90">
        <f>F22*K22</f>
        <v>0</v>
      </c>
      <c r="M22" s="91" t="s">
        <v>622</v>
      </c>
      <c r="Z22" s="90">
        <f>IF(AQ22="5",BJ22,0)</f>
        <v>0</v>
      </c>
      <c r="AB22" s="90">
        <f>IF(AQ22="1",BH22,0)</f>
        <v>0</v>
      </c>
      <c r="AC22" s="90">
        <f>IF(AQ22="1",BI22,0)</f>
        <v>0</v>
      </c>
      <c r="AD22" s="90">
        <f>IF(AQ22="7",BH22,0)</f>
        <v>0</v>
      </c>
      <c r="AE22" s="90">
        <f>IF(AQ22="7",BI22,0)</f>
        <v>0</v>
      </c>
      <c r="AF22" s="90">
        <f>IF(AQ22="2",BH22,0)</f>
        <v>0</v>
      </c>
      <c r="AG22" s="90">
        <f>IF(AQ22="2",BI22,0)</f>
        <v>0</v>
      </c>
      <c r="AH22" s="90">
        <f>IF(AQ22="0",BJ22,0)</f>
        <v>0</v>
      </c>
      <c r="AI22" s="154" t="s">
        <v>59</v>
      </c>
      <c r="AJ22" s="90">
        <f>IF(AN22=0,J22,0)</f>
        <v>0</v>
      </c>
      <c r="AK22" s="90">
        <f>IF(AN22=15,J22,0)</f>
        <v>0</v>
      </c>
      <c r="AL22" s="90">
        <f>IF(AN22=21,J22,0)</f>
        <v>0</v>
      </c>
      <c r="AN22" s="90">
        <v>15</v>
      </c>
      <c r="AO22" s="90">
        <f>G22*0.35875913611475</f>
        <v>192.65006850225961</v>
      </c>
      <c r="AP22" s="90">
        <f>G22*(1-0.35875913611475)</f>
        <v>344.3399314977404</v>
      </c>
      <c r="AQ22" s="91" t="s">
        <v>79</v>
      </c>
      <c r="AV22" s="90">
        <f>AW22+AX22</f>
        <v>0</v>
      </c>
      <c r="AW22" s="90">
        <f>F22*AO22</f>
        <v>0</v>
      </c>
      <c r="AX22" s="90">
        <f>F22*AP22</f>
        <v>0</v>
      </c>
      <c r="AY22" s="91" t="s">
        <v>633</v>
      </c>
      <c r="AZ22" s="91" t="s">
        <v>650</v>
      </c>
      <c r="BA22" s="154" t="s">
        <v>658</v>
      </c>
      <c r="BC22" s="90">
        <f>AW22+AX22</f>
        <v>0</v>
      </c>
      <c r="BD22" s="90">
        <f>G22/(100-BE22)*100</f>
        <v>536.99</v>
      </c>
      <c r="BE22" s="90">
        <v>0</v>
      </c>
      <c r="BF22" s="90">
        <f>L22</f>
        <v>0</v>
      </c>
      <c r="BH22" s="90">
        <f>F22*AO22</f>
        <v>0</v>
      </c>
      <c r="BI22" s="90">
        <f>F22*AP22</f>
        <v>0</v>
      </c>
      <c r="BJ22" s="90">
        <f>F22*G22</f>
        <v>0</v>
      </c>
    </row>
    <row r="23" spans="1:47" ht="12.75" hidden="1">
      <c r="A23" s="159"/>
      <c r="B23" s="160" t="s">
        <v>59</v>
      </c>
      <c r="C23" s="160" t="s">
        <v>139</v>
      </c>
      <c r="D23" s="160" t="s">
        <v>434</v>
      </c>
      <c r="E23" s="159" t="s">
        <v>57</v>
      </c>
      <c r="F23" s="159"/>
      <c r="G23" s="159" t="s">
        <v>57</v>
      </c>
      <c r="H23" s="161">
        <f>SUM(H24:H31)</f>
        <v>0</v>
      </c>
      <c r="I23" s="161">
        <f>SUM(I24:I31)</f>
        <v>0</v>
      </c>
      <c r="J23" s="161">
        <f>SUM(J24:J31)</f>
        <v>0</v>
      </c>
      <c r="K23" s="154"/>
      <c r="L23" s="161">
        <f>SUM(L24:L31)</f>
        <v>0</v>
      </c>
      <c r="M23" s="154"/>
      <c r="AI23" s="154" t="s">
        <v>59</v>
      </c>
      <c r="AS23" s="161">
        <f>SUM(AJ24:AJ31)</f>
        <v>0</v>
      </c>
      <c r="AT23" s="161">
        <f>SUM(AK24:AK31)</f>
        <v>0</v>
      </c>
      <c r="AU23" s="161">
        <f>SUM(AL24:AL31)</f>
        <v>0</v>
      </c>
    </row>
    <row r="24" spans="1:62" ht="12.75" hidden="1">
      <c r="A24" s="88" t="s">
        <v>87</v>
      </c>
      <c r="B24" s="88" t="s">
        <v>59</v>
      </c>
      <c r="C24" s="88" t="s">
        <v>254</v>
      </c>
      <c r="D24" s="88" t="s">
        <v>435</v>
      </c>
      <c r="E24" s="88" t="s">
        <v>608</v>
      </c>
      <c r="F24" s="90"/>
      <c r="G24" s="90">
        <v>1412</v>
      </c>
      <c r="H24" s="90">
        <f aca="true" t="shared" si="0" ref="H24:H31">F24*AO24</f>
        <v>0</v>
      </c>
      <c r="I24" s="90">
        <f aca="true" t="shared" si="1" ref="I24:I31">F24*AP24</f>
        <v>0</v>
      </c>
      <c r="J24" s="90">
        <f aca="true" t="shared" si="2" ref="J24:J31">F24*G24</f>
        <v>0</v>
      </c>
      <c r="K24" s="90">
        <v>0.0192</v>
      </c>
      <c r="L24" s="90">
        <f aca="true" t="shared" si="3" ref="L24:L31">F24*K24</f>
        <v>0</v>
      </c>
      <c r="M24" s="91" t="s">
        <v>622</v>
      </c>
      <c r="Z24" s="90">
        <f aca="true" t="shared" si="4" ref="Z24:Z31">IF(AQ24="5",BJ24,0)</f>
        <v>0</v>
      </c>
      <c r="AB24" s="90">
        <f aca="true" t="shared" si="5" ref="AB24:AB31">IF(AQ24="1",BH24,0)</f>
        <v>0</v>
      </c>
      <c r="AC24" s="90">
        <f aca="true" t="shared" si="6" ref="AC24:AC31">IF(AQ24="1",BI24,0)</f>
        <v>0</v>
      </c>
      <c r="AD24" s="90">
        <f aca="true" t="shared" si="7" ref="AD24:AD31">IF(AQ24="7",BH24,0)</f>
        <v>0</v>
      </c>
      <c r="AE24" s="90">
        <f aca="true" t="shared" si="8" ref="AE24:AE31">IF(AQ24="7",BI24,0)</f>
        <v>0</v>
      </c>
      <c r="AF24" s="90">
        <f aca="true" t="shared" si="9" ref="AF24:AF31">IF(AQ24="2",BH24,0)</f>
        <v>0</v>
      </c>
      <c r="AG24" s="90">
        <f aca="true" t="shared" si="10" ref="AG24:AG31">IF(AQ24="2",BI24,0)</f>
        <v>0</v>
      </c>
      <c r="AH24" s="90">
        <f aca="true" t="shared" si="11" ref="AH24:AH31">IF(AQ24="0",BJ24,0)</f>
        <v>0</v>
      </c>
      <c r="AI24" s="154" t="s">
        <v>59</v>
      </c>
      <c r="AJ24" s="90">
        <f aca="true" t="shared" si="12" ref="AJ24:AJ31">IF(AN24=0,J24,0)</f>
        <v>0</v>
      </c>
      <c r="AK24" s="90">
        <f aca="true" t="shared" si="13" ref="AK24:AK31">IF(AN24=15,J24,0)</f>
        <v>0</v>
      </c>
      <c r="AL24" s="90">
        <f aca="true" t="shared" si="14" ref="AL24:AL31">IF(AN24=21,J24,0)</f>
        <v>0</v>
      </c>
      <c r="AN24" s="90">
        <v>15</v>
      </c>
      <c r="AO24" s="90">
        <f>G24*0.230757790368272</f>
        <v>325.83000000000004</v>
      </c>
      <c r="AP24" s="90">
        <f>G24*(1-0.230757790368272)</f>
        <v>1086.1699999999998</v>
      </c>
      <c r="AQ24" s="91" t="s">
        <v>79</v>
      </c>
      <c r="AV24" s="90">
        <f aca="true" t="shared" si="15" ref="AV24:AV31">AW24+AX24</f>
        <v>0</v>
      </c>
      <c r="AW24" s="90">
        <f aca="true" t="shared" si="16" ref="AW24:AW31">F24*AO24</f>
        <v>0</v>
      </c>
      <c r="AX24" s="90">
        <f aca="true" t="shared" si="17" ref="AX24:AX31">F24*AP24</f>
        <v>0</v>
      </c>
      <c r="AY24" s="91" t="s">
        <v>634</v>
      </c>
      <c r="AZ24" s="91" t="s">
        <v>651</v>
      </c>
      <c r="BA24" s="154" t="s">
        <v>658</v>
      </c>
      <c r="BC24" s="90">
        <f aca="true" t="shared" si="18" ref="BC24:BC31">AW24+AX24</f>
        <v>0</v>
      </c>
      <c r="BD24" s="90">
        <f aca="true" t="shared" si="19" ref="BD24:BD31">G24/(100-BE24)*100</f>
        <v>1412</v>
      </c>
      <c r="BE24" s="90">
        <v>0</v>
      </c>
      <c r="BF24" s="90">
        <f aca="true" t="shared" si="20" ref="BF24:BF31">L24</f>
        <v>0</v>
      </c>
      <c r="BH24" s="90">
        <f aca="true" t="shared" si="21" ref="BH24:BH31">F24*AO24</f>
        <v>0</v>
      </c>
      <c r="BI24" s="90">
        <f aca="true" t="shared" si="22" ref="BI24:BI31">F24*AP24</f>
        <v>0</v>
      </c>
      <c r="BJ24" s="90">
        <f aca="true" t="shared" si="23" ref="BJ24:BJ31">F24*G24</f>
        <v>0</v>
      </c>
    </row>
    <row r="25" spans="1:62" ht="12.75" hidden="1">
      <c r="A25" s="88" t="s">
        <v>88</v>
      </c>
      <c r="B25" s="88" t="s">
        <v>59</v>
      </c>
      <c r="C25" s="88" t="s">
        <v>255</v>
      </c>
      <c r="D25" s="88" t="s">
        <v>437</v>
      </c>
      <c r="E25" s="88" t="s">
        <v>609</v>
      </c>
      <c r="F25" s="90"/>
      <c r="G25" s="90">
        <v>63.7</v>
      </c>
      <c r="H25" s="90">
        <f t="shared" si="0"/>
        <v>0</v>
      </c>
      <c r="I25" s="90">
        <f t="shared" si="1"/>
        <v>0</v>
      </c>
      <c r="J25" s="90">
        <f t="shared" si="2"/>
        <v>0</v>
      </c>
      <c r="K25" s="90">
        <v>0.00238</v>
      </c>
      <c r="L25" s="90">
        <f t="shared" si="3"/>
        <v>0</v>
      </c>
      <c r="M25" s="91" t="s">
        <v>622</v>
      </c>
      <c r="Z25" s="90">
        <f t="shared" si="4"/>
        <v>0</v>
      </c>
      <c r="AB25" s="90">
        <f t="shared" si="5"/>
        <v>0</v>
      </c>
      <c r="AC25" s="90">
        <f t="shared" si="6"/>
        <v>0</v>
      </c>
      <c r="AD25" s="90">
        <f t="shared" si="7"/>
        <v>0</v>
      </c>
      <c r="AE25" s="90">
        <f t="shared" si="8"/>
        <v>0</v>
      </c>
      <c r="AF25" s="90">
        <f t="shared" si="9"/>
        <v>0</v>
      </c>
      <c r="AG25" s="90">
        <f t="shared" si="10"/>
        <v>0</v>
      </c>
      <c r="AH25" s="90">
        <f t="shared" si="11"/>
        <v>0</v>
      </c>
      <c r="AI25" s="154" t="s">
        <v>59</v>
      </c>
      <c r="AJ25" s="90">
        <f t="shared" si="12"/>
        <v>0</v>
      </c>
      <c r="AK25" s="90">
        <f t="shared" si="13"/>
        <v>0</v>
      </c>
      <c r="AL25" s="90">
        <f t="shared" si="14"/>
        <v>0</v>
      </c>
      <c r="AN25" s="90">
        <v>15</v>
      </c>
      <c r="AO25" s="90">
        <f>G25*0.110518038238422</f>
        <v>7.039999035787482</v>
      </c>
      <c r="AP25" s="90">
        <f>G25*(1-0.110518038238422)</f>
        <v>56.66000096421252</v>
      </c>
      <c r="AQ25" s="91" t="s">
        <v>79</v>
      </c>
      <c r="AV25" s="90">
        <f t="shared" si="15"/>
        <v>0</v>
      </c>
      <c r="AW25" s="90">
        <f t="shared" si="16"/>
        <v>0</v>
      </c>
      <c r="AX25" s="90">
        <f t="shared" si="17"/>
        <v>0</v>
      </c>
      <c r="AY25" s="91" t="s">
        <v>634</v>
      </c>
      <c r="AZ25" s="91" t="s">
        <v>651</v>
      </c>
      <c r="BA25" s="154" t="s">
        <v>658</v>
      </c>
      <c r="BC25" s="90">
        <f t="shared" si="18"/>
        <v>0</v>
      </c>
      <c r="BD25" s="90">
        <f t="shared" si="19"/>
        <v>63.7</v>
      </c>
      <c r="BE25" s="90">
        <v>0</v>
      </c>
      <c r="BF25" s="90">
        <f t="shared" si="20"/>
        <v>0</v>
      </c>
      <c r="BH25" s="90">
        <f t="shared" si="21"/>
        <v>0</v>
      </c>
      <c r="BI25" s="90">
        <f t="shared" si="22"/>
        <v>0</v>
      </c>
      <c r="BJ25" s="90">
        <f t="shared" si="23"/>
        <v>0</v>
      </c>
    </row>
    <row r="26" spans="1:62" ht="12.75" hidden="1">
      <c r="A26" s="88" t="s">
        <v>89</v>
      </c>
      <c r="B26" s="88" t="s">
        <v>59</v>
      </c>
      <c r="C26" s="88" t="s">
        <v>256</v>
      </c>
      <c r="D26" s="88" t="s">
        <v>439</v>
      </c>
      <c r="E26" s="88" t="s">
        <v>608</v>
      </c>
      <c r="F26" s="90"/>
      <c r="G26" s="90">
        <v>100.99</v>
      </c>
      <c r="H26" s="90">
        <f t="shared" si="0"/>
        <v>0</v>
      </c>
      <c r="I26" s="90">
        <f t="shared" si="1"/>
        <v>0</v>
      </c>
      <c r="J26" s="90">
        <f t="shared" si="2"/>
        <v>0</v>
      </c>
      <c r="K26" s="90">
        <v>0.01554</v>
      </c>
      <c r="L26" s="90">
        <f t="shared" si="3"/>
        <v>0</v>
      </c>
      <c r="M26" s="91" t="s">
        <v>622</v>
      </c>
      <c r="Z26" s="90">
        <f t="shared" si="4"/>
        <v>0</v>
      </c>
      <c r="AB26" s="90">
        <f t="shared" si="5"/>
        <v>0</v>
      </c>
      <c r="AC26" s="90">
        <f t="shared" si="6"/>
        <v>0</v>
      </c>
      <c r="AD26" s="90">
        <f t="shared" si="7"/>
        <v>0</v>
      </c>
      <c r="AE26" s="90">
        <f t="shared" si="8"/>
        <v>0</v>
      </c>
      <c r="AF26" s="90">
        <f t="shared" si="9"/>
        <v>0</v>
      </c>
      <c r="AG26" s="90">
        <f t="shared" si="10"/>
        <v>0</v>
      </c>
      <c r="AH26" s="90">
        <f t="shared" si="11"/>
        <v>0</v>
      </c>
      <c r="AI26" s="154" t="s">
        <v>59</v>
      </c>
      <c r="AJ26" s="90">
        <f t="shared" si="12"/>
        <v>0</v>
      </c>
      <c r="AK26" s="90">
        <f t="shared" si="13"/>
        <v>0</v>
      </c>
      <c r="AL26" s="90">
        <f t="shared" si="14"/>
        <v>0</v>
      </c>
      <c r="AN26" s="90">
        <v>15</v>
      </c>
      <c r="AO26" s="90">
        <f>G26*0.272799267964312</f>
        <v>27.549998071715866</v>
      </c>
      <c r="AP26" s="90">
        <f>G26*(1-0.272799267964312)</f>
        <v>73.44000192828413</v>
      </c>
      <c r="AQ26" s="91" t="s">
        <v>79</v>
      </c>
      <c r="AV26" s="90">
        <f t="shared" si="15"/>
        <v>0</v>
      </c>
      <c r="AW26" s="90">
        <f t="shared" si="16"/>
        <v>0</v>
      </c>
      <c r="AX26" s="90">
        <f t="shared" si="17"/>
        <v>0</v>
      </c>
      <c r="AY26" s="91" t="s">
        <v>634</v>
      </c>
      <c r="AZ26" s="91" t="s">
        <v>651</v>
      </c>
      <c r="BA26" s="154" t="s">
        <v>658</v>
      </c>
      <c r="BC26" s="90">
        <f t="shared" si="18"/>
        <v>0</v>
      </c>
      <c r="BD26" s="90">
        <f t="shared" si="19"/>
        <v>100.99000000000001</v>
      </c>
      <c r="BE26" s="90">
        <v>0</v>
      </c>
      <c r="BF26" s="90">
        <f t="shared" si="20"/>
        <v>0</v>
      </c>
      <c r="BH26" s="90">
        <f t="shared" si="21"/>
        <v>0</v>
      </c>
      <c r="BI26" s="90">
        <f t="shared" si="22"/>
        <v>0</v>
      </c>
      <c r="BJ26" s="90">
        <f t="shared" si="23"/>
        <v>0</v>
      </c>
    </row>
    <row r="27" spans="1:62" ht="12.75" hidden="1">
      <c r="A27" s="88" t="s">
        <v>90</v>
      </c>
      <c r="B27" s="88" t="s">
        <v>59</v>
      </c>
      <c r="C27" s="88" t="s">
        <v>257</v>
      </c>
      <c r="D27" s="88" t="s">
        <v>440</v>
      </c>
      <c r="E27" s="88" t="s">
        <v>608</v>
      </c>
      <c r="F27" s="90"/>
      <c r="G27" s="90">
        <v>396.49</v>
      </c>
      <c r="H27" s="90">
        <f t="shared" si="0"/>
        <v>0</v>
      </c>
      <c r="I27" s="90">
        <f t="shared" si="1"/>
        <v>0</v>
      </c>
      <c r="J27" s="90">
        <f t="shared" si="2"/>
        <v>0</v>
      </c>
      <c r="K27" s="90">
        <v>0.06002</v>
      </c>
      <c r="L27" s="90">
        <f t="shared" si="3"/>
        <v>0</v>
      </c>
      <c r="M27" s="91" t="s">
        <v>622</v>
      </c>
      <c r="Z27" s="90">
        <f t="shared" si="4"/>
        <v>0</v>
      </c>
      <c r="AB27" s="90">
        <f t="shared" si="5"/>
        <v>0</v>
      </c>
      <c r="AC27" s="90">
        <f t="shared" si="6"/>
        <v>0</v>
      </c>
      <c r="AD27" s="90">
        <f t="shared" si="7"/>
        <v>0</v>
      </c>
      <c r="AE27" s="90">
        <f t="shared" si="8"/>
        <v>0</v>
      </c>
      <c r="AF27" s="90">
        <f t="shared" si="9"/>
        <v>0</v>
      </c>
      <c r="AG27" s="90">
        <f t="shared" si="10"/>
        <v>0</v>
      </c>
      <c r="AH27" s="90">
        <f t="shared" si="11"/>
        <v>0</v>
      </c>
      <c r="AI27" s="154" t="s">
        <v>59</v>
      </c>
      <c r="AJ27" s="90">
        <f t="shared" si="12"/>
        <v>0</v>
      </c>
      <c r="AK27" s="90">
        <f t="shared" si="13"/>
        <v>0</v>
      </c>
      <c r="AL27" s="90">
        <f t="shared" si="14"/>
        <v>0</v>
      </c>
      <c r="AN27" s="90">
        <v>15</v>
      </c>
      <c r="AO27" s="90">
        <f>G27*0.15750712496701</f>
        <v>62.44999997816979</v>
      </c>
      <c r="AP27" s="90">
        <f>G27*(1-0.15750712496701)</f>
        <v>334.0400000218302</v>
      </c>
      <c r="AQ27" s="91" t="s">
        <v>79</v>
      </c>
      <c r="AV27" s="90">
        <f t="shared" si="15"/>
        <v>0</v>
      </c>
      <c r="AW27" s="90">
        <f t="shared" si="16"/>
        <v>0</v>
      </c>
      <c r="AX27" s="90">
        <f t="shared" si="17"/>
        <v>0</v>
      </c>
      <c r="AY27" s="91" t="s">
        <v>634</v>
      </c>
      <c r="AZ27" s="91" t="s">
        <v>651</v>
      </c>
      <c r="BA27" s="154" t="s">
        <v>658</v>
      </c>
      <c r="BC27" s="90">
        <f t="shared" si="18"/>
        <v>0</v>
      </c>
      <c r="BD27" s="90">
        <f t="shared" si="19"/>
        <v>396.49</v>
      </c>
      <c r="BE27" s="90">
        <v>0</v>
      </c>
      <c r="BF27" s="90">
        <f t="shared" si="20"/>
        <v>0</v>
      </c>
      <c r="BH27" s="90">
        <f t="shared" si="21"/>
        <v>0</v>
      </c>
      <c r="BI27" s="90">
        <f t="shared" si="22"/>
        <v>0</v>
      </c>
      <c r="BJ27" s="90">
        <f t="shared" si="23"/>
        <v>0</v>
      </c>
    </row>
    <row r="28" spans="1:62" ht="12.75" hidden="1">
      <c r="A28" s="88" t="s">
        <v>91</v>
      </c>
      <c r="B28" s="88" t="s">
        <v>59</v>
      </c>
      <c r="C28" s="88" t="s">
        <v>258</v>
      </c>
      <c r="D28" s="88" t="s">
        <v>442</v>
      </c>
      <c r="E28" s="88" t="s">
        <v>608</v>
      </c>
      <c r="F28" s="90"/>
      <c r="G28" s="90">
        <v>51.7</v>
      </c>
      <c r="H28" s="90">
        <f t="shared" si="0"/>
        <v>0</v>
      </c>
      <c r="I28" s="90">
        <f t="shared" si="1"/>
        <v>0</v>
      </c>
      <c r="J28" s="90">
        <f t="shared" si="2"/>
        <v>0</v>
      </c>
      <c r="K28" s="90">
        <v>0.01119</v>
      </c>
      <c r="L28" s="90">
        <f t="shared" si="3"/>
        <v>0</v>
      </c>
      <c r="M28" s="91" t="s">
        <v>622</v>
      </c>
      <c r="Z28" s="90">
        <f t="shared" si="4"/>
        <v>0</v>
      </c>
      <c r="AB28" s="90">
        <f t="shared" si="5"/>
        <v>0</v>
      </c>
      <c r="AC28" s="90">
        <f t="shared" si="6"/>
        <v>0</v>
      </c>
      <c r="AD28" s="90">
        <f t="shared" si="7"/>
        <v>0</v>
      </c>
      <c r="AE28" s="90">
        <f t="shared" si="8"/>
        <v>0</v>
      </c>
      <c r="AF28" s="90">
        <f t="shared" si="9"/>
        <v>0</v>
      </c>
      <c r="AG28" s="90">
        <f t="shared" si="10"/>
        <v>0</v>
      </c>
      <c r="AH28" s="90">
        <f t="shared" si="11"/>
        <v>0</v>
      </c>
      <c r="AI28" s="154" t="s">
        <v>59</v>
      </c>
      <c r="AJ28" s="90">
        <f t="shared" si="12"/>
        <v>0</v>
      </c>
      <c r="AK28" s="90">
        <f t="shared" si="13"/>
        <v>0</v>
      </c>
      <c r="AL28" s="90">
        <f t="shared" si="14"/>
        <v>0</v>
      </c>
      <c r="AN28" s="90">
        <v>15</v>
      </c>
      <c r="AO28" s="90">
        <f>G28*0.206189563671303</f>
        <v>10.660000441806366</v>
      </c>
      <c r="AP28" s="90">
        <f>G28*(1-0.206189563671303)</f>
        <v>41.039999558193635</v>
      </c>
      <c r="AQ28" s="91" t="s">
        <v>79</v>
      </c>
      <c r="AV28" s="90">
        <f t="shared" si="15"/>
        <v>0</v>
      </c>
      <c r="AW28" s="90">
        <f t="shared" si="16"/>
        <v>0</v>
      </c>
      <c r="AX28" s="90">
        <f t="shared" si="17"/>
        <v>0</v>
      </c>
      <c r="AY28" s="91" t="s">
        <v>634</v>
      </c>
      <c r="AZ28" s="91" t="s">
        <v>651</v>
      </c>
      <c r="BA28" s="154" t="s">
        <v>658</v>
      </c>
      <c r="BC28" s="90">
        <f t="shared" si="18"/>
        <v>0</v>
      </c>
      <c r="BD28" s="90">
        <f t="shared" si="19"/>
        <v>51.7</v>
      </c>
      <c r="BE28" s="90">
        <v>0</v>
      </c>
      <c r="BF28" s="90">
        <f t="shared" si="20"/>
        <v>0</v>
      </c>
      <c r="BH28" s="90">
        <f t="shared" si="21"/>
        <v>0</v>
      </c>
      <c r="BI28" s="90">
        <f t="shared" si="22"/>
        <v>0</v>
      </c>
      <c r="BJ28" s="90">
        <f t="shared" si="23"/>
        <v>0</v>
      </c>
    </row>
    <row r="29" spans="1:62" ht="12.75" hidden="1">
      <c r="A29" s="88" t="s">
        <v>92</v>
      </c>
      <c r="B29" s="88" t="s">
        <v>59</v>
      </c>
      <c r="C29" s="88" t="s">
        <v>259</v>
      </c>
      <c r="D29" s="88" t="s">
        <v>443</v>
      </c>
      <c r="E29" s="88" t="s">
        <v>608</v>
      </c>
      <c r="F29" s="90"/>
      <c r="G29" s="90">
        <v>326.5</v>
      </c>
      <c r="H29" s="90">
        <f t="shared" si="0"/>
        <v>0</v>
      </c>
      <c r="I29" s="90">
        <f t="shared" si="1"/>
        <v>0</v>
      </c>
      <c r="J29" s="90">
        <f t="shared" si="2"/>
        <v>0</v>
      </c>
      <c r="K29" s="90">
        <v>0.02888</v>
      </c>
      <c r="L29" s="90">
        <f t="shared" si="3"/>
        <v>0</v>
      </c>
      <c r="M29" s="91" t="s">
        <v>622</v>
      </c>
      <c r="Z29" s="90">
        <f t="shared" si="4"/>
        <v>0</v>
      </c>
      <c r="AB29" s="90">
        <f t="shared" si="5"/>
        <v>0</v>
      </c>
      <c r="AC29" s="90">
        <f t="shared" si="6"/>
        <v>0</v>
      </c>
      <c r="AD29" s="90">
        <f t="shared" si="7"/>
        <v>0</v>
      </c>
      <c r="AE29" s="90">
        <f t="shared" si="8"/>
        <v>0</v>
      </c>
      <c r="AF29" s="90">
        <f t="shared" si="9"/>
        <v>0</v>
      </c>
      <c r="AG29" s="90">
        <f t="shared" si="10"/>
        <v>0</v>
      </c>
      <c r="AH29" s="90">
        <f t="shared" si="11"/>
        <v>0</v>
      </c>
      <c r="AI29" s="154" t="s">
        <v>59</v>
      </c>
      <c r="AJ29" s="90">
        <f t="shared" si="12"/>
        <v>0</v>
      </c>
      <c r="AK29" s="90">
        <f t="shared" si="13"/>
        <v>0</v>
      </c>
      <c r="AL29" s="90">
        <f t="shared" si="14"/>
        <v>0</v>
      </c>
      <c r="AN29" s="90">
        <v>15</v>
      </c>
      <c r="AO29" s="90">
        <f>G29*0.324471670401994</f>
        <v>105.94000038625103</v>
      </c>
      <c r="AP29" s="90">
        <f>G29*(1-0.324471670401994)</f>
        <v>220.55999961374897</v>
      </c>
      <c r="AQ29" s="91" t="s">
        <v>79</v>
      </c>
      <c r="AV29" s="90">
        <f t="shared" si="15"/>
        <v>0</v>
      </c>
      <c r="AW29" s="90">
        <f t="shared" si="16"/>
        <v>0</v>
      </c>
      <c r="AX29" s="90">
        <f t="shared" si="17"/>
        <v>0</v>
      </c>
      <c r="AY29" s="91" t="s">
        <v>634</v>
      </c>
      <c r="AZ29" s="91" t="s">
        <v>651</v>
      </c>
      <c r="BA29" s="154" t="s">
        <v>658</v>
      </c>
      <c r="BC29" s="90">
        <f t="shared" si="18"/>
        <v>0</v>
      </c>
      <c r="BD29" s="90">
        <f t="shared" si="19"/>
        <v>326.5</v>
      </c>
      <c r="BE29" s="90">
        <v>0</v>
      </c>
      <c r="BF29" s="90">
        <f t="shared" si="20"/>
        <v>0</v>
      </c>
      <c r="BH29" s="90">
        <f t="shared" si="21"/>
        <v>0</v>
      </c>
      <c r="BI29" s="90">
        <f t="shared" si="22"/>
        <v>0</v>
      </c>
      <c r="BJ29" s="90">
        <f t="shared" si="23"/>
        <v>0</v>
      </c>
    </row>
    <row r="30" spans="1:62" ht="12.75" hidden="1">
      <c r="A30" s="88" t="s">
        <v>93</v>
      </c>
      <c r="B30" s="88" t="s">
        <v>59</v>
      </c>
      <c r="C30" s="88" t="s">
        <v>260</v>
      </c>
      <c r="D30" s="88" t="s">
        <v>445</v>
      </c>
      <c r="E30" s="88" t="s">
        <v>608</v>
      </c>
      <c r="F30" s="90"/>
      <c r="G30" s="90">
        <v>190.5</v>
      </c>
      <c r="H30" s="90">
        <f t="shared" si="0"/>
        <v>0</v>
      </c>
      <c r="I30" s="90">
        <f t="shared" si="1"/>
        <v>0</v>
      </c>
      <c r="J30" s="90">
        <f t="shared" si="2"/>
        <v>0</v>
      </c>
      <c r="K30" s="90">
        <v>0.00367</v>
      </c>
      <c r="L30" s="90">
        <f t="shared" si="3"/>
        <v>0</v>
      </c>
      <c r="M30" s="91" t="s">
        <v>622</v>
      </c>
      <c r="Z30" s="90">
        <f t="shared" si="4"/>
        <v>0</v>
      </c>
      <c r="AB30" s="90">
        <f t="shared" si="5"/>
        <v>0</v>
      </c>
      <c r="AC30" s="90">
        <f t="shared" si="6"/>
        <v>0</v>
      </c>
      <c r="AD30" s="90">
        <f t="shared" si="7"/>
        <v>0</v>
      </c>
      <c r="AE30" s="90">
        <f t="shared" si="8"/>
        <v>0</v>
      </c>
      <c r="AF30" s="90">
        <f t="shared" si="9"/>
        <v>0</v>
      </c>
      <c r="AG30" s="90">
        <f t="shared" si="10"/>
        <v>0</v>
      </c>
      <c r="AH30" s="90">
        <f t="shared" si="11"/>
        <v>0</v>
      </c>
      <c r="AI30" s="154" t="s">
        <v>59</v>
      </c>
      <c r="AJ30" s="90">
        <f t="shared" si="12"/>
        <v>0</v>
      </c>
      <c r="AK30" s="90">
        <f t="shared" si="13"/>
        <v>0</v>
      </c>
      <c r="AL30" s="90">
        <f t="shared" si="14"/>
        <v>0</v>
      </c>
      <c r="AN30" s="90">
        <v>15</v>
      </c>
      <c r="AO30" s="90">
        <f>G30*0.283412072345278</f>
        <v>53.98999978177546</v>
      </c>
      <c r="AP30" s="90">
        <f>G30*(1-0.283412072345278)</f>
        <v>136.51000021822455</v>
      </c>
      <c r="AQ30" s="91" t="s">
        <v>79</v>
      </c>
      <c r="AV30" s="90">
        <f t="shared" si="15"/>
        <v>0</v>
      </c>
      <c r="AW30" s="90">
        <f t="shared" si="16"/>
        <v>0</v>
      </c>
      <c r="AX30" s="90">
        <f t="shared" si="17"/>
        <v>0</v>
      </c>
      <c r="AY30" s="91" t="s">
        <v>634</v>
      </c>
      <c r="AZ30" s="91" t="s">
        <v>651</v>
      </c>
      <c r="BA30" s="154" t="s">
        <v>658</v>
      </c>
      <c r="BC30" s="90">
        <f t="shared" si="18"/>
        <v>0</v>
      </c>
      <c r="BD30" s="90">
        <f t="shared" si="19"/>
        <v>190.5</v>
      </c>
      <c r="BE30" s="90">
        <v>0</v>
      </c>
      <c r="BF30" s="90">
        <f t="shared" si="20"/>
        <v>0</v>
      </c>
      <c r="BH30" s="90">
        <f t="shared" si="21"/>
        <v>0</v>
      </c>
      <c r="BI30" s="90">
        <f t="shared" si="22"/>
        <v>0</v>
      </c>
      <c r="BJ30" s="90">
        <f t="shared" si="23"/>
        <v>0</v>
      </c>
    </row>
    <row r="31" spans="1:62" ht="12.75" hidden="1">
      <c r="A31" s="88" t="s">
        <v>94</v>
      </c>
      <c r="B31" s="88" t="s">
        <v>59</v>
      </c>
      <c r="C31" s="88" t="s">
        <v>261</v>
      </c>
      <c r="D31" s="88" t="s">
        <v>447</v>
      </c>
      <c r="E31" s="88" t="s">
        <v>609</v>
      </c>
      <c r="F31" s="90"/>
      <c r="G31" s="90">
        <v>78</v>
      </c>
      <c r="H31" s="90">
        <f t="shared" si="0"/>
        <v>0</v>
      </c>
      <c r="I31" s="90">
        <f t="shared" si="1"/>
        <v>0</v>
      </c>
      <c r="J31" s="90">
        <f t="shared" si="2"/>
        <v>0</v>
      </c>
      <c r="K31" s="90">
        <v>0.00215</v>
      </c>
      <c r="L31" s="90">
        <f t="shared" si="3"/>
        <v>0</v>
      </c>
      <c r="M31" s="91" t="s">
        <v>622</v>
      </c>
      <c r="Z31" s="90">
        <f t="shared" si="4"/>
        <v>0</v>
      </c>
      <c r="AB31" s="90">
        <f t="shared" si="5"/>
        <v>0</v>
      </c>
      <c r="AC31" s="90">
        <f t="shared" si="6"/>
        <v>0</v>
      </c>
      <c r="AD31" s="90">
        <f t="shared" si="7"/>
        <v>0</v>
      </c>
      <c r="AE31" s="90">
        <f t="shared" si="8"/>
        <v>0</v>
      </c>
      <c r="AF31" s="90">
        <f t="shared" si="9"/>
        <v>0</v>
      </c>
      <c r="AG31" s="90">
        <f t="shared" si="10"/>
        <v>0</v>
      </c>
      <c r="AH31" s="90">
        <f t="shared" si="11"/>
        <v>0</v>
      </c>
      <c r="AI31" s="154" t="s">
        <v>59</v>
      </c>
      <c r="AJ31" s="90">
        <f t="shared" si="12"/>
        <v>0</v>
      </c>
      <c r="AK31" s="90">
        <f t="shared" si="13"/>
        <v>0</v>
      </c>
      <c r="AL31" s="90">
        <f t="shared" si="14"/>
        <v>0</v>
      </c>
      <c r="AN31" s="90">
        <v>15</v>
      </c>
      <c r="AO31" s="90">
        <f>G31*0.312307692307692</f>
        <v>24.359999999999978</v>
      </c>
      <c r="AP31" s="90">
        <f>G31*(1-0.312307692307692)</f>
        <v>53.64000000000003</v>
      </c>
      <c r="AQ31" s="91" t="s">
        <v>79</v>
      </c>
      <c r="AV31" s="90">
        <f t="shared" si="15"/>
        <v>0</v>
      </c>
      <c r="AW31" s="90">
        <f t="shared" si="16"/>
        <v>0</v>
      </c>
      <c r="AX31" s="90">
        <f t="shared" si="17"/>
        <v>0</v>
      </c>
      <c r="AY31" s="91" t="s">
        <v>634</v>
      </c>
      <c r="AZ31" s="91" t="s">
        <v>651</v>
      </c>
      <c r="BA31" s="154" t="s">
        <v>658</v>
      </c>
      <c r="BC31" s="90">
        <f t="shared" si="18"/>
        <v>0</v>
      </c>
      <c r="BD31" s="90">
        <f t="shared" si="19"/>
        <v>78</v>
      </c>
      <c r="BE31" s="90">
        <v>0</v>
      </c>
      <c r="BF31" s="90">
        <f t="shared" si="20"/>
        <v>0</v>
      </c>
      <c r="BH31" s="90">
        <f t="shared" si="21"/>
        <v>0</v>
      </c>
      <c r="BI31" s="90">
        <f t="shared" si="22"/>
        <v>0</v>
      </c>
      <c r="BJ31" s="90">
        <f t="shared" si="23"/>
        <v>0</v>
      </c>
    </row>
    <row r="32" spans="1:47" ht="12.75" hidden="1">
      <c r="A32" s="159"/>
      <c r="B32" s="160" t="s">
        <v>59</v>
      </c>
      <c r="C32" s="160" t="s">
        <v>141</v>
      </c>
      <c r="D32" s="160" t="s">
        <v>449</v>
      </c>
      <c r="E32" s="159" t="s">
        <v>57</v>
      </c>
      <c r="F32" s="159"/>
      <c r="G32" s="159" t="s">
        <v>57</v>
      </c>
      <c r="H32" s="161">
        <f>SUM(H33:H34)</f>
        <v>0</v>
      </c>
      <c r="I32" s="161">
        <f>SUM(I33:I34)</f>
        <v>0</v>
      </c>
      <c r="J32" s="161">
        <f>SUM(J33:J34)</f>
        <v>0</v>
      </c>
      <c r="K32" s="154"/>
      <c r="L32" s="161">
        <f>SUM(L33:L34)</f>
        <v>0</v>
      </c>
      <c r="M32" s="154"/>
      <c r="AI32" s="154" t="s">
        <v>59</v>
      </c>
      <c r="AS32" s="161">
        <f>SUM(AJ33:AJ34)</f>
        <v>0</v>
      </c>
      <c r="AT32" s="161">
        <f>SUM(AK33:AK34)</f>
        <v>0</v>
      </c>
      <c r="AU32" s="161">
        <f>SUM(AL33:AL34)</f>
        <v>0</v>
      </c>
    </row>
    <row r="33" spans="1:62" ht="12.75" hidden="1">
      <c r="A33" s="88" t="s">
        <v>95</v>
      </c>
      <c r="B33" s="88" t="s">
        <v>59</v>
      </c>
      <c r="C33" s="88" t="s">
        <v>262</v>
      </c>
      <c r="D33" s="88" t="s">
        <v>450</v>
      </c>
      <c r="E33" s="88" t="s">
        <v>608</v>
      </c>
      <c r="F33" s="90"/>
      <c r="G33" s="90">
        <v>1151</v>
      </c>
      <c r="H33" s="90">
        <f>F33*AO33</f>
        <v>0</v>
      </c>
      <c r="I33" s="90">
        <f>F33*AP33</f>
        <v>0</v>
      </c>
      <c r="J33" s="90">
        <f>F33*G33</f>
        <v>0</v>
      </c>
      <c r="K33" s="90">
        <v>0.1614</v>
      </c>
      <c r="L33" s="90">
        <f>F33*K33</f>
        <v>0</v>
      </c>
      <c r="M33" s="91" t="s">
        <v>622</v>
      </c>
      <c r="Z33" s="90">
        <f>IF(AQ33="5",BJ33,0)</f>
        <v>0</v>
      </c>
      <c r="AB33" s="90">
        <f>IF(AQ33="1",BH33,0)</f>
        <v>0</v>
      </c>
      <c r="AC33" s="90">
        <f>IF(AQ33="1",BI33,0)</f>
        <v>0</v>
      </c>
      <c r="AD33" s="90">
        <f>IF(AQ33="7",BH33,0)</f>
        <v>0</v>
      </c>
      <c r="AE33" s="90">
        <f>IF(AQ33="7",BI33,0)</f>
        <v>0</v>
      </c>
      <c r="AF33" s="90">
        <f>IF(AQ33="2",BH33,0)</f>
        <v>0</v>
      </c>
      <c r="AG33" s="90">
        <f>IF(AQ33="2",BI33,0)</f>
        <v>0</v>
      </c>
      <c r="AH33" s="90">
        <f>IF(AQ33="0",BJ33,0)</f>
        <v>0</v>
      </c>
      <c r="AI33" s="154" t="s">
        <v>59</v>
      </c>
      <c r="AJ33" s="90">
        <f>IF(AN33=0,J33,0)</f>
        <v>0</v>
      </c>
      <c r="AK33" s="90">
        <f>IF(AN33=15,J33,0)</f>
        <v>0</v>
      </c>
      <c r="AL33" s="90">
        <f>IF(AN33=21,J33,0)</f>
        <v>0</v>
      </c>
      <c r="AN33" s="90">
        <v>15</v>
      </c>
      <c r="AO33" s="90">
        <f>G33*0.710773240660295</f>
        <v>818.0999999999996</v>
      </c>
      <c r="AP33" s="90">
        <f>G33*(1-0.710773240660295)</f>
        <v>332.90000000000043</v>
      </c>
      <c r="AQ33" s="91" t="s">
        <v>79</v>
      </c>
      <c r="AV33" s="90">
        <f>AW33+AX33</f>
        <v>0</v>
      </c>
      <c r="AW33" s="90">
        <f>F33*AO33</f>
        <v>0</v>
      </c>
      <c r="AX33" s="90">
        <f>F33*AP33</f>
        <v>0</v>
      </c>
      <c r="AY33" s="91" t="s">
        <v>635</v>
      </c>
      <c r="AZ33" s="91" t="s">
        <v>651</v>
      </c>
      <c r="BA33" s="154" t="s">
        <v>658</v>
      </c>
      <c r="BC33" s="90">
        <f>AW33+AX33</f>
        <v>0</v>
      </c>
      <c r="BD33" s="90">
        <f>G33/(100-BE33)*100</f>
        <v>1151</v>
      </c>
      <c r="BE33" s="90">
        <v>0</v>
      </c>
      <c r="BF33" s="90">
        <f>L33</f>
        <v>0</v>
      </c>
      <c r="BH33" s="90">
        <f>F33*AO33</f>
        <v>0</v>
      </c>
      <c r="BI33" s="90">
        <f>F33*AP33</f>
        <v>0</v>
      </c>
      <c r="BJ33" s="90">
        <f>F33*G33</f>
        <v>0</v>
      </c>
    </row>
    <row r="34" spans="1:62" ht="12.75" hidden="1">
      <c r="A34" s="88" t="s">
        <v>96</v>
      </c>
      <c r="B34" s="88" t="s">
        <v>59</v>
      </c>
      <c r="C34" s="88" t="s">
        <v>263</v>
      </c>
      <c r="D34" s="88" t="s">
        <v>451</v>
      </c>
      <c r="E34" s="88" t="s">
        <v>608</v>
      </c>
      <c r="F34" s="90"/>
      <c r="G34" s="90">
        <v>1826</v>
      </c>
      <c r="H34" s="90">
        <f>F34*AO34</f>
        <v>0</v>
      </c>
      <c r="I34" s="90">
        <f>F34*AP34</f>
        <v>0</v>
      </c>
      <c r="J34" s="90">
        <f>F34*G34</f>
        <v>0</v>
      </c>
      <c r="K34" s="90">
        <v>0.8147</v>
      </c>
      <c r="L34" s="90">
        <f>F34*K34</f>
        <v>0</v>
      </c>
      <c r="M34" s="91" t="s">
        <v>622</v>
      </c>
      <c r="Z34" s="90">
        <f>IF(AQ34="5",BJ34,0)</f>
        <v>0</v>
      </c>
      <c r="AB34" s="90">
        <f>IF(AQ34="1",BH34,0)</f>
        <v>0</v>
      </c>
      <c r="AC34" s="90">
        <f>IF(AQ34="1",BI34,0)</f>
        <v>0</v>
      </c>
      <c r="AD34" s="90">
        <f>IF(AQ34="7",BH34,0)</f>
        <v>0</v>
      </c>
      <c r="AE34" s="90">
        <f>IF(AQ34="7",BI34,0)</f>
        <v>0</v>
      </c>
      <c r="AF34" s="90">
        <f>IF(AQ34="2",BH34,0)</f>
        <v>0</v>
      </c>
      <c r="AG34" s="90">
        <f>IF(AQ34="2",BI34,0)</f>
        <v>0</v>
      </c>
      <c r="AH34" s="90">
        <f>IF(AQ34="0",BJ34,0)</f>
        <v>0</v>
      </c>
      <c r="AI34" s="154" t="s">
        <v>59</v>
      </c>
      <c r="AJ34" s="90">
        <f>IF(AN34=0,J34,0)</f>
        <v>0</v>
      </c>
      <c r="AK34" s="90">
        <f>IF(AN34=15,J34,0)</f>
        <v>0</v>
      </c>
      <c r="AL34" s="90">
        <f>IF(AN34=21,J34,0)</f>
        <v>0</v>
      </c>
      <c r="AN34" s="90">
        <v>15</v>
      </c>
      <c r="AO34" s="90">
        <f>G34*0.710766703176342</f>
        <v>1297.8600000000006</v>
      </c>
      <c r="AP34" s="90">
        <f>G34*(1-0.710766703176342)</f>
        <v>528.1399999999994</v>
      </c>
      <c r="AQ34" s="91" t="s">
        <v>79</v>
      </c>
      <c r="AV34" s="90">
        <f>AW34+AX34</f>
        <v>0</v>
      </c>
      <c r="AW34" s="90">
        <f>F34*AO34</f>
        <v>0</v>
      </c>
      <c r="AX34" s="90">
        <f>F34*AP34</f>
        <v>0</v>
      </c>
      <c r="AY34" s="91" t="s">
        <v>635</v>
      </c>
      <c r="AZ34" s="91" t="s">
        <v>651</v>
      </c>
      <c r="BA34" s="154" t="s">
        <v>658</v>
      </c>
      <c r="BC34" s="90">
        <f>AW34+AX34</f>
        <v>0</v>
      </c>
      <c r="BD34" s="90">
        <f>G34/(100-BE34)*100</f>
        <v>1826.0000000000002</v>
      </c>
      <c r="BE34" s="90">
        <v>0</v>
      </c>
      <c r="BF34" s="90">
        <f>L34</f>
        <v>0</v>
      </c>
      <c r="BH34" s="90">
        <f>F34*AO34</f>
        <v>0</v>
      </c>
      <c r="BI34" s="90">
        <f>F34*AP34</f>
        <v>0</v>
      </c>
      <c r="BJ34" s="90">
        <f>F34*G34</f>
        <v>0</v>
      </c>
    </row>
    <row r="35" spans="1:47" ht="12.75" hidden="1">
      <c r="A35" s="159"/>
      <c r="B35" s="160" t="s">
        <v>59</v>
      </c>
      <c r="C35" s="160" t="s">
        <v>172</v>
      </c>
      <c r="D35" s="160" t="s">
        <v>453</v>
      </c>
      <c r="E35" s="159" t="s">
        <v>57</v>
      </c>
      <c r="F35" s="159"/>
      <c r="G35" s="159" t="s">
        <v>57</v>
      </c>
      <c r="H35" s="161">
        <f>SUM(H36:H39)</f>
        <v>0</v>
      </c>
      <c r="I35" s="161">
        <f>SUM(I36:I39)</f>
        <v>0</v>
      </c>
      <c r="J35" s="161">
        <f>SUM(J36:J39)</f>
        <v>0</v>
      </c>
      <c r="K35" s="154"/>
      <c r="L35" s="161">
        <f>SUM(L36:L39)</f>
        <v>0</v>
      </c>
      <c r="M35" s="154"/>
      <c r="AI35" s="154" t="s">
        <v>59</v>
      </c>
      <c r="AS35" s="161">
        <f>SUM(AJ36:AJ39)</f>
        <v>0</v>
      </c>
      <c r="AT35" s="161">
        <f>SUM(AK36:AK39)</f>
        <v>0</v>
      </c>
      <c r="AU35" s="161">
        <f>SUM(AL36:AL39)</f>
        <v>0</v>
      </c>
    </row>
    <row r="36" spans="1:62" ht="12.75" hidden="1">
      <c r="A36" s="88" t="s">
        <v>97</v>
      </c>
      <c r="B36" s="88" t="s">
        <v>59</v>
      </c>
      <c r="C36" s="88" t="s">
        <v>264</v>
      </c>
      <c r="D36" s="88" t="s">
        <v>454</v>
      </c>
      <c r="E36" s="88" t="s">
        <v>608</v>
      </c>
      <c r="F36" s="90"/>
      <c r="G36" s="90">
        <v>108.49</v>
      </c>
      <c r="H36" s="90">
        <f>F36*AO36</f>
        <v>0</v>
      </c>
      <c r="I36" s="90">
        <f>F36*AP36</f>
        <v>0</v>
      </c>
      <c r="J36" s="90">
        <f>F36*G36</f>
        <v>0</v>
      </c>
      <c r="K36" s="90">
        <v>0.00158</v>
      </c>
      <c r="L36" s="90">
        <f>F36*K36</f>
        <v>0</v>
      </c>
      <c r="M36" s="91" t="s">
        <v>622</v>
      </c>
      <c r="Z36" s="90">
        <f>IF(AQ36="5",BJ36,0)</f>
        <v>0</v>
      </c>
      <c r="AB36" s="90">
        <f>IF(AQ36="1",BH36,0)</f>
        <v>0</v>
      </c>
      <c r="AC36" s="90">
        <f>IF(AQ36="1",BI36,0)</f>
        <v>0</v>
      </c>
      <c r="AD36" s="90">
        <f>IF(AQ36="7",BH36,0)</f>
        <v>0</v>
      </c>
      <c r="AE36" s="90">
        <f>IF(AQ36="7",BI36,0)</f>
        <v>0</v>
      </c>
      <c r="AF36" s="90">
        <f>IF(AQ36="2",BH36,0)</f>
        <v>0</v>
      </c>
      <c r="AG36" s="90">
        <f>IF(AQ36="2",BI36,0)</f>
        <v>0</v>
      </c>
      <c r="AH36" s="90">
        <f>IF(AQ36="0",BJ36,0)</f>
        <v>0</v>
      </c>
      <c r="AI36" s="154" t="s">
        <v>59</v>
      </c>
      <c r="AJ36" s="90">
        <f>IF(AN36=0,J36,0)</f>
        <v>0</v>
      </c>
      <c r="AK36" s="90">
        <f>IF(AN36=15,J36,0)</f>
        <v>0</v>
      </c>
      <c r="AL36" s="90">
        <f>IF(AN36=21,J36,0)</f>
        <v>0</v>
      </c>
      <c r="AN36" s="90">
        <v>15</v>
      </c>
      <c r="AO36" s="90">
        <f>G36*0.4197621900636</f>
        <v>45.539999999999964</v>
      </c>
      <c r="AP36" s="90">
        <f>G36*(1-0.4197621900636)</f>
        <v>62.95000000000004</v>
      </c>
      <c r="AQ36" s="91" t="s">
        <v>79</v>
      </c>
      <c r="AV36" s="90">
        <f>AW36+AX36</f>
        <v>0</v>
      </c>
      <c r="AW36" s="90">
        <f>F36*AO36</f>
        <v>0</v>
      </c>
      <c r="AX36" s="90">
        <f>F36*AP36</f>
        <v>0</v>
      </c>
      <c r="AY36" s="91" t="s">
        <v>636</v>
      </c>
      <c r="AZ36" s="91" t="s">
        <v>652</v>
      </c>
      <c r="BA36" s="154" t="s">
        <v>658</v>
      </c>
      <c r="BC36" s="90">
        <f>AW36+AX36</f>
        <v>0</v>
      </c>
      <c r="BD36" s="90">
        <f>G36/(100-BE36)*100</f>
        <v>108.49</v>
      </c>
      <c r="BE36" s="90">
        <v>0</v>
      </c>
      <c r="BF36" s="90">
        <f>L36</f>
        <v>0</v>
      </c>
      <c r="BH36" s="90">
        <f>F36*AO36</f>
        <v>0</v>
      </c>
      <c r="BI36" s="90">
        <f>F36*AP36</f>
        <v>0</v>
      </c>
      <c r="BJ36" s="90">
        <f>F36*G36</f>
        <v>0</v>
      </c>
    </row>
    <row r="37" spans="1:62" ht="12.75" hidden="1">
      <c r="A37" s="88" t="s">
        <v>98</v>
      </c>
      <c r="B37" s="88" t="s">
        <v>59</v>
      </c>
      <c r="C37" s="88" t="s">
        <v>265</v>
      </c>
      <c r="D37" s="88" t="s">
        <v>455</v>
      </c>
      <c r="E37" s="88" t="s">
        <v>610</v>
      </c>
      <c r="F37" s="90"/>
      <c r="G37" s="90">
        <v>11.8</v>
      </c>
      <c r="H37" s="90">
        <f>F37*AO37</f>
        <v>0</v>
      </c>
      <c r="I37" s="90">
        <f>F37*AP37</f>
        <v>0</v>
      </c>
      <c r="J37" s="90">
        <f>F37*G37</f>
        <v>0</v>
      </c>
      <c r="K37" s="90">
        <v>0.00735</v>
      </c>
      <c r="L37" s="90">
        <f>F37*K37</f>
        <v>0</v>
      </c>
      <c r="M37" s="91" t="s">
        <v>622</v>
      </c>
      <c r="Z37" s="90">
        <f>IF(AQ37="5",BJ37,0)</f>
        <v>0</v>
      </c>
      <c r="AB37" s="90">
        <f>IF(AQ37="1",BH37,0)</f>
        <v>0</v>
      </c>
      <c r="AC37" s="90">
        <f>IF(AQ37="1",BI37,0)</f>
        <v>0</v>
      </c>
      <c r="AD37" s="90">
        <f>IF(AQ37="7",BH37,0)</f>
        <v>0</v>
      </c>
      <c r="AE37" s="90">
        <f>IF(AQ37="7",BI37,0)</f>
        <v>0</v>
      </c>
      <c r="AF37" s="90">
        <f>IF(AQ37="2",BH37,0)</f>
        <v>0</v>
      </c>
      <c r="AG37" s="90">
        <f>IF(AQ37="2",BI37,0)</f>
        <v>0</v>
      </c>
      <c r="AH37" s="90">
        <f>IF(AQ37="0",BJ37,0)</f>
        <v>0</v>
      </c>
      <c r="AI37" s="154" t="s">
        <v>59</v>
      </c>
      <c r="AJ37" s="90">
        <f>IF(AN37=0,J37,0)</f>
        <v>0</v>
      </c>
      <c r="AK37" s="90">
        <f>IF(AN37=15,J37,0)</f>
        <v>0</v>
      </c>
      <c r="AL37" s="90">
        <f>IF(AN37=21,J37,0)</f>
        <v>0</v>
      </c>
      <c r="AN37" s="90">
        <v>15</v>
      </c>
      <c r="AO37" s="90">
        <f>G37*0.00169491525423729</f>
        <v>0.020000000000000025</v>
      </c>
      <c r="AP37" s="90">
        <f>G37*(1-0.00169491525423729)</f>
        <v>11.780000000000001</v>
      </c>
      <c r="AQ37" s="91" t="s">
        <v>79</v>
      </c>
      <c r="AV37" s="90">
        <f>AW37+AX37</f>
        <v>0</v>
      </c>
      <c r="AW37" s="90">
        <f>F37*AO37</f>
        <v>0</v>
      </c>
      <c r="AX37" s="90">
        <f>F37*AP37</f>
        <v>0</v>
      </c>
      <c r="AY37" s="91" t="s">
        <v>636</v>
      </c>
      <c r="AZ37" s="91" t="s">
        <v>652</v>
      </c>
      <c r="BA37" s="154" t="s">
        <v>658</v>
      </c>
      <c r="BC37" s="90">
        <f>AW37+AX37</f>
        <v>0</v>
      </c>
      <c r="BD37" s="90">
        <f>G37/(100-BE37)*100</f>
        <v>11.8</v>
      </c>
      <c r="BE37" s="90">
        <v>0</v>
      </c>
      <c r="BF37" s="90">
        <f>L37</f>
        <v>0</v>
      </c>
      <c r="BH37" s="90">
        <f>F37*AO37</f>
        <v>0</v>
      </c>
      <c r="BI37" s="90">
        <f>F37*AP37</f>
        <v>0</v>
      </c>
      <c r="BJ37" s="90">
        <f>F37*G37</f>
        <v>0</v>
      </c>
    </row>
    <row r="38" spans="1:62" ht="12.75" hidden="1">
      <c r="A38" s="88" t="s">
        <v>99</v>
      </c>
      <c r="B38" s="88" t="s">
        <v>59</v>
      </c>
      <c r="C38" s="88" t="s">
        <v>266</v>
      </c>
      <c r="D38" s="88" t="s">
        <v>456</v>
      </c>
      <c r="E38" s="88" t="s">
        <v>610</v>
      </c>
      <c r="F38" s="90"/>
      <c r="G38" s="90">
        <v>4.7</v>
      </c>
      <c r="H38" s="90">
        <f>F38*AO38</f>
        <v>0</v>
      </c>
      <c r="I38" s="90">
        <f>F38*AP38</f>
        <v>0</v>
      </c>
      <c r="J38" s="90">
        <f>F38*G38</f>
        <v>0</v>
      </c>
      <c r="K38" s="90">
        <v>0.00012</v>
      </c>
      <c r="L38" s="90">
        <f>F38*K38</f>
        <v>0</v>
      </c>
      <c r="M38" s="91" t="s">
        <v>622</v>
      </c>
      <c r="Z38" s="90">
        <f>IF(AQ38="5",BJ38,0)</f>
        <v>0</v>
      </c>
      <c r="AB38" s="90">
        <f>IF(AQ38="1",BH38,0)</f>
        <v>0</v>
      </c>
      <c r="AC38" s="90">
        <f>IF(AQ38="1",BI38,0)</f>
        <v>0</v>
      </c>
      <c r="AD38" s="90">
        <f>IF(AQ38="7",BH38,0)</f>
        <v>0</v>
      </c>
      <c r="AE38" s="90">
        <f>IF(AQ38="7",BI38,0)</f>
        <v>0</v>
      </c>
      <c r="AF38" s="90">
        <f>IF(AQ38="2",BH38,0)</f>
        <v>0</v>
      </c>
      <c r="AG38" s="90">
        <f>IF(AQ38="2",BI38,0)</f>
        <v>0</v>
      </c>
      <c r="AH38" s="90">
        <f>IF(AQ38="0",BJ38,0)</f>
        <v>0</v>
      </c>
      <c r="AI38" s="154" t="s">
        <v>59</v>
      </c>
      <c r="AJ38" s="90">
        <f>IF(AN38=0,J38,0)</f>
        <v>0</v>
      </c>
      <c r="AK38" s="90">
        <f>IF(AN38=15,J38,0)</f>
        <v>0</v>
      </c>
      <c r="AL38" s="90">
        <f>IF(AN38=21,J38,0)</f>
        <v>0</v>
      </c>
      <c r="AN38" s="90">
        <v>15</v>
      </c>
      <c r="AO38" s="90">
        <f>G38*0.929787234042553</f>
        <v>4.369999999999999</v>
      </c>
      <c r="AP38" s="90">
        <f>G38*(1-0.929787234042553)</f>
        <v>0.33000000000000074</v>
      </c>
      <c r="AQ38" s="91" t="s">
        <v>79</v>
      </c>
      <c r="AV38" s="90">
        <f>AW38+AX38</f>
        <v>0</v>
      </c>
      <c r="AW38" s="90">
        <f>F38*AO38</f>
        <v>0</v>
      </c>
      <c r="AX38" s="90">
        <f>F38*AP38</f>
        <v>0</v>
      </c>
      <c r="AY38" s="91" t="s">
        <v>636</v>
      </c>
      <c r="AZ38" s="91" t="s">
        <v>652</v>
      </c>
      <c r="BA38" s="154" t="s">
        <v>658</v>
      </c>
      <c r="BC38" s="90">
        <f>AW38+AX38</f>
        <v>0</v>
      </c>
      <c r="BD38" s="90">
        <f>G38/(100-BE38)*100</f>
        <v>4.7</v>
      </c>
      <c r="BE38" s="90">
        <v>0</v>
      </c>
      <c r="BF38" s="90">
        <f>L38</f>
        <v>0</v>
      </c>
      <c r="BH38" s="90">
        <f>F38*AO38</f>
        <v>0</v>
      </c>
      <c r="BI38" s="90">
        <f>F38*AP38</f>
        <v>0</v>
      </c>
      <c r="BJ38" s="90">
        <f>F38*G38</f>
        <v>0</v>
      </c>
    </row>
    <row r="39" spans="1:62" ht="12.75" hidden="1">
      <c r="A39" s="88" t="s">
        <v>100</v>
      </c>
      <c r="B39" s="88" t="s">
        <v>59</v>
      </c>
      <c r="C39" s="88" t="s">
        <v>267</v>
      </c>
      <c r="D39" s="88" t="s">
        <v>457</v>
      </c>
      <c r="E39" s="88" t="s">
        <v>610</v>
      </c>
      <c r="F39" s="90"/>
      <c r="G39" s="90">
        <v>6.9</v>
      </c>
      <c r="H39" s="90">
        <f>F39*AO39</f>
        <v>0</v>
      </c>
      <c r="I39" s="90">
        <f>F39*AP39</f>
        <v>0</v>
      </c>
      <c r="J39" s="90">
        <f>F39*G39</f>
        <v>0</v>
      </c>
      <c r="K39" s="90">
        <v>0</v>
      </c>
      <c r="L39" s="90">
        <f>F39*K39</f>
        <v>0</v>
      </c>
      <c r="M39" s="91" t="s">
        <v>622</v>
      </c>
      <c r="Z39" s="90">
        <f>IF(AQ39="5",BJ39,0)</f>
        <v>0</v>
      </c>
      <c r="AB39" s="90">
        <f>IF(AQ39="1",BH39,0)</f>
        <v>0</v>
      </c>
      <c r="AC39" s="90">
        <f>IF(AQ39="1",BI39,0)</f>
        <v>0</v>
      </c>
      <c r="AD39" s="90">
        <f>IF(AQ39="7",BH39,0)</f>
        <v>0</v>
      </c>
      <c r="AE39" s="90">
        <f>IF(AQ39="7",BI39,0)</f>
        <v>0</v>
      </c>
      <c r="AF39" s="90">
        <f>IF(AQ39="2",BH39,0)</f>
        <v>0</v>
      </c>
      <c r="AG39" s="90">
        <f>IF(AQ39="2",BI39,0)</f>
        <v>0</v>
      </c>
      <c r="AH39" s="90">
        <f>IF(AQ39="0",BJ39,0)</f>
        <v>0</v>
      </c>
      <c r="AI39" s="154" t="s">
        <v>59</v>
      </c>
      <c r="AJ39" s="90">
        <f>IF(AN39=0,J39,0)</f>
        <v>0</v>
      </c>
      <c r="AK39" s="90">
        <f>IF(AN39=15,J39,0)</f>
        <v>0</v>
      </c>
      <c r="AL39" s="90">
        <f>IF(AN39=21,J39,0)</f>
        <v>0</v>
      </c>
      <c r="AN39" s="90">
        <v>15</v>
      </c>
      <c r="AO39" s="90">
        <f>G39*0</f>
        <v>0</v>
      </c>
      <c r="AP39" s="90">
        <f>G39*(1-0)</f>
        <v>6.9</v>
      </c>
      <c r="AQ39" s="91" t="s">
        <v>79</v>
      </c>
      <c r="AV39" s="90">
        <f>AW39+AX39</f>
        <v>0</v>
      </c>
      <c r="AW39" s="90">
        <f>F39*AO39</f>
        <v>0</v>
      </c>
      <c r="AX39" s="90">
        <f>F39*AP39</f>
        <v>0</v>
      </c>
      <c r="AY39" s="91" t="s">
        <v>636</v>
      </c>
      <c r="AZ39" s="91" t="s">
        <v>652</v>
      </c>
      <c r="BA39" s="154" t="s">
        <v>658</v>
      </c>
      <c r="BC39" s="90">
        <f>AW39+AX39</f>
        <v>0</v>
      </c>
      <c r="BD39" s="90">
        <f>G39/(100-BE39)*100</f>
        <v>6.9</v>
      </c>
      <c r="BE39" s="90">
        <v>0</v>
      </c>
      <c r="BF39" s="90">
        <f>L39</f>
        <v>0</v>
      </c>
      <c r="BH39" s="90">
        <f>F39*AO39</f>
        <v>0</v>
      </c>
      <c r="BI39" s="90">
        <f>F39*AP39</f>
        <v>0</v>
      </c>
      <c r="BJ39" s="90">
        <f>F39*G39</f>
        <v>0</v>
      </c>
    </row>
    <row r="40" spans="1:47" ht="12.75" hidden="1">
      <c r="A40" s="159"/>
      <c r="B40" s="160" t="s">
        <v>59</v>
      </c>
      <c r="C40" s="160" t="s">
        <v>173</v>
      </c>
      <c r="D40" s="160" t="s">
        <v>458</v>
      </c>
      <c r="E40" s="159" t="s">
        <v>57</v>
      </c>
      <c r="F40" s="159"/>
      <c r="G40" s="159" t="s">
        <v>57</v>
      </c>
      <c r="H40" s="161">
        <f>SUM(H41:H44)</f>
        <v>0</v>
      </c>
      <c r="I40" s="161">
        <f>SUM(I41:I44)</f>
        <v>0</v>
      </c>
      <c r="J40" s="161">
        <f>SUM(J41:J44)</f>
        <v>0</v>
      </c>
      <c r="K40" s="154"/>
      <c r="L40" s="161">
        <f>SUM(L41:L44)</f>
        <v>0</v>
      </c>
      <c r="M40" s="154"/>
      <c r="AI40" s="154" t="s">
        <v>59</v>
      </c>
      <c r="AS40" s="161">
        <f>SUM(AJ41:AJ44)</f>
        <v>0</v>
      </c>
      <c r="AT40" s="161">
        <f>SUM(AK41:AK44)</f>
        <v>0</v>
      </c>
      <c r="AU40" s="161">
        <f>SUM(AL41:AL44)</f>
        <v>0</v>
      </c>
    </row>
    <row r="41" spans="1:62" ht="12.75" hidden="1">
      <c r="A41" s="88" t="s">
        <v>101</v>
      </c>
      <c r="B41" s="88" t="s">
        <v>59</v>
      </c>
      <c r="C41" s="88" t="s">
        <v>268</v>
      </c>
      <c r="D41" s="88" t="s">
        <v>459</v>
      </c>
      <c r="E41" s="88" t="s">
        <v>608</v>
      </c>
      <c r="F41" s="90"/>
      <c r="G41" s="90">
        <v>86.5</v>
      </c>
      <c r="H41" s="90">
        <f>F41*AO41</f>
        <v>0</v>
      </c>
      <c r="I41" s="90">
        <f>F41*AP41</f>
        <v>0</v>
      </c>
      <c r="J41" s="90">
        <f>F41*G41</f>
        <v>0</v>
      </c>
      <c r="K41" s="90">
        <v>4E-05</v>
      </c>
      <c r="L41" s="90">
        <f>F41*K41</f>
        <v>0</v>
      </c>
      <c r="M41" s="91" t="s">
        <v>622</v>
      </c>
      <c r="Z41" s="90">
        <f>IF(AQ41="5",BJ41,0)</f>
        <v>0</v>
      </c>
      <c r="AB41" s="90">
        <f>IF(AQ41="1",BH41,0)</f>
        <v>0</v>
      </c>
      <c r="AC41" s="90">
        <f>IF(AQ41="1",BI41,0)</f>
        <v>0</v>
      </c>
      <c r="AD41" s="90">
        <f>IF(AQ41="7",BH41,0)</f>
        <v>0</v>
      </c>
      <c r="AE41" s="90">
        <f>IF(AQ41="7",BI41,0)</f>
        <v>0</v>
      </c>
      <c r="AF41" s="90">
        <f>IF(AQ41="2",BH41,0)</f>
        <v>0</v>
      </c>
      <c r="AG41" s="90">
        <f>IF(AQ41="2",BI41,0)</f>
        <v>0</v>
      </c>
      <c r="AH41" s="90">
        <f>IF(AQ41="0",BJ41,0)</f>
        <v>0</v>
      </c>
      <c r="AI41" s="154" t="s">
        <v>59</v>
      </c>
      <c r="AJ41" s="90">
        <f>IF(AN41=0,J41,0)</f>
        <v>0</v>
      </c>
      <c r="AK41" s="90">
        <f>IF(AN41=15,J41,0)</f>
        <v>0</v>
      </c>
      <c r="AL41" s="90">
        <f>IF(AN41=21,J41,0)</f>
        <v>0</v>
      </c>
      <c r="AN41" s="90">
        <v>15</v>
      </c>
      <c r="AO41" s="90">
        <f>G41*0.0165317919075144</f>
        <v>1.4299999999999957</v>
      </c>
      <c r="AP41" s="90">
        <f>G41*(1-0.0165317919075144)</f>
        <v>85.07000000000001</v>
      </c>
      <c r="AQ41" s="91" t="s">
        <v>79</v>
      </c>
      <c r="AV41" s="90">
        <f>AW41+AX41</f>
        <v>0</v>
      </c>
      <c r="AW41" s="90">
        <f>F41*AO41</f>
        <v>0</v>
      </c>
      <c r="AX41" s="90">
        <f>F41*AP41</f>
        <v>0</v>
      </c>
      <c r="AY41" s="91" t="s">
        <v>637</v>
      </c>
      <c r="AZ41" s="91" t="s">
        <v>652</v>
      </c>
      <c r="BA41" s="154" t="s">
        <v>658</v>
      </c>
      <c r="BC41" s="90">
        <f>AW41+AX41</f>
        <v>0</v>
      </c>
      <c r="BD41" s="90">
        <f>G41/(100-BE41)*100</f>
        <v>86.5</v>
      </c>
      <c r="BE41" s="90">
        <v>0</v>
      </c>
      <c r="BF41" s="90">
        <f>L41</f>
        <v>0</v>
      </c>
      <c r="BH41" s="90">
        <f>F41*AO41</f>
        <v>0</v>
      </c>
      <c r="BI41" s="90">
        <f>F41*AP41</f>
        <v>0</v>
      </c>
      <c r="BJ41" s="90">
        <f>F41*G41</f>
        <v>0</v>
      </c>
    </row>
    <row r="42" spans="1:62" ht="12.75" hidden="1">
      <c r="A42" s="88" t="s">
        <v>102</v>
      </c>
      <c r="B42" s="88" t="s">
        <v>59</v>
      </c>
      <c r="C42" s="88" t="s">
        <v>269</v>
      </c>
      <c r="D42" s="88" t="s">
        <v>460</v>
      </c>
      <c r="E42" s="88" t="s">
        <v>606</v>
      </c>
      <c r="F42" s="90"/>
      <c r="G42" s="90">
        <v>1830</v>
      </c>
      <c r="H42" s="90">
        <f>F42*AO42</f>
        <v>0</v>
      </c>
      <c r="I42" s="90">
        <f>F42*AP42</f>
        <v>0</v>
      </c>
      <c r="J42" s="90">
        <f>F42*G42</f>
        <v>0</v>
      </c>
      <c r="K42" s="90">
        <v>0.0065</v>
      </c>
      <c r="L42" s="90">
        <f>F42*K42</f>
        <v>0</v>
      </c>
      <c r="M42" s="91" t="s">
        <v>622</v>
      </c>
      <c r="Z42" s="90">
        <f>IF(AQ42="5",BJ42,0)</f>
        <v>0</v>
      </c>
      <c r="AB42" s="90">
        <f>IF(AQ42="1",BH42,0)</f>
        <v>0</v>
      </c>
      <c r="AC42" s="90">
        <f>IF(AQ42="1",BI42,0)</f>
        <v>0</v>
      </c>
      <c r="AD42" s="90">
        <f>IF(AQ42="7",BH42,0)</f>
        <v>0</v>
      </c>
      <c r="AE42" s="90">
        <f>IF(AQ42="7",BI42,0)</f>
        <v>0</v>
      </c>
      <c r="AF42" s="90">
        <f>IF(AQ42="2",BH42,0)</f>
        <v>0</v>
      </c>
      <c r="AG42" s="90">
        <f>IF(AQ42="2",BI42,0)</f>
        <v>0</v>
      </c>
      <c r="AH42" s="90">
        <f>IF(AQ42="0",BJ42,0)</f>
        <v>0</v>
      </c>
      <c r="AI42" s="154" t="s">
        <v>59</v>
      </c>
      <c r="AJ42" s="90">
        <f>IF(AN42=0,J42,0)</f>
        <v>0</v>
      </c>
      <c r="AK42" s="90">
        <f>IF(AN42=15,J42,0)</f>
        <v>0</v>
      </c>
      <c r="AL42" s="90">
        <f>IF(AN42=21,J42,0)</f>
        <v>0</v>
      </c>
      <c r="AN42" s="90">
        <v>15</v>
      </c>
      <c r="AO42" s="90">
        <f>G42*0.7767</f>
        <v>1421.3609999999999</v>
      </c>
      <c r="AP42" s="90">
        <f>G42*(1-0.7767)</f>
        <v>408.6390000000001</v>
      </c>
      <c r="AQ42" s="91" t="s">
        <v>79</v>
      </c>
      <c r="AV42" s="90">
        <f>AW42+AX42</f>
        <v>0</v>
      </c>
      <c r="AW42" s="90">
        <f>F42*AO42</f>
        <v>0</v>
      </c>
      <c r="AX42" s="90">
        <f>F42*AP42</f>
        <v>0</v>
      </c>
      <c r="AY42" s="91" t="s">
        <v>637</v>
      </c>
      <c r="AZ42" s="91" t="s">
        <v>652</v>
      </c>
      <c r="BA42" s="154" t="s">
        <v>658</v>
      </c>
      <c r="BC42" s="90">
        <f>AW42+AX42</f>
        <v>0</v>
      </c>
      <c r="BD42" s="90">
        <f>G42/(100-BE42)*100</f>
        <v>1830</v>
      </c>
      <c r="BE42" s="90">
        <v>0</v>
      </c>
      <c r="BF42" s="90">
        <f>L42</f>
        <v>0</v>
      </c>
      <c r="BH42" s="90">
        <f>F42*AO42</f>
        <v>0</v>
      </c>
      <c r="BI42" s="90">
        <f>F42*AP42</f>
        <v>0</v>
      </c>
      <c r="BJ42" s="90">
        <f>F42*G42</f>
        <v>0</v>
      </c>
    </row>
    <row r="43" spans="1:62" ht="12.75" hidden="1">
      <c r="A43" s="88" t="s">
        <v>103</v>
      </c>
      <c r="B43" s="88" t="s">
        <v>59</v>
      </c>
      <c r="C43" s="88" t="s">
        <v>270</v>
      </c>
      <c r="D43" s="88" t="s">
        <v>461</v>
      </c>
      <c r="E43" s="88" t="s">
        <v>606</v>
      </c>
      <c r="F43" s="90"/>
      <c r="G43" s="90">
        <v>1500</v>
      </c>
      <c r="H43" s="90">
        <f>F43*AO43</f>
        <v>0</v>
      </c>
      <c r="I43" s="90">
        <f>F43*AP43</f>
        <v>0</v>
      </c>
      <c r="J43" s="90">
        <f>F43*G43</f>
        <v>0</v>
      </c>
      <c r="K43" s="90">
        <v>0.0005</v>
      </c>
      <c r="L43" s="90">
        <f>F43*K43</f>
        <v>0</v>
      </c>
      <c r="M43" s="91" t="s">
        <v>622</v>
      </c>
      <c r="Z43" s="90">
        <f>IF(AQ43="5",BJ43,0)</f>
        <v>0</v>
      </c>
      <c r="AB43" s="90">
        <f>IF(AQ43="1",BH43,0)</f>
        <v>0</v>
      </c>
      <c r="AC43" s="90">
        <f>IF(AQ43="1",BI43,0)</f>
        <v>0</v>
      </c>
      <c r="AD43" s="90">
        <f>IF(AQ43="7",BH43,0)</f>
        <v>0</v>
      </c>
      <c r="AE43" s="90">
        <f>IF(AQ43="7",BI43,0)</f>
        <v>0</v>
      </c>
      <c r="AF43" s="90">
        <f>IF(AQ43="2",BH43,0)</f>
        <v>0</v>
      </c>
      <c r="AG43" s="90">
        <f>IF(AQ43="2",BI43,0)</f>
        <v>0</v>
      </c>
      <c r="AH43" s="90">
        <f>IF(AQ43="0",BJ43,0)</f>
        <v>0</v>
      </c>
      <c r="AI43" s="154" t="s">
        <v>59</v>
      </c>
      <c r="AJ43" s="90">
        <f>IF(AN43=0,J43,0)</f>
        <v>0</v>
      </c>
      <c r="AK43" s="90">
        <f>IF(AN43=15,J43,0)</f>
        <v>0</v>
      </c>
      <c r="AL43" s="90">
        <f>IF(AN43=21,J43,0)</f>
        <v>0</v>
      </c>
      <c r="AN43" s="90">
        <v>15</v>
      </c>
      <c r="AO43" s="90">
        <f>G43*0.196713333333333</f>
        <v>295.0699999999995</v>
      </c>
      <c r="AP43" s="90">
        <f>G43*(1-0.196713333333333)</f>
        <v>1204.9300000000005</v>
      </c>
      <c r="AQ43" s="91" t="s">
        <v>79</v>
      </c>
      <c r="AV43" s="90">
        <f>AW43+AX43</f>
        <v>0</v>
      </c>
      <c r="AW43" s="90">
        <f>F43*AO43</f>
        <v>0</v>
      </c>
      <c r="AX43" s="90">
        <f>F43*AP43</f>
        <v>0</v>
      </c>
      <c r="AY43" s="91" t="s">
        <v>637</v>
      </c>
      <c r="AZ43" s="91" t="s">
        <v>652</v>
      </c>
      <c r="BA43" s="154" t="s">
        <v>658</v>
      </c>
      <c r="BC43" s="90">
        <f>AW43+AX43</f>
        <v>0</v>
      </c>
      <c r="BD43" s="90">
        <f>G43/(100-BE43)*100</f>
        <v>1500</v>
      </c>
      <c r="BE43" s="90">
        <v>0</v>
      </c>
      <c r="BF43" s="90">
        <f>L43</f>
        <v>0</v>
      </c>
      <c r="BH43" s="90">
        <f>F43*AO43</f>
        <v>0</v>
      </c>
      <c r="BI43" s="90">
        <f>F43*AP43</f>
        <v>0</v>
      </c>
      <c r="BJ43" s="90">
        <f>F43*G43</f>
        <v>0</v>
      </c>
    </row>
    <row r="44" spans="1:62" ht="12.75" hidden="1">
      <c r="A44" s="88" t="s">
        <v>104</v>
      </c>
      <c r="B44" s="88" t="s">
        <v>59</v>
      </c>
      <c r="C44" s="88" t="s">
        <v>271</v>
      </c>
      <c r="D44" s="88" t="s">
        <v>462</v>
      </c>
      <c r="E44" s="88" t="s">
        <v>611</v>
      </c>
      <c r="F44" s="90"/>
      <c r="G44" s="90">
        <v>290</v>
      </c>
      <c r="H44" s="90">
        <f>F44*AO44</f>
        <v>0</v>
      </c>
      <c r="I44" s="90">
        <f>F44*AP44</f>
        <v>0</v>
      </c>
      <c r="J44" s="90">
        <f>F44*G44</f>
        <v>0</v>
      </c>
      <c r="K44" s="90">
        <v>0</v>
      </c>
      <c r="L44" s="90">
        <f>F44*K44</f>
        <v>0</v>
      </c>
      <c r="M44" s="91" t="s">
        <v>622</v>
      </c>
      <c r="Z44" s="90">
        <f>IF(AQ44="5",BJ44,0)</f>
        <v>0</v>
      </c>
      <c r="AB44" s="90">
        <f>IF(AQ44="1",BH44,0)</f>
        <v>0</v>
      </c>
      <c r="AC44" s="90">
        <f>IF(AQ44="1",BI44,0)</f>
        <v>0</v>
      </c>
      <c r="AD44" s="90">
        <f>IF(AQ44="7",BH44,0)</f>
        <v>0</v>
      </c>
      <c r="AE44" s="90">
        <f>IF(AQ44="7",BI44,0)</f>
        <v>0</v>
      </c>
      <c r="AF44" s="90">
        <f>IF(AQ44="2",BH44,0)</f>
        <v>0</v>
      </c>
      <c r="AG44" s="90">
        <f>IF(AQ44="2",BI44,0)</f>
        <v>0</v>
      </c>
      <c r="AH44" s="90">
        <f>IF(AQ44="0",BJ44,0)</f>
        <v>0</v>
      </c>
      <c r="AI44" s="154" t="s">
        <v>59</v>
      </c>
      <c r="AJ44" s="90">
        <f>IF(AN44=0,J44,0)</f>
        <v>0</v>
      </c>
      <c r="AK44" s="90">
        <f>IF(AN44=15,J44,0)</f>
        <v>0</v>
      </c>
      <c r="AL44" s="90">
        <f>IF(AN44=21,J44,0)</f>
        <v>0</v>
      </c>
      <c r="AN44" s="90">
        <v>15</v>
      </c>
      <c r="AO44" s="90">
        <f>G44*0.469344827586207</f>
        <v>136.11</v>
      </c>
      <c r="AP44" s="90">
        <f>G44*(1-0.469344827586207)</f>
        <v>153.89</v>
      </c>
      <c r="AQ44" s="91" t="s">
        <v>79</v>
      </c>
      <c r="AV44" s="90">
        <f>AW44+AX44</f>
        <v>0</v>
      </c>
      <c r="AW44" s="90">
        <f>F44*AO44</f>
        <v>0</v>
      </c>
      <c r="AX44" s="90">
        <f>F44*AP44</f>
        <v>0</v>
      </c>
      <c r="AY44" s="91" t="s">
        <v>637</v>
      </c>
      <c r="AZ44" s="91" t="s">
        <v>652</v>
      </c>
      <c r="BA44" s="154" t="s">
        <v>658</v>
      </c>
      <c r="BC44" s="90">
        <f>AW44+AX44</f>
        <v>0</v>
      </c>
      <c r="BD44" s="90">
        <f>G44/(100-BE44)*100</f>
        <v>290</v>
      </c>
      <c r="BE44" s="90">
        <v>0</v>
      </c>
      <c r="BF44" s="90">
        <f>L44</f>
        <v>0</v>
      </c>
      <c r="BH44" s="90">
        <f>F44*AO44</f>
        <v>0</v>
      </c>
      <c r="BI44" s="90">
        <f>F44*AP44</f>
        <v>0</v>
      </c>
      <c r="BJ44" s="90">
        <f>F44*G44</f>
        <v>0</v>
      </c>
    </row>
    <row r="45" spans="1:47" ht="12.75" hidden="1">
      <c r="A45" s="159"/>
      <c r="B45" s="160" t="s">
        <v>59</v>
      </c>
      <c r="C45" s="160" t="s">
        <v>174</v>
      </c>
      <c r="D45" s="160" t="s">
        <v>463</v>
      </c>
      <c r="E45" s="159" t="s">
        <v>57</v>
      </c>
      <c r="F45" s="159"/>
      <c r="G45" s="159" t="s">
        <v>57</v>
      </c>
      <c r="H45" s="161">
        <f>SUM(H46:H51)</f>
        <v>0</v>
      </c>
      <c r="I45" s="161">
        <f>SUM(I46:I51)</f>
        <v>0</v>
      </c>
      <c r="J45" s="161">
        <f>SUM(J46:J51)</f>
        <v>0</v>
      </c>
      <c r="K45" s="154"/>
      <c r="L45" s="161">
        <f>SUM(L46:L51)</f>
        <v>0</v>
      </c>
      <c r="M45" s="154"/>
      <c r="AI45" s="154" t="s">
        <v>59</v>
      </c>
      <c r="AS45" s="161">
        <f>SUM(AJ46:AJ51)</f>
        <v>0</v>
      </c>
      <c r="AT45" s="161">
        <f>SUM(AK46:AK51)</f>
        <v>0</v>
      </c>
      <c r="AU45" s="161">
        <f>SUM(AL46:AL51)</f>
        <v>0</v>
      </c>
    </row>
    <row r="46" spans="1:62" ht="12.75" hidden="1">
      <c r="A46" s="88" t="s">
        <v>105</v>
      </c>
      <c r="B46" s="88" t="s">
        <v>59</v>
      </c>
      <c r="C46" s="88" t="s">
        <v>272</v>
      </c>
      <c r="D46" s="88" t="s">
        <v>464</v>
      </c>
      <c r="E46" s="88" t="s">
        <v>608</v>
      </c>
      <c r="F46" s="90"/>
      <c r="G46" s="90">
        <v>69.6</v>
      </c>
      <c r="H46" s="90">
        <f aca="true" t="shared" si="24" ref="H46:H51">F46*AO46</f>
        <v>0</v>
      </c>
      <c r="I46" s="90">
        <f aca="true" t="shared" si="25" ref="I46:I51">F46*AP46</f>
        <v>0</v>
      </c>
      <c r="J46" s="90">
        <f aca="true" t="shared" si="26" ref="J46:J51">F46*G46</f>
        <v>0</v>
      </c>
      <c r="K46" s="90">
        <v>0.11367</v>
      </c>
      <c r="L46" s="90">
        <f aca="true" t="shared" si="27" ref="L46:L51">F46*K46</f>
        <v>0</v>
      </c>
      <c r="M46" s="91" t="s">
        <v>622</v>
      </c>
      <c r="Z46" s="90">
        <f aca="true" t="shared" si="28" ref="Z46:Z51">IF(AQ46="5",BJ46,0)</f>
        <v>0</v>
      </c>
      <c r="AB46" s="90">
        <f aca="true" t="shared" si="29" ref="AB46:AB51">IF(AQ46="1",BH46,0)</f>
        <v>0</v>
      </c>
      <c r="AC46" s="90">
        <f aca="true" t="shared" si="30" ref="AC46:AC51">IF(AQ46="1",BI46,0)</f>
        <v>0</v>
      </c>
      <c r="AD46" s="90">
        <f aca="true" t="shared" si="31" ref="AD46:AD51">IF(AQ46="7",BH46,0)</f>
        <v>0</v>
      </c>
      <c r="AE46" s="90">
        <f aca="true" t="shared" si="32" ref="AE46:AE51">IF(AQ46="7",BI46,0)</f>
        <v>0</v>
      </c>
      <c r="AF46" s="90">
        <f aca="true" t="shared" si="33" ref="AF46:AF51">IF(AQ46="2",BH46,0)</f>
        <v>0</v>
      </c>
      <c r="AG46" s="90">
        <f aca="true" t="shared" si="34" ref="AG46:AG51">IF(AQ46="2",BI46,0)</f>
        <v>0</v>
      </c>
      <c r="AH46" s="90">
        <f aca="true" t="shared" si="35" ref="AH46:AH51">IF(AQ46="0",BJ46,0)</f>
        <v>0</v>
      </c>
      <c r="AI46" s="154" t="s">
        <v>59</v>
      </c>
      <c r="AJ46" s="90">
        <f aca="true" t="shared" si="36" ref="AJ46:AJ51">IF(AN46=0,J46,0)</f>
        <v>0</v>
      </c>
      <c r="AK46" s="90">
        <f aca="true" t="shared" si="37" ref="AK46:AK51">IF(AN46=15,J46,0)</f>
        <v>0</v>
      </c>
      <c r="AL46" s="90">
        <f aca="true" t="shared" si="38" ref="AL46:AL51">IF(AN46=21,J46,0)</f>
        <v>0</v>
      </c>
      <c r="AN46" s="90">
        <v>15</v>
      </c>
      <c r="AO46" s="90">
        <f>G46*0.227587813746602</f>
        <v>15.840111836763498</v>
      </c>
      <c r="AP46" s="90">
        <f>G46*(1-0.227587813746602)</f>
        <v>53.759888163236496</v>
      </c>
      <c r="AQ46" s="91" t="s">
        <v>79</v>
      </c>
      <c r="AV46" s="90">
        <f aca="true" t="shared" si="39" ref="AV46:AV51">AW46+AX46</f>
        <v>0</v>
      </c>
      <c r="AW46" s="90">
        <f aca="true" t="shared" si="40" ref="AW46:AW51">F46*AO46</f>
        <v>0</v>
      </c>
      <c r="AX46" s="90">
        <f aca="true" t="shared" si="41" ref="AX46:AX51">F46*AP46</f>
        <v>0</v>
      </c>
      <c r="AY46" s="91" t="s">
        <v>638</v>
      </c>
      <c r="AZ46" s="91" t="s">
        <v>652</v>
      </c>
      <c r="BA46" s="154" t="s">
        <v>658</v>
      </c>
      <c r="BC46" s="90">
        <f aca="true" t="shared" si="42" ref="BC46:BC51">AW46+AX46</f>
        <v>0</v>
      </c>
      <c r="BD46" s="90">
        <f aca="true" t="shared" si="43" ref="BD46:BD51">G46/(100-BE46)*100</f>
        <v>69.6</v>
      </c>
      <c r="BE46" s="90">
        <v>0</v>
      </c>
      <c r="BF46" s="90">
        <f aca="true" t="shared" si="44" ref="BF46:BF51">L46</f>
        <v>0</v>
      </c>
      <c r="BH46" s="90">
        <f aca="true" t="shared" si="45" ref="BH46:BH51">F46*AO46</f>
        <v>0</v>
      </c>
      <c r="BI46" s="90">
        <f aca="true" t="shared" si="46" ref="BI46:BI51">F46*AP46</f>
        <v>0</v>
      </c>
      <c r="BJ46" s="90">
        <f aca="true" t="shared" si="47" ref="BJ46:BJ51">F46*G46</f>
        <v>0</v>
      </c>
    </row>
    <row r="47" spans="1:62" ht="12.75" hidden="1">
      <c r="A47" s="88" t="s">
        <v>106</v>
      </c>
      <c r="B47" s="88" t="s">
        <v>59</v>
      </c>
      <c r="C47" s="88" t="s">
        <v>273</v>
      </c>
      <c r="D47" s="88" t="s">
        <v>465</v>
      </c>
      <c r="E47" s="88" t="s">
        <v>608</v>
      </c>
      <c r="F47" s="90"/>
      <c r="G47" s="90">
        <v>82.59</v>
      </c>
      <c r="H47" s="90">
        <f t="shared" si="24"/>
        <v>0</v>
      </c>
      <c r="I47" s="90">
        <f t="shared" si="25"/>
        <v>0</v>
      </c>
      <c r="J47" s="90">
        <f t="shared" si="26"/>
        <v>0</v>
      </c>
      <c r="K47" s="90">
        <v>0.11767</v>
      </c>
      <c r="L47" s="90">
        <f t="shared" si="27"/>
        <v>0</v>
      </c>
      <c r="M47" s="91" t="s">
        <v>622</v>
      </c>
      <c r="Z47" s="90">
        <f t="shared" si="28"/>
        <v>0</v>
      </c>
      <c r="AB47" s="90">
        <f t="shared" si="29"/>
        <v>0</v>
      </c>
      <c r="AC47" s="90">
        <f t="shared" si="30"/>
        <v>0</v>
      </c>
      <c r="AD47" s="90">
        <f t="shared" si="31"/>
        <v>0</v>
      </c>
      <c r="AE47" s="90">
        <f t="shared" si="32"/>
        <v>0</v>
      </c>
      <c r="AF47" s="90">
        <f t="shared" si="33"/>
        <v>0</v>
      </c>
      <c r="AG47" s="90">
        <f t="shared" si="34"/>
        <v>0</v>
      </c>
      <c r="AH47" s="90">
        <f t="shared" si="35"/>
        <v>0</v>
      </c>
      <c r="AI47" s="154" t="s">
        <v>59</v>
      </c>
      <c r="AJ47" s="90">
        <f t="shared" si="36"/>
        <v>0</v>
      </c>
      <c r="AK47" s="90">
        <f t="shared" si="37"/>
        <v>0</v>
      </c>
      <c r="AL47" s="90">
        <f t="shared" si="38"/>
        <v>0</v>
      </c>
      <c r="AN47" s="90">
        <v>15</v>
      </c>
      <c r="AO47" s="90">
        <f>G47*0.1917903930131</f>
        <v>15.839968558951929</v>
      </c>
      <c r="AP47" s="90">
        <f>G47*(1-0.1917903930131)</f>
        <v>66.75003144104808</v>
      </c>
      <c r="AQ47" s="91" t="s">
        <v>79</v>
      </c>
      <c r="AV47" s="90">
        <f t="shared" si="39"/>
        <v>0</v>
      </c>
      <c r="AW47" s="90">
        <f t="shared" si="40"/>
        <v>0</v>
      </c>
      <c r="AX47" s="90">
        <f t="shared" si="41"/>
        <v>0</v>
      </c>
      <c r="AY47" s="91" t="s">
        <v>638</v>
      </c>
      <c r="AZ47" s="91" t="s">
        <v>652</v>
      </c>
      <c r="BA47" s="154" t="s">
        <v>658</v>
      </c>
      <c r="BC47" s="90">
        <f t="shared" si="42"/>
        <v>0</v>
      </c>
      <c r="BD47" s="90">
        <f t="shared" si="43"/>
        <v>82.59</v>
      </c>
      <c r="BE47" s="90">
        <v>0</v>
      </c>
      <c r="BF47" s="90">
        <f t="shared" si="44"/>
        <v>0</v>
      </c>
      <c r="BH47" s="90">
        <f t="shared" si="45"/>
        <v>0</v>
      </c>
      <c r="BI47" s="90">
        <f t="shared" si="46"/>
        <v>0</v>
      </c>
      <c r="BJ47" s="90">
        <f t="shared" si="47"/>
        <v>0</v>
      </c>
    </row>
    <row r="48" spans="1:62" ht="12.75" hidden="1">
      <c r="A48" s="88" t="s">
        <v>107</v>
      </c>
      <c r="B48" s="88" t="s">
        <v>59</v>
      </c>
      <c r="C48" s="88" t="s">
        <v>274</v>
      </c>
      <c r="D48" s="88" t="s">
        <v>466</v>
      </c>
      <c r="E48" s="88" t="s">
        <v>610</v>
      </c>
      <c r="F48" s="90"/>
      <c r="G48" s="90">
        <v>528.01</v>
      </c>
      <c r="H48" s="90">
        <f t="shared" si="24"/>
        <v>0</v>
      </c>
      <c r="I48" s="90">
        <f t="shared" si="25"/>
        <v>0</v>
      </c>
      <c r="J48" s="90">
        <f t="shared" si="26"/>
        <v>0</v>
      </c>
      <c r="K48" s="90">
        <v>1.1761</v>
      </c>
      <c r="L48" s="90">
        <f t="shared" si="27"/>
        <v>0</v>
      </c>
      <c r="M48" s="91" t="s">
        <v>622</v>
      </c>
      <c r="Z48" s="90">
        <f t="shared" si="28"/>
        <v>0</v>
      </c>
      <c r="AB48" s="90">
        <f t="shared" si="29"/>
        <v>0</v>
      </c>
      <c r="AC48" s="90">
        <f t="shared" si="30"/>
        <v>0</v>
      </c>
      <c r="AD48" s="90">
        <f t="shared" si="31"/>
        <v>0</v>
      </c>
      <c r="AE48" s="90">
        <f t="shared" si="32"/>
        <v>0</v>
      </c>
      <c r="AF48" s="90">
        <f t="shared" si="33"/>
        <v>0</v>
      </c>
      <c r="AG48" s="90">
        <f t="shared" si="34"/>
        <v>0</v>
      </c>
      <c r="AH48" s="90">
        <f t="shared" si="35"/>
        <v>0</v>
      </c>
      <c r="AI48" s="154" t="s">
        <v>59</v>
      </c>
      <c r="AJ48" s="90">
        <f t="shared" si="36"/>
        <v>0</v>
      </c>
      <c r="AK48" s="90">
        <f t="shared" si="37"/>
        <v>0</v>
      </c>
      <c r="AL48" s="90">
        <f t="shared" si="38"/>
        <v>0</v>
      </c>
      <c r="AN48" s="90">
        <v>15</v>
      </c>
      <c r="AO48" s="90">
        <f>G48*0.049733823854021</f>
        <v>26.25995633316163</v>
      </c>
      <c r="AP48" s="90">
        <f>G48*(1-0.049733823854021)</f>
        <v>501.75004366683834</v>
      </c>
      <c r="AQ48" s="91" t="s">
        <v>79</v>
      </c>
      <c r="AV48" s="90">
        <f t="shared" si="39"/>
        <v>0</v>
      </c>
      <c r="AW48" s="90">
        <f t="shared" si="40"/>
        <v>0</v>
      </c>
      <c r="AX48" s="90">
        <f t="shared" si="41"/>
        <v>0</v>
      </c>
      <c r="AY48" s="91" t="s">
        <v>638</v>
      </c>
      <c r="AZ48" s="91" t="s">
        <v>652</v>
      </c>
      <c r="BA48" s="154" t="s">
        <v>658</v>
      </c>
      <c r="BC48" s="90">
        <f t="shared" si="42"/>
        <v>0</v>
      </c>
      <c r="BD48" s="90">
        <f t="shared" si="43"/>
        <v>528.01</v>
      </c>
      <c r="BE48" s="90">
        <v>0</v>
      </c>
      <c r="BF48" s="90">
        <f t="shared" si="44"/>
        <v>0</v>
      </c>
      <c r="BH48" s="90">
        <f t="shared" si="45"/>
        <v>0</v>
      </c>
      <c r="BI48" s="90">
        <f t="shared" si="46"/>
        <v>0</v>
      </c>
      <c r="BJ48" s="90">
        <f t="shared" si="47"/>
        <v>0</v>
      </c>
    </row>
    <row r="49" spans="1:62" ht="12.75" hidden="1">
      <c r="A49" s="88" t="s">
        <v>108</v>
      </c>
      <c r="B49" s="88" t="s">
        <v>59</v>
      </c>
      <c r="C49" s="88" t="s">
        <v>275</v>
      </c>
      <c r="D49" s="88" t="s">
        <v>467</v>
      </c>
      <c r="E49" s="88" t="s">
        <v>608</v>
      </c>
      <c r="F49" s="90"/>
      <c r="G49" s="90">
        <v>49.1</v>
      </c>
      <c r="H49" s="90">
        <f t="shared" si="24"/>
        <v>0</v>
      </c>
      <c r="I49" s="90">
        <f t="shared" si="25"/>
        <v>0</v>
      </c>
      <c r="J49" s="90">
        <f t="shared" si="26"/>
        <v>0</v>
      </c>
      <c r="K49" s="90">
        <v>0.02</v>
      </c>
      <c r="L49" s="90">
        <f t="shared" si="27"/>
        <v>0</v>
      </c>
      <c r="M49" s="91" t="s">
        <v>622</v>
      </c>
      <c r="Z49" s="90">
        <f t="shared" si="28"/>
        <v>0</v>
      </c>
      <c r="AB49" s="90">
        <f t="shared" si="29"/>
        <v>0</v>
      </c>
      <c r="AC49" s="90">
        <f t="shared" si="30"/>
        <v>0</v>
      </c>
      <c r="AD49" s="90">
        <f t="shared" si="31"/>
        <v>0</v>
      </c>
      <c r="AE49" s="90">
        <f t="shared" si="32"/>
        <v>0</v>
      </c>
      <c r="AF49" s="90">
        <f t="shared" si="33"/>
        <v>0</v>
      </c>
      <c r="AG49" s="90">
        <f t="shared" si="34"/>
        <v>0</v>
      </c>
      <c r="AH49" s="90">
        <f t="shared" si="35"/>
        <v>0</v>
      </c>
      <c r="AI49" s="154" t="s">
        <v>59</v>
      </c>
      <c r="AJ49" s="90">
        <f t="shared" si="36"/>
        <v>0</v>
      </c>
      <c r="AK49" s="90">
        <f t="shared" si="37"/>
        <v>0</v>
      </c>
      <c r="AL49" s="90">
        <f t="shared" si="38"/>
        <v>0</v>
      </c>
      <c r="AN49" s="90">
        <v>15</v>
      </c>
      <c r="AO49" s="90">
        <f>G49*0</f>
        <v>0</v>
      </c>
      <c r="AP49" s="90">
        <f>G49*(1-0)</f>
        <v>49.1</v>
      </c>
      <c r="AQ49" s="91" t="s">
        <v>79</v>
      </c>
      <c r="AV49" s="90">
        <f t="shared" si="39"/>
        <v>0</v>
      </c>
      <c r="AW49" s="90">
        <f t="shared" si="40"/>
        <v>0</v>
      </c>
      <c r="AX49" s="90">
        <f t="shared" si="41"/>
        <v>0</v>
      </c>
      <c r="AY49" s="91" t="s">
        <v>638</v>
      </c>
      <c r="AZ49" s="91" t="s">
        <v>652</v>
      </c>
      <c r="BA49" s="154" t="s">
        <v>658</v>
      </c>
      <c r="BC49" s="90">
        <f t="shared" si="42"/>
        <v>0</v>
      </c>
      <c r="BD49" s="90">
        <f t="shared" si="43"/>
        <v>49.1</v>
      </c>
      <c r="BE49" s="90">
        <v>0</v>
      </c>
      <c r="BF49" s="90">
        <f t="shared" si="44"/>
        <v>0</v>
      </c>
      <c r="BH49" s="90">
        <f t="shared" si="45"/>
        <v>0</v>
      </c>
      <c r="BI49" s="90">
        <f t="shared" si="46"/>
        <v>0</v>
      </c>
      <c r="BJ49" s="90">
        <f t="shared" si="47"/>
        <v>0</v>
      </c>
    </row>
    <row r="50" spans="1:62" ht="12.75" hidden="1">
      <c r="A50" s="88" t="s">
        <v>109</v>
      </c>
      <c r="B50" s="88" t="s">
        <v>59</v>
      </c>
      <c r="C50" s="88" t="s">
        <v>276</v>
      </c>
      <c r="D50" s="88" t="s">
        <v>468</v>
      </c>
      <c r="E50" s="88" t="s">
        <v>608</v>
      </c>
      <c r="F50" s="90"/>
      <c r="G50" s="90">
        <v>258.5</v>
      </c>
      <c r="H50" s="90">
        <f t="shared" si="24"/>
        <v>0</v>
      </c>
      <c r="I50" s="90">
        <f t="shared" si="25"/>
        <v>0</v>
      </c>
      <c r="J50" s="90">
        <f t="shared" si="26"/>
        <v>0</v>
      </c>
      <c r="K50" s="90">
        <v>0.27534</v>
      </c>
      <c r="L50" s="90">
        <f t="shared" si="27"/>
        <v>0</v>
      </c>
      <c r="M50" s="91" t="s">
        <v>622</v>
      </c>
      <c r="Z50" s="90">
        <f t="shared" si="28"/>
        <v>0</v>
      </c>
      <c r="AB50" s="90">
        <f t="shared" si="29"/>
        <v>0</v>
      </c>
      <c r="AC50" s="90">
        <f t="shared" si="30"/>
        <v>0</v>
      </c>
      <c r="AD50" s="90">
        <f t="shared" si="31"/>
        <v>0</v>
      </c>
      <c r="AE50" s="90">
        <f t="shared" si="32"/>
        <v>0</v>
      </c>
      <c r="AF50" s="90">
        <f t="shared" si="33"/>
        <v>0</v>
      </c>
      <c r="AG50" s="90">
        <f t="shared" si="34"/>
        <v>0</v>
      </c>
      <c r="AH50" s="90">
        <f t="shared" si="35"/>
        <v>0</v>
      </c>
      <c r="AI50" s="154" t="s">
        <v>59</v>
      </c>
      <c r="AJ50" s="90">
        <f t="shared" si="36"/>
        <v>0</v>
      </c>
      <c r="AK50" s="90">
        <f t="shared" si="37"/>
        <v>0</v>
      </c>
      <c r="AL50" s="90">
        <f t="shared" si="38"/>
        <v>0</v>
      </c>
      <c r="AN50" s="90">
        <v>15</v>
      </c>
      <c r="AO50" s="90">
        <f>G50*0.0308311842196975</f>
        <v>7.969861120791804</v>
      </c>
      <c r="AP50" s="90">
        <f>G50*(1-0.0308311842196975)</f>
        <v>250.53013887920818</v>
      </c>
      <c r="AQ50" s="91" t="s">
        <v>79</v>
      </c>
      <c r="AV50" s="90">
        <f t="shared" si="39"/>
        <v>0</v>
      </c>
      <c r="AW50" s="90">
        <f t="shared" si="40"/>
        <v>0</v>
      </c>
      <c r="AX50" s="90">
        <f t="shared" si="41"/>
        <v>0</v>
      </c>
      <c r="AY50" s="91" t="s">
        <v>638</v>
      </c>
      <c r="AZ50" s="91" t="s">
        <v>652</v>
      </c>
      <c r="BA50" s="154" t="s">
        <v>658</v>
      </c>
      <c r="BC50" s="90">
        <f t="shared" si="42"/>
        <v>0</v>
      </c>
      <c r="BD50" s="90">
        <f t="shared" si="43"/>
        <v>258.5</v>
      </c>
      <c r="BE50" s="90">
        <v>0</v>
      </c>
      <c r="BF50" s="90">
        <f t="shared" si="44"/>
        <v>0</v>
      </c>
      <c r="BH50" s="90">
        <f t="shared" si="45"/>
        <v>0</v>
      </c>
      <c r="BI50" s="90">
        <f t="shared" si="46"/>
        <v>0</v>
      </c>
      <c r="BJ50" s="90">
        <f t="shared" si="47"/>
        <v>0</v>
      </c>
    </row>
    <row r="51" spans="1:62" ht="12.75" hidden="1">
      <c r="A51" s="88" t="s">
        <v>110</v>
      </c>
      <c r="B51" s="88" t="s">
        <v>59</v>
      </c>
      <c r="C51" s="88" t="s">
        <v>277</v>
      </c>
      <c r="D51" s="88" t="s">
        <v>469</v>
      </c>
      <c r="E51" s="88" t="s">
        <v>608</v>
      </c>
      <c r="F51" s="90"/>
      <c r="G51" s="90">
        <v>369.5</v>
      </c>
      <c r="H51" s="90">
        <f t="shared" si="24"/>
        <v>0</v>
      </c>
      <c r="I51" s="90">
        <f t="shared" si="25"/>
        <v>0</v>
      </c>
      <c r="J51" s="90">
        <f t="shared" si="26"/>
        <v>0</v>
      </c>
      <c r="K51" s="90">
        <v>0.54534</v>
      </c>
      <c r="L51" s="90">
        <f t="shared" si="27"/>
        <v>0</v>
      </c>
      <c r="M51" s="91" t="s">
        <v>622</v>
      </c>
      <c r="Z51" s="90">
        <f t="shared" si="28"/>
        <v>0</v>
      </c>
      <c r="AB51" s="90">
        <f t="shared" si="29"/>
        <v>0</v>
      </c>
      <c r="AC51" s="90">
        <f t="shared" si="30"/>
        <v>0</v>
      </c>
      <c r="AD51" s="90">
        <f t="shared" si="31"/>
        <v>0</v>
      </c>
      <c r="AE51" s="90">
        <f t="shared" si="32"/>
        <v>0</v>
      </c>
      <c r="AF51" s="90">
        <f t="shared" si="33"/>
        <v>0</v>
      </c>
      <c r="AG51" s="90">
        <f t="shared" si="34"/>
        <v>0</v>
      </c>
      <c r="AH51" s="90">
        <f t="shared" si="35"/>
        <v>0</v>
      </c>
      <c r="AI51" s="154" t="s">
        <v>59</v>
      </c>
      <c r="AJ51" s="90">
        <f t="shared" si="36"/>
        <v>0</v>
      </c>
      <c r="AK51" s="90">
        <f t="shared" si="37"/>
        <v>0</v>
      </c>
      <c r="AL51" s="90">
        <f t="shared" si="38"/>
        <v>0</v>
      </c>
      <c r="AN51" s="90">
        <v>15</v>
      </c>
      <c r="AO51" s="90">
        <f>G51*0.0215696225836146</f>
        <v>7.969975544645595</v>
      </c>
      <c r="AP51" s="90">
        <f>G51*(1-0.0215696225836146)</f>
        <v>361.5300244553544</v>
      </c>
      <c r="AQ51" s="91" t="s">
        <v>79</v>
      </c>
      <c r="AV51" s="90">
        <f t="shared" si="39"/>
        <v>0</v>
      </c>
      <c r="AW51" s="90">
        <f t="shared" si="40"/>
        <v>0</v>
      </c>
      <c r="AX51" s="90">
        <f t="shared" si="41"/>
        <v>0</v>
      </c>
      <c r="AY51" s="91" t="s">
        <v>638</v>
      </c>
      <c r="AZ51" s="91" t="s">
        <v>652</v>
      </c>
      <c r="BA51" s="154" t="s">
        <v>658</v>
      </c>
      <c r="BC51" s="90">
        <f t="shared" si="42"/>
        <v>0</v>
      </c>
      <c r="BD51" s="90">
        <f t="shared" si="43"/>
        <v>369.5</v>
      </c>
      <c r="BE51" s="90">
        <v>0</v>
      </c>
      <c r="BF51" s="90">
        <f t="shared" si="44"/>
        <v>0</v>
      </c>
      <c r="BH51" s="90">
        <f t="shared" si="45"/>
        <v>0</v>
      </c>
      <c r="BI51" s="90">
        <f t="shared" si="46"/>
        <v>0</v>
      </c>
      <c r="BJ51" s="90">
        <f t="shared" si="47"/>
        <v>0</v>
      </c>
    </row>
    <row r="52" spans="1:47" ht="12.75" hidden="1">
      <c r="A52" s="159"/>
      <c r="B52" s="160" t="s">
        <v>59</v>
      </c>
      <c r="C52" s="160" t="s">
        <v>175</v>
      </c>
      <c r="D52" s="160" t="s">
        <v>470</v>
      </c>
      <c r="E52" s="159" t="s">
        <v>57</v>
      </c>
      <c r="F52" s="159"/>
      <c r="G52" s="159" t="s">
        <v>57</v>
      </c>
      <c r="H52" s="161">
        <f>SUM(H53:H54)</f>
        <v>0</v>
      </c>
      <c r="I52" s="161">
        <f>SUM(I53:I54)</f>
        <v>0</v>
      </c>
      <c r="J52" s="161">
        <f>SUM(J53:J54)</f>
        <v>0</v>
      </c>
      <c r="K52" s="154"/>
      <c r="L52" s="161">
        <f>SUM(L53:L54)</f>
        <v>0</v>
      </c>
      <c r="M52" s="154"/>
      <c r="AI52" s="154" t="s">
        <v>59</v>
      </c>
      <c r="AS52" s="161">
        <f>SUM(AJ53:AJ54)</f>
        <v>0</v>
      </c>
      <c r="AT52" s="161">
        <f>SUM(AK53:AK54)</f>
        <v>0</v>
      </c>
      <c r="AU52" s="161">
        <f>SUM(AL53:AL54)</f>
        <v>0</v>
      </c>
    </row>
    <row r="53" spans="1:62" ht="12.75" hidden="1">
      <c r="A53" s="88" t="s">
        <v>111</v>
      </c>
      <c r="B53" s="88" t="s">
        <v>59</v>
      </c>
      <c r="C53" s="88" t="s">
        <v>278</v>
      </c>
      <c r="D53" s="88" t="s">
        <v>471</v>
      </c>
      <c r="E53" s="88" t="s">
        <v>608</v>
      </c>
      <c r="F53" s="90"/>
      <c r="G53" s="90">
        <v>61.4</v>
      </c>
      <c r="H53" s="90">
        <f>F53*AO53</f>
        <v>0</v>
      </c>
      <c r="I53" s="90">
        <f>F53*AP53</f>
        <v>0</v>
      </c>
      <c r="J53" s="90">
        <f>F53*G53</f>
        <v>0</v>
      </c>
      <c r="K53" s="90">
        <v>0.046</v>
      </c>
      <c r="L53" s="90">
        <f>F53*K53</f>
        <v>0</v>
      </c>
      <c r="M53" s="91" t="s">
        <v>622</v>
      </c>
      <c r="Z53" s="90">
        <f>IF(AQ53="5",BJ53,0)</f>
        <v>0</v>
      </c>
      <c r="AB53" s="90">
        <f>IF(AQ53="1",BH53,0)</f>
        <v>0</v>
      </c>
      <c r="AC53" s="90">
        <f>IF(AQ53="1",BI53,0)</f>
        <v>0</v>
      </c>
      <c r="AD53" s="90">
        <f>IF(AQ53="7",BH53,0)</f>
        <v>0</v>
      </c>
      <c r="AE53" s="90">
        <f>IF(AQ53="7",BI53,0)</f>
        <v>0</v>
      </c>
      <c r="AF53" s="90">
        <f>IF(AQ53="2",BH53,0)</f>
        <v>0</v>
      </c>
      <c r="AG53" s="90">
        <f>IF(AQ53="2",BI53,0)</f>
        <v>0</v>
      </c>
      <c r="AH53" s="90">
        <f>IF(AQ53="0",BJ53,0)</f>
        <v>0</v>
      </c>
      <c r="AI53" s="154" t="s">
        <v>59</v>
      </c>
      <c r="AJ53" s="90">
        <f>IF(AN53=0,J53,0)</f>
        <v>0</v>
      </c>
      <c r="AK53" s="90">
        <f>IF(AN53=15,J53,0)</f>
        <v>0</v>
      </c>
      <c r="AL53" s="90">
        <f>IF(AN53=21,J53,0)</f>
        <v>0</v>
      </c>
      <c r="AN53" s="90">
        <v>15</v>
      </c>
      <c r="AO53" s="90">
        <f>G53*0</f>
        <v>0</v>
      </c>
      <c r="AP53" s="90">
        <f>G53*(1-0)</f>
        <v>61.4</v>
      </c>
      <c r="AQ53" s="91" t="s">
        <v>79</v>
      </c>
      <c r="AV53" s="90">
        <f>AW53+AX53</f>
        <v>0</v>
      </c>
      <c r="AW53" s="90">
        <f>F53*AO53</f>
        <v>0</v>
      </c>
      <c r="AX53" s="90">
        <f>F53*AP53</f>
        <v>0</v>
      </c>
      <c r="AY53" s="91" t="s">
        <v>639</v>
      </c>
      <c r="AZ53" s="91" t="s">
        <v>652</v>
      </c>
      <c r="BA53" s="154" t="s">
        <v>658</v>
      </c>
      <c r="BC53" s="90">
        <f>AW53+AX53</f>
        <v>0</v>
      </c>
      <c r="BD53" s="90">
        <f>G53/(100-BE53)*100</f>
        <v>61.4</v>
      </c>
      <c r="BE53" s="90">
        <v>0</v>
      </c>
      <c r="BF53" s="90">
        <f>L53</f>
        <v>0</v>
      </c>
      <c r="BH53" s="90">
        <f>F53*AO53</f>
        <v>0</v>
      </c>
      <c r="BI53" s="90">
        <f>F53*AP53</f>
        <v>0</v>
      </c>
      <c r="BJ53" s="90">
        <f>F53*G53</f>
        <v>0</v>
      </c>
    </row>
    <row r="54" spans="1:62" ht="12.75" hidden="1">
      <c r="A54" s="88" t="s">
        <v>112</v>
      </c>
      <c r="B54" s="88" t="s">
        <v>59</v>
      </c>
      <c r="C54" s="88" t="s">
        <v>279</v>
      </c>
      <c r="D54" s="88" t="s">
        <v>472</v>
      </c>
      <c r="E54" s="88" t="s">
        <v>608</v>
      </c>
      <c r="F54" s="90"/>
      <c r="G54" s="90">
        <v>78.3</v>
      </c>
      <c r="H54" s="90">
        <f>F54*AO54</f>
        <v>0</v>
      </c>
      <c r="I54" s="90">
        <f>F54*AP54</f>
        <v>0</v>
      </c>
      <c r="J54" s="90">
        <f>F54*G54</f>
        <v>0</v>
      </c>
      <c r="K54" s="90">
        <v>0.068</v>
      </c>
      <c r="L54" s="90">
        <f>F54*K54</f>
        <v>0</v>
      </c>
      <c r="M54" s="91" t="s">
        <v>622</v>
      </c>
      <c r="Z54" s="90">
        <f>IF(AQ54="5",BJ54,0)</f>
        <v>0</v>
      </c>
      <c r="AB54" s="90">
        <f>IF(AQ54="1",BH54,0)</f>
        <v>0</v>
      </c>
      <c r="AC54" s="90">
        <f>IF(AQ54="1",BI54,0)</f>
        <v>0</v>
      </c>
      <c r="AD54" s="90">
        <f>IF(AQ54="7",BH54,0)</f>
        <v>0</v>
      </c>
      <c r="AE54" s="90">
        <f>IF(AQ54="7",BI54,0)</f>
        <v>0</v>
      </c>
      <c r="AF54" s="90">
        <f>IF(AQ54="2",BH54,0)</f>
        <v>0</v>
      </c>
      <c r="AG54" s="90">
        <f>IF(AQ54="2",BI54,0)</f>
        <v>0</v>
      </c>
      <c r="AH54" s="90">
        <f>IF(AQ54="0",BJ54,0)</f>
        <v>0</v>
      </c>
      <c r="AI54" s="154" t="s">
        <v>59</v>
      </c>
      <c r="AJ54" s="90">
        <f>IF(AN54=0,J54,0)</f>
        <v>0</v>
      </c>
      <c r="AK54" s="90">
        <f>IF(AN54=15,J54,0)</f>
        <v>0</v>
      </c>
      <c r="AL54" s="90">
        <f>IF(AN54=21,J54,0)</f>
        <v>0</v>
      </c>
      <c r="AN54" s="90">
        <v>15</v>
      </c>
      <c r="AO54" s="90">
        <f>G54*0</f>
        <v>0</v>
      </c>
      <c r="AP54" s="90">
        <f>G54*(1-0)</f>
        <v>78.3</v>
      </c>
      <c r="AQ54" s="91" t="s">
        <v>79</v>
      </c>
      <c r="AV54" s="90">
        <f>AW54+AX54</f>
        <v>0</v>
      </c>
      <c r="AW54" s="90">
        <f>F54*AO54</f>
        <v>0</v>
      </c>
      <c r="AX54" s="90">
        <f>F54*AP54</f>
        <v>0</v>
      </c>
      <c r="AY54" s="91" t="s">
        <v>639</v>
      </c>
      <c r="AZ54" s="91" t="s">
        <v>652</v>
      </c>
      <c r="BA54" s="154" t="s">
        <v>658</v>
      </c>
      <c r="BC54" s="90">
        <f>AW54+AX54</f>
        <v>0</v>
      </c>
      <c r="BD54" s="90">
        <f>G54/(100-BE54)*100</f>
        <v>78.3</v>
      </c>
      <c r="BE54" s="90">
        <v>0</v>
      </c>
      <c r="BF54" s="90">
        <f>L54</f>
        <v>0</v>
      </c>
      <c r="BH54" s="90">
        <f>F54*AO54</f>
        <v>0</v>
      </c>
      <c r="BI54" s="90">
        <f>F54*AP54</f>
        <v>0</v>
      </c>
      <c r="BJ54" s="90">
        <f>F54*G54</f>
        <v>0</v>
      </c>
    </row>
    <row r="55" spans="1:47" ht="12.75" hidden="1">
      <c r="A55" s="159"/>
      <c r="B55" s="160" t="s">
        <v>59</v>
      </c>
      <c r="C55" s="160" t="s">
        <v>280</v>
      </c>
      <c r="D55" s="160" t="s">
        <v>473</v>
      </c>
      <c r="E55" s="159" t="s">
        <v>57</v>
      </c>
      <c r="F55" s="159"/>
      <c r="G55" s="159" t="s">
        <v>57</v>
      </c>
      <c r="H55" s="161">
        <f>SUM(H56:H62)</f>
        <v>0</v>
      </c>
      <c r="I55" s="161">
        <f>SUM(I56:I62)</f>
        <v>0</v>
      </c>
      <c r="J55" s="161">
        <f>SUM(J56:J62)</f>
        <v>0</v>
      </c>
      <c r="K55" s="154"/>
      <c r="L55" s="161">
        <f>SUM(L56:L62)</f>
        <v>0</v>
      </c>
      <c r="M55" s="154"/>
      <c r="AI55" s="154" t="s">
        <v>59</v>
      </c>
      <c r="AS55" s="161">
        <f>SUM(AJ56:AJ62)</f>
        <v>0</v>
      </c>
      <c r="AT55" s="161">
        <f>SUM(AK56:AK62)</f>
        <v>0</v>
      </c>
      <c r="AU55" s="161">
        <f>SUM(AL56:AL62)</f>
        <v>0</v>
      </c>
    </row>
    <row r="56" spans="1:62" ht="12.75" hidden="1">
      <c r="A56" s="88" t="s">
        <v>113</v>
      </c>
      <c r="B56" s="88" t="s">
        <v>59</v>
      </c>
      <c r="C56" s="88" t="s">
        <v>281</v>
      </c>
      <c r="D56" s="88" t="s">
        <v>474</v>
      </c>
      <c r="E56" s="88" t="s">
        <v>612</v>
      </c>
      <c r="F56" s="90"/>
      <c r="G56" s="90">
        <v>174.5</v>
      </c>
      <c r="H56" s="90">
        <f aca="true" t="shared" si="48" ref="H56:H62">F56*AO56</f>
        <v>0</v>
      </c>
      <c r="I56" s="90">
        <f aca="true" t="shared" si="49" ref="I56:I62">F56*AP56</f>
        <v>0</v>
      </c>
      <c r="J56" s="90">
        <f aca="true" t="shared" si="50" ref="J56:J62">F56*G56</f>
        <v>0</v>
      </c>
      <c r="K56" s="90">
        <v>0</v>
      </c>
      <c r="L56" s="90">
        <f aca="true" t="shared" si="51" ref="L56:L62">F56*K56</f>
        <v>0</v>
      </c>
      <c r="M56" s="91" t="s">
        <v>622</v>
      </c>
      <c r="Z56" s="90">
        <f aca="true" t="shared" si="52" ref="Z56:Z62">IF(AQ56="5",BJ56,0)</f>
        <v>0</v>
      </c>
      <c r="AB56" s="90">
        <f aca="true" t="shared" si="53" ref="AB56:AB62">IF(AQ56="1",BH56,0)</f>
        <v>0</v>
      </c>
      <c r="AC56" s="90">
        <f aca="true" t="shared" si="54" ref="AC56:AC62">IF(AQ56="1",BI56,0)</f>
        <v>0</v>
      </c>
      <c r="AD56" s="90">
        <f aca="true" t="shared" si="55" ref="AD56:AD62">IF(AQ56="7",BH56,0)</f>
        <v>0</v>
      </c>
      <c r="AE56" s="90">
        <f aca="true" t="shared" si="56" ref="AE56:AE62">IF(AQ56="7",BI56,0)</f>
        <v>0</v>
      </c>
      <c r="AF56" s="90">
        <f aca="true" t="shared" si="57" ref="AF56:AF62">IF(AQ56="2",BH56,0)</f>
        <v>0</v>
      </c>
      <c r="AG56" s="90">
        <f aca="true" t="shared" si="58" ref="AG56:AG62">IF(AQ56="2",BI56,0)</f>
        <v>0</v>
      </c>
      <c r="AH56" s="90">
        <f aca="true" t="shared" si="59" ref="AH56:AH62">IF(AQ56="0",BJ56,0)</f>
        <v>0</v>
      </c>
      <c r="AI56" s="154" t="s">
        <v>59</v>
      </c>
      <c r="AJ56" s="90">
        <f aca="true" t="shared" si="60" ref="AJ56:AJ62">IF(AN56=0,J56,0)</f>
        <v>0</v>
      </c>
      <c r="AK56" s="90">
        <f aca="true" t="shared" si="61" ref="AK56:AK62">IF(AN56=15,J56,0)</f>
        <v>0</v>
      </c>
      <c r="AL56" s="90">
        <f aca="true" t="shared" si="62" ref="AL56:AL62">IF(AN56=21,J56,0)</f>
        <v>0</v>
      </c>
      <c r="AN56" s="90">
        <v>15</v>
      </c>
      <c r="AO56" s="90">
        <f aca="true" t="shared" si="63" ref="AO56:AO62">G56*0</f>
        <v>0</v>
      </c>
      <c r="AP56" s="90">
        <f aca="true" t="shared" si="64" ref="AP56:AP62">G56*(1-0)</f>
        <v>174.5</v>
      </c>
      <c r="AQ56" s="91" t="s">
        <v>83</v>
      </c>
      <c r="AV56" s="90">
        <f aca="true" t="shared" si="65" ref="AV56:AV62">AW56+AX56</f>
        <v>0</v>
      </c>
      <c r="AW56" s="90">
        <f aca="true" t="shared" si="66" ref="AW56:AW62">F56*AO56</f>
        <v>0</v>
      </c>
      <c r="AX56" s="90">
        <f aca="true" t="shared" si="67" ref="AX56:AX62">F56*AP56</f>
        <v>0</v>
      </c>
      <c r="AY56" s="91" t="s">
        <v>640</v>
      </c>
      <c r="AZ56" s="91" t="s">
        <v>652</v>
      </c>
      <c r="BA56" s="154" t="s">
        <v>658</v>
      </c>
      <c r="BC56" s="90">
        <f aca="true" t="shared" si="68" ref="BC56:BC62">AW56+AX56</f>
        <v>0</v>
      </c>
      <c r="BD56" s="90">
        <f aca="true" t="shared" si="69" ref="BD56:BD62">G56/(100-BE56)*100</f>
        <v>174.5</v>
      </c>
      <c r="BE56" s="90">
        <v>0</v>
      </c>
      <c r="BF56" s="90">
        <f aca="true" t="shared" si="70" ref="BF56:BF62">L56</f>
        <v>0</v>
      </c>
      <c r="BH56" s="90">
        <f aca="true" t="shared" si="71" ref="BH56:BH62">F56*AO56</f>
        <v>0</v>
      </c>
      <c r="BI56" s="90">
        <f aca="true" t="shared" si="72" ref="BI56:BI62">F56*AP56</f>
        <v>0</v>
      </c>
      <c r="BJ56" s="90">
        <f aca="true" t="shared" si="73" ref="BJ56:BJ62">F56*G56</f>
        <v>0</v>
      </c>
    </row>
    <row r="57" spans="1:62" ht="12.75" hidden="1">
      <c r="A57" s="88" t="s">
        <v>114</v>
      </c>
      <c r="B57" s="88" t="s">
        <v>59</v>
      </c>
      <c r="C57" s="88" t="s">
        <v>282</v>
      </c>
      <c r="D57" s="88" t="s">
        <v>475</v>
      </c>
      <c r="E57" s="88" t="s">
        <v>612</v>
      </c>
      <c r="F57" s="90"/>
      <c r="G57" s="90">
        <v>15</v>
      </c>
      <c r="H57" s="90">
        <f t="shared" si="48"/>
        <v>0</v>
      </c>
      <c r="I57" s="90">
        <f t="shared" si="49"/>
        <v>0</v>
      </c>
      <c r="J57" s="90">
        <f t="shared" si="50"/>
        <v>0</v>
      </c>
      <c r="K57" s="90">
        <v>0</v>
      </c>
      <c r="L57" s="90">
        <f t="shared" si="51"/>
        <v>0</v>
      </c>
      <c r="M57" s="91" t="s">
        <v>622</v>
      </c>
      <c r="Z57" s="90">
        <f t="shared" si="52"/>
        <v>0</v>
      </c>
      <c r="AB57" s="90">
        <f t="shared" si="53"/>
        <v>0</v>
      </c>
      <c r="AC57" s="90">
        <f t="shared" si="54"/>
        <v>0</v>
      </c>
      <c r="AD57" s="90">
        <f t="shared" si="55"/>
        <v>0</v>
      </c>
      <c r="AE57" s="90">
        <f t="shared" si="56"/>
        <v>0</v>
      </c>
      <c r="AF57" s="90">
        <f t="shared" si="57"/>
        <v>0</v>
      </c>
      <c r="AG57" s="90">
        <f t="shared" si="58"/>
        <v>0</v>
      </c>
      <c r="AH57" s="90">
        <f t="shared" si="59"/>
        <v>0</v>
      </c>
      <c r="AI57" s="154" t="s">
        <v>59</v>
      </c>
      <c r="AJ57" s="90">
        <f t="shared" si="60"/>
        <v>0</v>
      </c>
      <c r="AK57" s="90">
        <f t="shared" si="61"/>
        <v>0</v>
      </c>
      <c r="AL57" s="90">
        <f t="shared" si="62"/>
        <v>0</v>
      </c>
      <c r="AN57" s="90">
        <v>15</v>
      </c>
      <c r="AO57" s="90">
        <f t="shared" si="63"/>
        <v>0</v>
      </c>
      <c r="AP57" s="90">
        <f t="shared" si="64"/>
        <v>15</v>
      </c>
      <c r="AQ57" s="91" t="s">
        <v>83</v>
      </c>
      <c r="AV57" s="90">
        <f t="shared" si="65"/>
        <v>0</v>
      </c>
      <c r="AW57" s="90">
        <f t="shared" si="66"/>
        <v>0</v>
      </c>
      <c r="AX57" s="90">
        <f t="shared" si="67"/>
        <v>0</v>
      </c>
      <c r="AY57" s="91" t="s">
        <v>640</v>
      </c>
      <c r="AZ57" s="91" t="s">
        <v>652</v>
      </c>
      <c r="BA57" s="154" t="s">
        <v>658</v>
      </c>
      <c r="BC57" s="90">
        <f t="shared" si="68"/>
        <v>0</v>
      </c>
      <c r="BD57" s="90">
        <f t="shared" si="69"/>
        <v>15</v>
      </c>
      <c r="BE57" s="90">
        <v>0</v>
      </c>
      <c r="BF57" s="90">
        <f t="shared" si="70"/>
        <v>0</v>
      </c>
      <c r="BH57" s="90">
        <f t="shared" si="71"/>
        <v>0</v>
      </c>
      <c r="BI57" s="90">
        <f t="shared" si="72"/>
        <v>0</v>
      </c>
      <c r="BJ57" s="90">
        <f t="shared" si="73"/>
        <v>0</v>
      </c>
    </row>
    <row r="58" spans="1:62" ht="12.75" hidden="1">
      <c r="A58" s="88" t="s">
        <v>115</v>
      </c>
      <c r="B58" s="88" t="s">
        <v>59</v>
      </c>
      <c r="C58" s="88" t="s">
        <v>283</v>
      </c>
      <c r="D58" s="88" t="s">
        <v>476</v>
      </c>
      <c r="E58" s="88" t="s">
        <v>612</v>
      </c>
      <c r="F58" s="90"/>
      <c r="G58" s="90">
        <v>222.5</v>
      </c>
      <c r="H58" s="90">
        <f t="shared" si="48"/>
        <v>0</v>
      </c>
      <c r="I58" s="90">
        <f t="shared" si="49"/>
        <v>0</v>
      </c>
      <c r="J58" s="90">
        <f t="shared" si="50"/>
        <v>0</v>
      </c>
      <c r="K58" s="90">
        <v>0</v>
      </c>
      <c r="L58" s="90">
        <f t="shared" si="51"/>
        <v>0</v>
      </c>
      <c r="M58" s="91" t="s">
        <v>622</v>
      </c>
      <c r="Z58" s="90">
        <f t="shared" si="52"/>
        <v>0</v>
      </c>
      <c r="AB58" s="90">
        <f t="shared" si="53"/>
        <v>0</v>
      </c>
      <c r="AC58" s="90">
        <f t="shared" si="54"/>
        <v>0</v>
      </c>
      <c r="AD58" s="90">
        <f t="shared" si="55"/>
        <v>0</v>
      </c>
      <c r="AE58" s="90">
        <f t="shared" si="56"/>
        <v>0</v>
      </c>
      <c r="AF58" s="90">
        <f t="shared" si="57"/>
        <v>0</v>
      </c>
      <c r="AG58" s="90">
        <f t="shared" si="58"/>
        <v>0</v>
      </c>
      <c r="AH58" s="90">
        <f t="shared" si="59"/>
        <v>0</v>
      </c>
      <c r="AI58" s="154" t="s">
        <v>59</v>
      </c>
      <c r="AJ58" s="90">
        <f t="shared" si="60"/>
        <v>0</v>
      </c>
      <c r="AK58" s="90">
        <f t="shared" si="61"/>
        <v>0</v>
      </c>
      <c r="AL58" s="90">
        <f t="shared" si="62"/>
        <v>0</v>
      </c>
      <c r="AN58" s="90">
        <v>15</v>
      </c>
      <c r="AO58" s="90">
        <f t="shared" si="63"/>
        <v>0</v>
      </c>
      <c r="AP58" s="90">
        <f t="shared" si="64"/>
        <v>222.5</v>
      </c>
      <c r="AQ58" s="91" t="s">
        <v>83</v>
      </c>
      <c r="AV58" s="90">
        <f t="shared" si="65"/>
        <v>0</v>
      </c>
      <c r="AW58" s="90">
        <f t="shared" si="66"/>
        <v>0</v>
      </c>
      <c r="AX58" s="90">
        <f t="shared" si="67"/>
        <v>0</v>
      </c>
      <c r="AY58" s="91" t="s">
        <v>640</v>
      </c>
      <c r="AZ58" s="91" t="s">
        <v>652</v>
      </c>
      <c r="BA58" s="154" t="s">
        <v>658</v>
      </c>
      <c r="BC58" s="90">
        <f t="shared" si="68"/>
        <v>0</v>
      </c>
      <c r="BD58" s="90">
        <f t="shared" si="69"/>
        <v>222.5</v>
      </c>
      <c r="BE58" s="90">
        <v>0</v>
      </c>
      <c r="BF58" s="90">
        <f t="shared" si="70"/>
        <v>0</v>
      </c>
      <c r="BH58" s="90">
        <f t="shared" si="71"/>
        <v>0</v>
      </c>
      <c r="BI58" s="90">
        <f t="shared" si="72"/>
        <v>0</v>
      </c>
      <c r="BJ58" s="90">
        <f t="shared" si="73"/>
        <v>0</v>
      </c>
    </row>
    <row r="59" spans="1:62" ht="12.75" hidden="1">
      <c r="A59" s="88" t="s">
        <v>116</v>
      </c>
      <c r="B59" s="88" t="s">
        <v>59</v>
      </c>
      <c r="C59" s="88" t="s">
        <v>284</v>
      </c>
      <c r="D59" s="88" t="s">
        <v>477</v>
      </c>
      <c r="E59" s="88" t="s">
        <v>612</v>
      </c>
      <c r="F59" s="90"/>
      <c r="G59" s="90">
        <v>24.8</v>
      </c>
      <c r="H59" s="90">
        <f t="shared" si="48"/>
        <v>0</v>
      </c>
      <c r="I59" s="90">
        <f t="shared" si="49"/>
        <v>0</v>
      </c>
      <c r="J59" s="90">
        <f t="shared" si="50"/>
        <v>0</v>
      </c>
      <c r="K59" s="90">
        <v>0</v>
      </c>
      <c r="L59" s="90">
        <f t="shared" si="51"/>
        <v>0</v>
      </c>
      <c r="M59" s="91" t="s">
        <v>622</v>
      </c>
      <c r="Z59" s="90">
        <f t="shared" si="52"/>
        <v>0</v>
      </c>
      <c r="AB59" s="90">
        <f t="shared" si="53"/>
        <v>0</v>
      </c>
      <c r="AC59" s="90">
        <f t="shared" si="54"/>
        <v>0</v>
      </c>
      <c r="AD59" s="90">
        <f t="shared" si="55"/>
        <v>0</v>
      </c>
      <c r="AE59" s="90">
        <f t="shared" si="56"/>
        <v>0</v>
      </c>
      <c r="AF59" s="90">
        <f t="shared" si="57"/>
        <v>0</v>
      </c>
      <c r="AG59" s="90">
        <f t="shared" si="58"/>
        <v>0</v>
      </c>
      <c r="AH59" s="90">
        <f t="shared" si="59"/>
        <v>0</v>
      </c>
      <c r="AI59" s="154" t="s">
        <v>59</v>
      </c>
      <c r="AJ59" s="90">
        <f t="shared" si="60"/>
        <v>0</v>
      </c>
      <c r="AK59" s="90">
        <f t="shared" si="61"/>
        <v>0</v>
      </c>
      <c r="AL59" s="90">
        <f t="shared" si="62"/>
        <v>0</v>
      </c>
      <c r="AN59" s="90">
        <v>15</v>
      </c>
      <c r="AO59" s="90">
        <f t="shared" si="63"/>
        <v>0</v>
      </c>
      <c r="AP59" s="90">
        <f t="shared" si="64"/>
        <v>24.8</v>
      </c>
      <c r="AQ59" s="91" t="s">
        <v>83</v>
      </c>
      <c r="AV59" s="90">
        <f t="shared" si="65"/>
        <v>0</v>
      </c>
      <c r="AW59" s="90">
        <f t="shared" si="66"/>
        <v>0</v>
      </c>
      <c r="AX59" s="90">
        <f t="shared" si="67"/>
        <v>0</v>
      </c>
      <c r="AY59" s="91" t="s">
        <v>640</v>
      </c>
      <c r="AZ59" s="91" t="s">
        <v>652</v>
      </c>
      <c r="BA59" s="154" t="s">
        <v>658</v>
      </c>
      <c r="BC59" s="90">
        <f t="shared" si="68"/>
        <v>0</v>
      </c>
      <c r="BD59" s="90">
        <f t="shared" si="69"/>
        <v>24.8</v>
      </c>
      <c r="BE59" s="90">
        <v>0</v>
      </c>
      <c r="BF59" s="90">
        <f t="shared" si="70"/>
        <v>0</v>
      </c>
      <c r="BH59" s="90">
        <f t="shared" si="71"/>
        <v>0</v>
      </c>
      <c r="BI59" s="90">
        <f t="shared" si="72"/>
        <v>0</v>
      </c>
      <c r="BJ59" s="90">
        <f t="shared" si="73"/>
        <v>0</v>
      </c>
    </row>
    <row r="60" spans="1:62" ht="12.75" hidden="1">
      <c r="A60" s="88" t="s">
        <v>117</v>
      </c>
      <c r="B60" s="88" t="s">
        <v>59</v>
      </c>
      <c r="C60" s="88" t="s">
        <v>285</v>
      </c>
      <c r="D60" s="88" t="s">
        <v>478</v>
      </c>
      <c r="E60" s="88" t="s">
        <v>612</v>
      </c>
      <c r="F60" s="90"/>
      <c r="G60" s="90">
        <v>110.49</v>
      </c>
      <c r="H60" s="90">
        <f t="shared" si="48"/>
        <v>0</v>
      </c>
      <c r="I60" s="90">
        <f t="shared" si="49"/>
        <v>0</v>
      </c>
      <c r="J60" s="90">
        <f t="shared" si="50"/>
        <v>0</v>
      </c>
      <c r="K60" s="90">
        <v>0</v>
      </c>
      <c r="L60" s="90">
        <f t="shared" si="51"/>
        <v>0</v>
      </c>
      <c r="M60" s="91" t="s">
        <v>622</v>
      </c>
      <c r="Z60" s="90">
        <f t="shared" si="52"/>
        <v>0</v>
      </c>
      <c r="AB60" s="90">
        <f t="shared" si="53"/>
        <v>0</v>
      </c>
      <c r="AC60" s="90">
        <f t="shared" si="54"/>
        <v>0</v>
      </c>
      <c r="AD60" s="90">
        <f t="shared" si="55"/>
        <v>0</v>
      </c>
      <c r="AE60" s="90">
        <f t="shared" si="56"/>
        <v>0</v>
      </c>
      <c r="AF60" s="90">
        <f t="shared" si="57"/>
        <v>0</v>
      </c>
      <c r="AG60" s="90">
        <f t="shared" si="58"/>
        <v>0</v>
      </c>
      <c r="AH60" s="90">
        <f t="shared" si="59"/>
        <v>0</v>
      </c>
      <c r="AI60" s="154" t="s">
        <v>59</v>
      </c>
      <c r="AJ60" s="90">
        <f t="shared" si="60"/>
        <v>0</v>
      </c>
      <c r="AK60" s="90">
        <f t="shared" si="61"/>
        <v>0</v>
      </c>
      <c r="AL60" s="90">
        <f t="shared" si="62"/>
        <v>0</v>
      </c>
      <c r="AN60" s="90">
        <v>15</v>
      </c>
      <c r="AO60" s="90">
        <f t="shared" si="63"/>
        <v>0</v>
      </c>
      <c r="AP60" s="90">
        <f t="shared" si="64"/>
        <v>110.49</v>
      </c>
      <c r="AQ60" s="91" t="s">
        <v>83</v>
      </c>
      <c r="AV60" s="90">
        <f t="shared" si="65"/>
        <v>0</v>
      </c>
      <c r="AW60" s="90">
        <f t="shared" si="66"/>
        <v>0</v>
      </c>
      <c r="AX60" s="90">
        <f t="shared" si="67"/>
        <v>0</v>
      </c>
      <c r="AY60" s="91" t="s">
        <v>640</v>
      </c>
      <c r="AZ60" s="91" t="s">
        <v>652</v>
      </c>
      <c r="BA60" s="154" t="s">
        <v>658</v>
      </c>
      <c r="BC60" s="90">
        <f t="shared" si="68"/>
        <v>0</v>
      </c>
      <c r="BD60" s="90">
        <f t="shared" si="69"/>
        <v>110.49</v>
      </c>
      <c r="BE60" s="90">
        <v>0</v>
      </c>
      <c r="BF60" s="90">
        <f t="shared" si="70"/>
        <v>0</v>
      </c>
      <c r="BH60" s="90">
        <f t="shared" si="71"/>
        <v>0</v>
      </c>
      <c r="BI60" s="90">
        <f t="shared" si="72"/>
        <v>0</v>
      </c>
      <c r="BJ60" s="90">
        <f t="shared" si="73"/>
        <v>0</v>
      </c>
    </row>
    <row r="61" spans="1:62" ht="12.75" hidden="1">
      <c r="A61" s="88" t="s">
        <v>118</v>
      </c>
      <c r="B61" s="88" t="s">
        <v>59</v>
      </c>
      <c r="C61" s="88" t="s">
        <v>286</v>
      </c>
      <c r="D61" s="88" t="s">
        <v>479</v>
      </c>
      <c r="E61" s="88" t="s">
        <v>612</v>
      </c>
      <c r="F61" s="90"/>
      <c r="G61" s="90">
        <v>250</v>
      </c>
      <c r="H61" s="90">
        <f t="shared" si="48"/>
        <v>0</v>
      </c>
      <c r="I61" s="90">
        <f t="shared" si="49"/>
        <v>0</v>
      </c>
      <c r="J61" s="90">
        <f t="shared" si="50"/>
        <v>0</v>
      </c>
      <c r="K61" s="90">
        <v>0</v>
      </c>
      <c r="L61" s="90">
        <f t="shared" si="51"/>
        <v>0</v>
      </c>
      <c r="M61" s="91" t="s">
        <v>622</v>
      </c>
      <c r="Z61" s="90">
        <f t="shared" si="52"/>
        <v>0</v>
      </c>
      <c r="AB61" s="90">
        <f t="shared" si="53"/>
        <v>0</v>
      </c>
      <c r="AC61" s="90">
        <f t="shared" si="54"/>
        <v>0</v>
      </c>
      <c r="AD61" s="90">
        <f t="shared" si="55"/>
        <v>0</v>
      </c>
      <c r="AE61" s="90">
        <f t="shared" si="56"/>
        <v>0</v>
      </c>
      <c r="AF61" s="90">
        <f t="shared" si="57"/>
        <v>0</v>
      </c>
      <c r="AG61" s="90">
        <f t="shared" si="58"/>
        <v>0</v>
      </c>
      <c r="AH61" s="90">
        <f t="shared" si="59"/>
        <v>0</v>
      </c>
      <c r="AI61" s="154" t="s">
        <v>59</v>
      </c>
      <c r="AJ61" s="90">
        <f t="shared" si="60"/>
        <v>0</v>
      </c>
      <c r="AK61" s="90">
        <f t="shared" si="61"/>
        <v>0</v>
      </c>
      <c r="AL61" s="90">
        <f t="shared" si="62"/>
        <v>0</v>
      </c>
      <c r="AN61" s="90">
        <v>15</v>
      </c>
      <c r="AO61" s="90">
        <f t="shared" si="63"/>
        <v>0</v>
      </c>
      <c r="AP61" s="90">
        <f t="shared" si="64"/>
        <v>250</v>
      </c>
      <c r="AQ61" s="91" t="s">
        <v>83</v>
      </c>
      <c r="AV61" s="90">
        <f t="shared" si="65"/>
        <v>0</v>
      </c>
      <c r="AW61" s="90">
        <f t="shared" si="66"/>
        <v>0</v>
      </c>
      <c r="AX61" s="90">
        <f t="shared" si="67"/>
        <v>0</v>
      </c>
      <c r="AY61" s="91" t="s">
        <v>640</v>
      </c>
      <c r="AZ61" s="91" t="s">
        <v>652</v>
      </c>
      <c r="BA61" s="154" t="s">
        <v>658</v>
      </c>
      <c r="BC61" s="90">
        <f t="shared" si="68"/>
        <v>0</v>
      </c>
      <c r="BD61" s="90">
        <f t="shared" si="69"/>
        <v>250</v>
      </c>
      <c r="BE61" s="90">
        <v>0</v>
      </c>
      <c r="BF61" s="90">
        <f t="shared" si="70"/>
        <v>0</v>
      </c>
      <c r="BH61" s="90">
        <f t="shared" si="71"/>
        <v>0</v>
      </c>
      <c r="BI61" s="90">
        <f t="shared" si="72"/>
        <v>0</v>
      </c>
      <c r="BJ61" s="90">
        <f t="shared" si="73"/>
        <v>0</v>
      </c>
    </row>
    <row r="62" spans="1:62" ht="12.75" hidden="1">
      <c r="A62" s="88" t="s">
        <v>119</v>
      </c>
      <c r="B62" s="88" t="s">
        <v>59</v>
      </c>
      <c r="C62" s="88" t="s">
        <v>287</v>
      </c>
      <c r="D62" s="88" t="s">
        <v>480</v>
      </c>
      <c r="E62" s="88" t="s">
        <v>612</v>
      </c>
      <c r="F62" s="90"/>
      <c r="G62" s="90">
        <v>550</v>
      </c>
      <c r="H62" s="90">
        <f t="shared" si="48"/>
        <v>0</v>
      </c>
      <c r="I62" s="90">
        <f t="shared" si="49"/>
        <v>0</v>
      </c>
      <c r="J62" s="90">
        <f t="shared" si="50"/>
        <v>0</v>
      </c>
      <c r="K62" s="90">
        <v>0</v>
      </c>
      <c r="L62" s="90">
        <f t="shared" si="51"/>
        <v>0</v>
      </c>
      <c r="M62" s="91" t="s">
        <v>622</v>
      </c>
      <c r="Z62" s="90">
        <f t="shared" si="52"/>
        <v>0</v>
      </c>
      <c r="AB62" s="90">
        <f t="shared" si="53"/>
        <v>0</v>
      </c>
      <c r="AC62" s="90">
        <f t="shared" si="54"/>
        <v>0</v>
      </c>
      <c r="AD62" s="90">
        <f t="shared" si="55"/>
        <v>0</v>
      </c>
      <c r="AE62" s="90">
        <f t="shared" si="56"/>
        <v>0</v>
      </c>
      <c r="AF62" s="90">
        <f t="shared" si="57"/>
        <v>0</v>
      </c>
      <c r="AG62" s="90">
        <f t="shared" si="58"/>
        <v>0</v>
      </c>
      <c r="AH62" s="90">
        <f t="shared" si="59"/>
        <v>0</v>
      </c>
      <c r="AI62" s="154" t="s">
        <v>59</v>
      </c>
      <c r="AJ62" s="90">
        <f t="shared" si="60"/>
        <v>0</v>
      </c>
      <c r="AK62" s="90">
        <f t="shared" si="61"/>
        <v>0</v>
      </c>
      <c r="AL62" s="90">
        <f t="shared" si="62"/>
        <v>0</v>
      </c>
      <c r="AN62" s="90">
        <v>15</v>
      </c>
      <c r="AO62" s="90">
        <f t="shared" si="63"/>
        <v>0</v>
      </c>
      <c r="AP62" s="90">
        <f t="shared" si="64"/>
        <v>550</v>
      </c>
      <c r="AQ62" s="91" t="s">
        <v>83</v>
      </c>
      <c r="AV62" s="90">
        <f t="shared" si="65"/>
        <v>0</v>
      </c>
      <c r="AW62" s="90">
        <f t="shared" si="66"/>
        <v>0</v>
      </c>
      <c r="AX62" s="90">
        <f t="shared" si="67"/>
        <v>0</v>
      </c>
      <c r="AY62" s="91" t="s">
        <v>640</v>
      </c>
      <c r="AZ62" s="91" t="s">
        <v>652</v>
      </c>
      <c r="BA62" s="154" t="s">
        <v>658</v>
      </c>
      <c r="BC62" s="90">
        <f t="shared" si="68"/>
        <v>0</v>
      </c>
      <c r="BD62" s="90">
        <f t="shared" si="69"/>
        <v>550</v>
      </c>
      <c r="BE62" s="90">
        <v>0</v>
      </c>
      <c r="BF62" s="90">
        <f t="shared" si="70"/>
        <v>0</v>
      </c>
      <c r="BH62" s="90">
        <f t="shared" si="71"/>
        <v>0</v>
      </c>
      <c r="BI62" s="90">
        <f t="shared" si="72"/>
        <v>0</v>
      </c>
      <c r="BJ62" s="90">
        <f t="shared" si="73"/>
        <v>0</v>
      </c>
    </row>
    <row r="63" spans="1:47" ht="12.75" hidden="1">
      <c r="A63" s="159"/>
      <c r="B63" s="160" t="s">
        <v>59</v>
      </c>
      <c r="C63" s="160" t="s">
        <v>288</v>
      </c>
      <c r="D63" s="160" t="s">
        <v>481</v>
      </c>
      <c r="E63" s="159" t="s">
        <v>57</v>
      </c>
      <c r="F63" s="159"/>
      <c r="G63" s="159" t="s">
        <v>57</v>
      </c>
      <c r="H63" s="161">
        <f>SUM(H64:H64)</f>
        <v>0</v>
      </c>
      <c r="I63" s="161">
        <f>SUM(I64:I64)</f>
        <v>0</v>
      </c>
      <c r="J63" s="161">
        <f>SUM(J64:J64)</f>
        <v>0</v>
      </c>
      <c r="K63" s="154"/>
      <c r="L63" s="161">
        <f>SUM(L64:L64)</f>
        <v>0</v>
      </c>
      <c r="M63" s="154"/>
      <c r="AI63" s="154" t="s">
        <v>59</v>
      </c>
      <c r="AS63" s="161">
        <f>SUM(AJ64:AJ64)</f>
        <v>0</v>
      </c>
      <c r="AT63" s="161">
        <f>SUM(AK64:AK64)</f>
        <v>0</v>
      </c>
      <c r="AU63" s="161">
        <f>SUM(AL64:AL64)</f>
        <v>0</v>
      </c>
    </row>
    <row r="64" spans="1:62" ht="12.75" hidden="1">
      <c r="A64" s="88" t="s">
        <v>120</v>
      </c>
      <c r="B64" s="88" t="s">
        <v>59</v>
      </c>
      <c r="C64" s="88" t="s">
        <v>289</v>
      </c>
      <c r="D64" s="88" t="s">
        <v>482</v>
      </c>
      <c r="E64" s="88" t="s">
        <v>612</v>
      </c>
      <c r="F64" s="90"/>
      <c r="G64" s="90">
        <v>255</v>
      </c>
      <c r="H64" s="90">
        <f>F64*AO64</f>
        <v>0</v>
      </c>
      <c r="I64" s="90">
        <f>F64*AP64</f>
        <v>0</v>
      </c>
      <c r="J64" s="90">
        <f>F64*G64</f>
        <v>0</v>
      </c>
      <c r="K64" s="90">
        <v>0</v>
      </c>
      <c r="L64" s="90">
        <f>F64*K64</f>
        <v>0</v>
      </c>
      <c r="M64" s="91" t="s">
        <v>622</v>
      </c>
      <c r="Z64" s="90">
        <f>IF(AQ64="5",BJ64,0)</f>
        <v>0</v>
      </c>
      <c r="AB64" s="90">
        <f>IF(AQ64="1",BH64,0)</f>
        <v>0</v>
      </c>
      <c r="AC64" s="90">
        <f>IF(AQ64="1",BI64,0)</f>
        <v>0</v>
      </c>
      <c r="AD64" s="90">
        <f>IF(AQ64="7",BH64,0)</f>
        <v>0</v>
      </c>
      <c r="AE64" s="90">
        <f>IF(AQ64="7",BI64,0)</f>
        <v>0</v>
      </c>
      <c r="AF64" s="90">
        <f>IF(AQ64="2",BH64,0)</f>
        <v>0</v>
      </c>
      <c r="AG64" s="90">
        <f>IF(AQ64="2",BI64,0)</f>
        <v>0</v>
      </c>
      <c r="AH64" s="90">
        <f>IF(AQ64="0",BJ64,0)</f>
        <v>0</v>
      </c>
      <c r="AI64" s="154" t="s">
        <v>59</v>
      </c>
      <c r="AJ64" s="90">
        <f>IF(AN64=0,J64,0)</f>
        <v>0</v>
      </c>
      <c r="AK64" s="90">
        <f>IF(AN64=15,J64,0)</f>
        <v>0</v>
      </c>
      <c r="AL64" s="90">
        <f>IF(AN64=21,J64,0)</f>
        <v>0</v>
      </c>
      <c r="AN64" s="90">
        <v>15</v>
      </c>
      <c r="AO64" s="90">
        <f>G64*0</f>
        <v>0</v>
      </c>
      <c r="AP64" s="90">
        <f>G64*(1-0)</f>
        <v>255</v>
      </c>
      <c r="AQ64" s="91" t="s">
        <v>83</v>
      </c>
      <c r="AV64" s="90">
        <f>AW64+AX64</f>
        <v>0</v>
      </c>
      <c r="AW64" s="90">
        <f>F64*AO64</f>
        <v>0</v>
      </c>
      <c r="AX64" s="90">
        <f>F64*AP64</f>
        <v>0</v>
      </c>
      <c r="AY64" s="91" t="s">
        <v>641</v>
      </c>
      <c r="AZ64" s="91" t="s">
        <v>652</v>
      </c>
      <c r="BA64" s="154" t="s">
        <v>658</v>
      </c>
      <c r="BC64" s="90">
        <f>AW64+AX64</f>
        <v>0</v>
      </c>
      <c r="BD64" s="90">
        <f>G64/(100-BE64)*100</f>
        <v>254.99999999999997</v>
      </c>
      <c r="BE64" s="90">
        <v>0</v>
      </c>
      <c r="BF64" s="90">
        <f>L64</f>
        <v>0</v>
      </c>
      <c r="BH64" s="90">
        <f>F64*AO64</f>
        <v>0</v>
      </c>
      <c r="BI64" s="90">
        <f>F64*AP64</f>
        <v>0</v>
      </c>
      <c r="BJ64" s="90">
        <f>F64*G64</f>
        <v>0</v>
      </c>
    </row>
    <row r="65" spans="1:47" ht="12.75" hidden="1">
      <c r="A65" s="159"/>
      <c r="B65" s="160" t="s">
        <v>59</v>
      </c>
      <c r="C65" s="160" t="s">
        <v>290</v>
      </c>
      <c r="D65" s="160" t="s">
        <v>483</v>
      </c>
      <c r="E65" s="159" t="s">
        <v>57</v>
      </c>
      <c r="F65" s="159"/>
      <c r="G65" s="159" t="s">
        <v>57</v>
      </c>
      <c r="H65" s="161">
        <f>SUM(H66:H75)</f>
        <v>0</v>
      </c>
      <c r="I65" s="161">
        <f>SUM(I66:I75)</f>
        <v>0</v>
      </c>
      <c r="J65" s="161">
        <f>SUM(J66:J75)</f>
        <v>0</v>
      </c>
      <c r="K65" s="154"/>
      <c r="L65" s="161">
        <f>SUM(L66:L75)</f>
        <v>0</v>
      </c>
      <c r="M65" s="154"/>
      <c r="AI65" s="154" t="s">
        <v>59</v>
      </c>
      <c r="AS65" s="161">
        <f>SUM(AJ66:AJ75)</f>
        <v>0</v>
      </c>
      <c r="AT65" s="161">
        <f>SUM(AK66:AK75)</f>
        <v>0</v>
      </c>
      <c r="AU65" s="161">
        <f>SUM(AL66:AL75)</f>
        <v>0</v>
      </c>
    </row>
    <row r="66" spans="1:62" ht="12.75" hidden="1">
      <c r="A66" s="88" t="s">
        <v>121</v>
      </c>
      <c r="B66" s="88" t="s">
        <v>59</v>
      </c>
      <c r="C66" s="88" t="s">
        <v>291</v>
      </c>
      <c r="D66" s="88" t="s">
        <v>484</v>
      </c>
      <c r="E66" s="88" t="s">
        <v>609</v>
      </c>
      <c r="F66" s="90"/>
      <c r="G66" s="90">
        <v>180</v>
      </c>
      <c r="H66" s="90">
        <f aca="true" t="shared" si="74" ref="H66:H75">F66*AO66</f>
        <v>0</v>
      </c>
      <c r="I66" s="90">
        <f aca="true" t="shared" si="75" ref="I66:I75">F66*AP66</f>
        <v>0</v>
      </c>
      <c r="J66" s="90">
        <f aca="true" t="shared" si="76" ref="J66:J75">F66*G66</f>
        <v>0</v>
      </c>
      <c r="K66" s="90">
        <v>0</v>
      </c>
      <c r="L66" s="90">
        <f aca="true" t="shared" si="77" ref="L66:L75">F66*K66</f>
        <v>0</v>
      </c>
      <c r="M66" s="91" t="s">
        <v>622</v>
      </c>
      <c r="Z66" s="90">
        <f aca="true" t="shared" si="78" ref="Z66:Z75">IF(AQ66="5",BJ66,0)</f>
        <v>0</v>
      </c>
      <c r="AB66" s="90">
        <f aca="true" t="shared" si="79" ref="AB66:AB75">IF(AQ66="1",BH66,0)</f>
        <v>0</v>
      </c>
      <c r="AC66" s="90">
        <f aca="true" t="shared" si="80" ref="AC66:AC75">IF(AQ66="1",BI66,0)</f>
        <v>0</v>
      </c>
      <c r="AD66" s="90">
        <f aca="true" t="shared" si="81" ref="AD66:AD75">IF(AQ66="7",BH66,0)</f>
        <v>0</v>
      </c>
      <c r="AE66" s="90">
        <f aca="true" t="shared" si="82" ref="AE66:AE75">IF(AQ66="7",BI66,0)</f>
        <v>0</v>
      </c>
      <c r="AF66" s="90">
        <f aca="true" t="shared" si="83" ref="AF66:AF75">IF(AQ66="2",BH66,0)</f>
        <v>0</v>
      </c>
      <c r="AG66" s="90">
        <f aca="true" t="shared" si="84" ref="AG66:AG75">IF(AQ66="2",BI66,0)</f>
        <v>0</v>
      </c>
      <c r="AH66" s="90">
        <f aca="true" t="shared" si="85" ref="AH66:AH75">IF(AQ66="0",BJ66,0)</f>
        <v>0</v>
      </c>
      <c r="AI66" s="154" t="s">
        <v>59</v>
      </c>
      <c r="AJ66" s="90">
        <f aca="true" t="shared" si="86" ref="AJ66:AJ75">IF(AN66=0,J66,0)</f>
        <v>0</v>
      </c>
      <c r="AK66" s="90">
        <f aca="true" t="shared" si="87" ref="AK66:AK75">IF(AN66=15,J66,0)</f>
        <v>0</v>
      </c>
      <c r="AL66" s="90">
        <f aca="true" t="shared" si="88" ref="AL66:AL75">IF(AN66=21,J66,0)</f>
        <v>0</v>
      </c>
      <c r="AN66" s="90">
        <v>15</v>
      </c>
      <c r="AO66" s="90">
        <f aca="true" t="shared" si="89" ref="AO66:AO75">G66*0</f>
        <v>0</v>
      </c>
      <c r="AP66" s="90">
        <f aca="true" t="shared" si="90" ref="AP66:AP75">G66*(1-0)</f>
        <v>180</v>
      </c>
      <c r="AQ66" s="91" t="s">
        <v>85</v>
      </c>
      <c r="AV66" s="90">
        <f aca="true" t="shared" si="91" ref="AV66:AV75">AW66+AX66</f>
        <v>0</v>
      </c>
      <c r="AW66" s="90">
        <f aca="true" t="shared" si="92" ref="AW66:AW75">F66*AO66</f>
        <v>0</v>
      </c>
      <c r="AX66" s="90">
        <f aca="true" t="shared" si="93" ref="AX66:AX75">F66*AP66</f>
        <v>0</v>
      </c>
      <c r="AY66" s="91" t="s">
        <v>642</v>
      </c>
      <c r="AZ66" s="91" t="s">
        <v>653</v>
      </c>
      <c r="BA66" s="154" t="s">
        <v>658</v>
      </c>
      <c r="BC66" s="90">
        <f aca="true" t="shared" si="94" ref="BC66:BC75">AW66+AX66</f>
        <v>0</v>
      </c>
      <c r="BD66" s="90">
        <f aca="true" t="shared" si="95" ref="BD66:BD75">G66/(100-BE66)*100</f>
        <v>180</v>
      </c>
      <c r="BE66" s="90">
        <v>0</v>
      </c>
      <c r="BF66" s="90">
        <f aca="true" t="shared" si="96" ref="BF66:BF75">L66</f>
        <v>0</v>
      </c>
      <c r="BH66" s="90">
        <f aca="true" t="shared" si="97" ref="BH66:BH75">F66*AO66</f>
        <v>0</v>
      </c>
      <c r="BI66" s="90">
        <f aca="true" t="shared" si="98" ref="BI66:BI75">F66*AP66</f>
        <v>0</v>
      </c>
      <c r="BJ66" s="90">
        <f aca="true" t="shared" si="99" ref="BJ66:BJ75">F66*G66</f>
        <v>0</v>
      </c>
    </row>
    <row r="67" spans="1:62" ht="12.75" hidden="1">
      <c r="A67" s="88" t="s">
        <v>122</v>
      </c>
      <c r="B67" s="88" t="s">
        <v>59</v>
      </c>
      <c r="C67" s="88" t="s">
        <v>292</v>
      </c>
      <c r="D67" s="88" t="s">
        <v>485</v>
      </c>
      <c r="E67" s="88" t="s">
        <v>609</v>
      </c>
      <c r="F67" s="90"/>
      <c r="G67" s="90">
        <v>45</v>
      </c>
      <c r="H67" s="90">
        <f t="shared" si="74"/>
        <v>0</v>
      </c>
      <c r="I67" s="90">
        <f t="shared" si="75"/>
        <v>0</v>
      </c>
      <c r="J67" s="90">
        <f t="shared" si="76"/>
        <v>0</v>
      </c>
      <c r="K67" s="90">
        <v>0</v>
      </c>
      <c r="L67" s="90">
        <f t="shared" si="77"/>
        <v>0</v>
      </c>
      <c r="M67" s="91" t="s">
        <v>622</v>
      </c>
      <c r="Z67" s="90">
        <f t="shared" si="78"/>
        <v>0</v>
      </c>
      <c r="AB67" s="90">
        <f t="shared" si="79"/>
        <v>0</v>
      </c>
      <c r="AC67" s="90">
        <f t="shared" si="80"/>
        <v>0</v>
      </c>
      <c r="AD67" s="90">
        <f t="shared" si="81"/>
        <v>0</v>
      </c>
      <c r="AE67" s="90">
        <f t="shared" si="82"/>
        <v>0</v>
      </c>
      <c r="AF67" s="90">
        <f t="shared" si="83"/>
        <v>0</v>
      </c>
      <c r="AG67" s="90">
        <f t="shared" si="84"/>
        <v>0</v>
      </c>
      <c r="AH67" s="90">
        <f t="shared" si="85"/>
        <v>0</v>
      </c>
      <c r="AI67" s="154" t="s">
        <v>59</v>
      </c>
      <c r="AJ67" s="90">
        <f t="shared" si="86"/>
        <v>0</v>
      </c>
      <c r="AK67" s="90">
        <f t="shared" si="87"/>
        <v>0</v>
      </c>
      <c r="AL67" s="90">
        <f t="shared" si="88"/>
        <v>0</v>
      </c>
      <c r="AN67" s="90">
        <v>15</v>
      </c>
      <c r="AO67" s="90">
        <f t="shared" si="89"/>
        <v>0</v>
      </c>
      <c r="AP67" s="90">
        <f t="shared" si="90"/>
        <v>45</v>
      </c>
      <c r="AQ67" s="91" t="s">
        <v>85</v>
      </c>
      <c r="AV67" s="90">
        <f t="shared" si="91"/>
        <v>0</v>
      </c>
      <c r="AW67" s="90">
        <f t="shared" si="92"/>
        <v>0</v>
      </c>
      <c r="AX67" s="90">
        <f t="shared" si="93"/>
        <v>0</v>
      </c>
      <c r="AY67" s="91" t="s">
        <v>642</v>
      </c>
      <c r="AZ67" s="91" t="s">
        <v>653</v>
      </c>
      <c r="BA67" s="154" t="s">
        <v>658</v>
      </c>
      <c r="BC67" s="90">
        <f t="shared" si="94"/>
        <v>0</v>
      </c>
      <c r="BD67" s="90">
        <f t="shared" si="95"/>
        <v>45</v>
      </c>
      <c r="BE67" s="90">
        <v>0</v>
      </c>
      <c r="BF67" s="90">
        <f t="shared" si="96"/>
        <v>0</v>
      </c>
      <c r="BH67" s="90">
        <f t="shared" si="97"/>
        <v>0</v>
      </c>
      <c r="BI67" s="90">
        <f t="shared" si="98"/>
        <v>0</v>
      </c>
      <c r="BJ67" s="90">
        <f t="shared" si="99"/>
        <v>0</v>
      </c>
    </row>
    <row r="68" spans="1:62" ht="12.75" hidden="1">
      <c r="A68" s="88" t="s">
        <v>123</v>
      </c>
      <c r="B68" s="88" t="s">
        <v>59</v>
      </c>
      <c r="C68" s="88" t="s">
        <v>293</v>
      </c>
      <c r="D68" s="88" t="s">
        <v>486</v>
      </c>
      <c r="E68" s="88" t="s">
        <v>606</v>
      </c>
      <c r="F68" s="90"/>
      <c r="G68" s="90">
        <v>50</v>
      </c>
      <c r="H68" s="90">
        <f t="shared" si="74"/>
        <v>0</v>
      </c>
      <c r="I68" s="90">
        <f t="shared" si="75"/>
        <v>0</v>
      </c>
      <c r="J68" s="90">
        <f t="shared" si="76"/>
        <v>0</v>
      </c>
      <c r="K68" s="90">
        <v>0</v>
      </c>
      <c r="L68" s="90">
        <f t="shared" si="77"/>
        <v>0</v>
      </c>
      <c r="M68" s="91" t="s">
        <v>622</v>
      </c>
      <c r="Z68" s="90">
        <f t="shared" si="78"/>
        <v>0</v>
      </c>
      <c r="AB68" s="90">
        <f t="shared" si="79"/>
        <v>0</v>
      </c>
      <c r="AC68" s="90">
        <f t="shared" si="80"/>
        <v>0</v>
      </c>
      <c r="AD68" s="90">
        <f t="shared" si="81"/>
        <v>0</v>
      </c>
      <c r="AE68" s="90">
        <f t="shared" si="82"/>
        <v>0</v>
      </c>
      <c r="AF68" s="90">
        <f t="shared" si="83"/>
        <v>0</v>
      </c>
      <c r="AG68" s="90">
        <f t="shared" si="84"/>
        <v>0</v>
      </c>
      <c r="AH68" s="90">
        <f t="shared" si="85"/>
        <v>0</v>
      </c>
      <c r="AI68" s="154" t="s">
        <v>59</v>
      </c>
      <c r="AJ68" s="90">
        <f t="shared" si="86"/>
        <v>0</v>
      </c>
      <c r="AK68" s="90">
        <f t="shared" si="87"/>
        <v>0</v>
      </c>
      <c r="AL68" s="90">
        <f t="shared" si="88"/>
        <v>0</v>
      </c>
      <c r="AN68" s="90">
        <v>15</v>
      </c>
      <c r="AO68" s="90">
        <f t="shared" si="89"/>
        <v>0</v>
      </c>
      <c r="AP68" s="90">
        <f t="shared" si="90"/>
        <v>50</v>
      </c>
      <c r="AQ68" s="91" t="s">
        <v>85</v>
      </c>
      <c r="AV68" s="90">
        <f t="shared" si="91"/>
        <v>0</v>
      </c>
      <c r="AW68" s="90">
        <f t="shared" si="92"/>
        <v>0</v>
      </c>
      <c r="AX68" s="90">
        <f t="shared" si="93"/>
        <v>0</v>
      </c>
      <c r="AY68" s="91" t="s">
        <v>642</v>
      </c>
      <c r="AZ68" s="91" t="s">
        <v>653</v>
      </c>
      <c r="BA68" s="154" t="s">
        <v>658</v>
      </c>
      <c r="BC68" s="90">
        <f t="shared" si="94"/>
        <v>0</v>
      </c>
      <c r="BD68" s="90">
        <f t="shared" si="95"/>
        <v>50</v>
      </c>
      <c r="BE68" s="90">
        <v>0</v>
      </c>
      <c r="BF68" s="90">
        <f t="shared" si="96"/>
        <v>0</v>
      </c>
      <c r="BH68" s="90">
        <f t="shared" si="97"/>
        <v>0</v>
      </c>
      <c r="BI68" s="90">
        <f t="shared" si="98"/>
        <v>0</v>
      </c>
      <c r="BJ68" s="90">
        <f t="shared" si="99"/>
        <v>0</v>
      </c>
    </row>
    <row r="69" spans="1:62" ht="12.75" hidden="1">
      <c r="A69" s="88" t="s">
        <v>124</v>
      </c>
      <c r="B69" s="88" t="s">
        <v>59</v>
      </c>
      <c r="C69" s="88" t="s">
        <v>294</v>
      </c>
      <c r="D69" s="88" t="s">
        <v>487</v>
      </c>
      <c r="E69" s="88" t="s">
        <v>606</v>
      </c>
      <c r="F69" s="90"/>
      <c r="G69" s="90">
        <v>250</v>
      </c>
      <c r="H69" s="90">
        <f t="shared" si="74"/>
        <v>0</v>
      </c>
      <c r="I69" s="90">
        <f t="shared" si="75"/>
        <v>0</v>
      </c>
      <c r="J69" s="90">
        <f t="shared" si="76"/>
        <v>0</v>
      </c>
      <c r="K69" s="90">
        <v>0</v>
      </c>
      <c r="L69" s="90">
        <f t="shared" si="77"/>
        <v>0</v>
      </c>
      <c r="M69" s="91" t="s">
        <v>622</v>
      </c>
      <c r="Z69" s="90">
        <f t="shared" si="78"/>
        <v>0</v>
      </c>
      <c r="AB69" s="90">
        <f t="shared" si="79"/>
        <v>0</v>
      </c>
      <c r="AC69" s="90">
        <f t="shared" si="80"/>
        <v>0</v>
      </c>
      <c r="AD69" s="90">
        <f t="shared" si="81"/>
        <v>0</v>
      </c>
      <c r="AE69" s="90">
        <f t="shared" si="82"/>
        <v>0</v>
      </c>
      <c r="AF69" s="90">
        <f t="shared" si="83"/>
        <v>0</v>
      </c>
      <c r="AG69" s="90">
        <f t="shared" si="84"/>
        <v>0</v>
      </c>
      <c r="AH69" s="90">
        <f t="shared" si="85"/>
        <v>0</v>
      </c>
      <c r="AI69" s="154" t="s">
        <v>59</v>
      </c>
      <c r="AJ69" s="90">
        <f t="shared" si="86"/>
        <v>0</v>
      </c>
      <c r="AK69" s="90">
        <f t="shared" si="87"/>
        <v>0</v>
      </c>
      <c r="AL69" s="90">
        <f t="shared" si="88"/>
        <v>0</v>
      </c>
      <c r="AN69" s="90">
        <v>15</v>
      </c>
      <c r="AO69" s="90">
        <f t="shared" si="89"/>
        <v>0</v>
      </c>
      <c r="AP69" s="90">
        <f t="shared" si="90"/>
        <v>250</v>
      </c>
      <c r="AQ69" s="91" t="s">
        <v>85</v>
      </c>
      <c r="AV69" s="90">
        <f t="shared" si="91"/>
        <v>0</v>
      </c>
      <c r="AW69" s="90">
        <f t="shared" si="92"/>
        <v>0</v>
      </c>
      <c r="AX69" s="90">
        <f t="shared" si="93"/>
        <v>0</v>
      </c>
      <c r="AY69" s="91" t="s">
        <v>642</v>
      </c>
      <c r="AZ69" s="91" t="s">
        <v>653</v>
      </c>
      <c r="BA69" s="154" t="s">
        <v>658</v>
      </c>
      <c r="BC69" s="90">
        <f t="shared" si="94"/>
        <v>0</v>
      </c>
      <c r="BD69" s="90">
        <f t="shared" si="95"/>
        <v>250</v>
      </c>
      <c r="BE69" s="90">
        <v>0</v>
      </c>
      <c r="BF69" s="90">
        <f t="shared" si="96"/>
        <v>0</v>
      </c>
      <c r="BH69" s="90">
        <f t="shared" si="97"/>
        <v>0</v>
      </c>
      <c r="BI69" s="90">
        <f t="shared" si="98"/>
        <v>0</v>
      </c>
      <c r="BJ69" s="90">
        <f t="shared" si="99"/>
        <v>0</v>
      </c>
    </row>
    <row r="70" spans="1:62" ht="12.75" hidden="1">
      <c r="A70" s="88" t="s">
        <v>125</v>
      </c>
      <c r="B70" s="88" t="s">
        <v>59</v>
      </c>
      <c r="C70" s="88" t="s">
        <v>295</v>
      </c>
      <c r="D70" s="88" t="s">
        <v>488</v>
      </c>
      <c r="E70" s="88" t="s">
        <v>606</v>
      </c>
      <c r="F70" s="90"/>
      <c r="G70" s="90">
        <v>250</v>
      </c>
      <c r="H70" s="90">
        <f t="shared" si="74"/>
        <v>0</v>
      </c>
      <c r="I70" s="90">
        <f t="shared" si="75"/>
        <v>0</v>
      </c>
      <c r="J70" s="90">
        <f t="shared" si="76"/>
        <v>0</v>
      </c>
      <c r="K70" s="90">
        <v>0</v>
      </c>
      <c r="L70" s="90">
        <f t="shared" si="77"/>
        <v>0</v>
      </c>
      <c r="M70" s="91" t="s">
        <v>622</v>
      </c>
      <c r="Z70" s="90">
        <f t="shared" si="78"/>
        <v>0</v>
      </c>
      <c r="AB70" s="90">
        <f t="shared" si="79"/>
        <v>0</v>
      </c>
      <c r="AC70" s="90">
        <f t="shared" si="80"/>
        <v>0</v>
      </c>
      <c r="AD70" s="90">
        <f t="shared" si="81"/>
        <v>0</v>
      </c>
      <c r="AE70" s="90">
        <f t="shared" si="82"/>
        <v>0</v>
      </c>
      <c r="AF70" s="90">
        <f t="shared" si="83"/>
        <v>0</v>
      </c>
      <c r="AG70" s="90">
        <f t="shared" si="84"/>
        <v>0</v>
      </c>
      <c r="AH70" s="90">
        <f t="shared" si="85"/>
        <v>0</v>
      </c>
      <c r="AI70" s="154" t="s">
        <v>59</v>
      </c>
      <c r="AJ70" s="90">
        <f t="shared" si="86"/>
        <v>0</v>
      </c>
      <c r="AK70" s="90">
        <f t="shared" si="87"/>
        <v>0</v>
      </c>
      <c r="AL70" s="90">
        <f t="shared" si="88"/>
        <v>0</v>
      </c>
      <c r="AN70" s="90">
        <v>15</v>
      </c>
      <c r="AO70" s="90">
        <f t="shared" si="89"/>
        <v>0</v>
      </c>
      <c r="AP70" s="90">
        <f t="shared" si="90"/>
        <v>250</v>
      </c>
      <c r="AQ70" s="91" t="s">
        <v>85</v>
      </c>
      <c r="AV70" s="90">
        <f t="shared" si="91"/>
        <v>0</v>
      </c>
      <c r="AW70" s="90">
        <f t="shared" si="92"/>
        <v>0</v>
      </c>
      <c r="AX70" s="90">
        <f t="shared" si="93"/>
        <v>0</v>
      </c>
      <c r="AY70" s="91" t="s">
        <v>642</v>
      </c>
      <c r="AZ70" s="91" t="s">
        <v>653</v>
      </c>
      <c r="BA70" s="154" t="s">
        <v>658</v>
      </c>
      <c r="BC70" s="90">
        <f t="shared" si="94"/>
        <v>0</v>
      </c>
      <c r="BD70" s="90">
        <f t="shared" si="95"/>
        <v>250</v>
      </c>
      <c r="BE70" s="90">
        <v>0</v>
      </c>
      <c r="BF70" s="90">
        <f t="shared" si="96"/>
        <v>0</v>
      </c>
      <c r="BH70" s="90">
        <f t="shared" si="97"/>
        <v>0</v>
      </c>
      <c r="BI70" s="90">
        <f t="shared" si="98"/>
        <v>0</v>
      </c>
      <c r="BJ70" s="90">
        <f t="shared" si="99"/>
        <v>0</v>
      </c>
    </row>
    <row r="71" spans="1:62" ht="12.75" hidden="1">
      <c r="A71" s="88" t="s">
        <v>126</v>
      </c>
      <c r="B71" s="88" t="s">
        <v>59</v>
      </c>
      <c r="C71" s="88" t="s">
        <v>296</v>
      </c>
      <c r="D71" s="88" t="s">
        <v>489</v>
      </c>
      <c r="E71" s="88" t="s">
        <v>606</v>
      </c>
      <c r="F71" s="90"/>
      <c r="G71" s="90">
        <v>150</v>
      </c>
      <c r="H71" s="90">
        <f t="shared" si="74"/>
        <v>0</v>
      </c>
      <c r="I71" s="90">
        <f t="shared" si="75"/>
        <v>0</v>
      </c>
      <c r="J71" s="90">
        <f t="shared" si="76"/>
        <v>0</v>
      </c>
      <c r="K71" s="90">
        <v>0</v>
      </c>
      <c r="L71" s="90">
        <f t="shared" si="77"/>
        <v>0</v>
      </c>
      <c r="M71" s="91" t="s">
        <v>622</v>
      </c>
      <c r="Z71" s="90">
        <f t="shared" si="78"/>
        <v>0</v>
      </c>
      <c r="AB71" s="90">
        <f t="shared" si="79"/>
        <v>0</v>
      </c>
      <c r="AC71" s="90">
        <f t="shared" si="80"/>
        <v>0</v>
      </c>
      <c r="AD71" s="90">
        <f t="shared" si="81"/>
        <v>0</v>
      </c>
      <c r="AE71" s="90">
        <f t="shared" si="82"/>
        <v>0</v>
      </c>
      <c r="AF71" s="90">
        <f t="shared" si="83"/>
        <v>0</v>
      </c>
      <c r="AG71" s="90">
        <f t="shared" si="84"/>
        <v>0</v>
      </c>
      <c r="AH71" s="90">
        <f t="shared" si="85"/>
        <v>0</v>
      </c>
      <c r="AI71" s="154" t="s">
        <v>59</v>
      </c>
      <c r="AJ71" s="90">
        <f t="shared" si="86"/>
        <v>0</v>
      </c>
      <c r="AK71" s="90">
        <f t="shared" si="87"/>
        <v>0</v>
      </c>
      <c r="AL71" s="90">
        <f t="shared" si="88"/>
        <v>0</v>
      </c>
      <c r="AN71" s="90">
        <v>15</v>
      </c>
      <c r="AO71" s="90">
        <f t="shared" si="89"/>
        <v>0</v>
      </c>
      <c r="AP71" s="90">
        <f t="shared" si="90"/>
        <v>150</v>
      </c>
      <c r="AQ71" s="91" t="s">
        <v>85</v>
      </c>
      <c r="AV71" s="90">
        <f t="shared" si="91"/>
        <v>0</v>
      </c>
      <c r="AW71" s="90">
        <f t="shared" si="92"/>
        <v>0</v>
      </c>
      <c r="AX71" s="90">
        <f t="shared" si="93"/>
        <v>0</v>
      </c>
      <c r="AY71" s="91" t="s">
        <v>642</v>
      </c>
      <c r="AZ71" s="91" t="s">
        <v>653</v>
      </c>
      <c r="BA71" s="154" t="s">
        <v>658</v>
      </c>
      <c r="BC71" s="90">
        <f t="shared" si="94"/>
        <v>0</v>
      </c>
      <c r="BD71" s="90">
        <f t="shared" si="95"/>
        <v>150</v>
      </c>
      <c r="BE71" s="90">
        <v>0</v>
      </c>
      <c r="BF71" s="90">
        <f t="shared" si="96"/>
        <v>0</v>
      </c>
      <c r="BH71" s="90">
        <f t="shared" si="97"/>
        <v>0</v>
      </c>
      <c r="BI71" s="90">
        <f t="shared" si="98"/>
        <v>0</v>
      </c>
      <c r="BJ71" s="90">
        <f t="shared" si="99"/>
        <v>0</v>
      </c>
    </row>
    <row r="72" spans="1:62" ht="12.75" hidden="1">
      <c r="A72" s="88" t="s">
        <v>127</v>
      </c>
      <c r="B72" s="88" t="s">
        <v>59</v>
      </c>
      <c r="C72" s="88" t="s">
        <v>297</v>
      </c>
      <c r="D72" s="88" t="s">
        <v>490</v>
      </c>
      <c r="E72" s="88" t="s">
        <v>606</v>
      </c>
      <c r="F72" s="90"/>
      <c r="G72" s="90">
        <v>150</v>
      </c>
      <c r="H72" s="90">
        <f t="shared" si="74"/>
        <v>0</v>
      </c>
      <c r="I72" s="90">
        <f t="shared" si="75"/>
        <v>0</v>
      </c>
      <c r="J72" s="90">
        <f t="shared" si="76"/>
        <v>0</v>
      </c>
      <c r="K72" s="90">
        <v>0</v>
      </c>
      <c r="L72" s="90">
        <f t="shared" si="77"/>
        <v>0</v>
      </c>
      <c r="M72" s="91" t="s">
        <v>622</v>
      </c>
      <c r="Z72" s="90">
        <f t="shared" si="78"/>
        <v>0</v>
      </c>
      <c r="AB72" s="90">
        <f t="shared" si="79"/>
        <v>0</v>
      </c>
      <c r="AC72" s="90">
        <f t="shared" si="80"/>
        <v>0</v>
      </c>
      <c r="AD72" s="90">
        <f t="shared" si="81"/>
        <v>0</v>
      </c>
      <c r="AE72" s="90">
        <f t="shared" si="82"/>
        <v>0</v>
      </c>
      <c r="AF72" s="90">
        <f t="shared" si="83"/>
        <v>0</v>
      </c>
      <c r="AG72" s="90">
        <f t="shared" si="84"/>
        <v>0</v>
      </c>
      <c r="AH72" s="90">
        <f t="shared" si="85"/>
        <v>0</v>
      </c>
      <c r="AI72" s="154" t="s">
        <v>59</v>
      </c>
      <c r="AJ72" s="90">
        <f t="shared" si="86"/>
        <v>0</v>
      </c>
      <c r="AK72" s="90">
        <f t="shared" si="87"/>
        <v>0</v>
      </c>
      <c r="AL72" s="90">
        <f t="shared" si="88"/>
        <v>0</v>
      </c>
      <c r="AN72" s="90">
        <v>15</v>
      </c>
      <c r="AO72" s="90">
        <f t="shared" si="89"/>
        <v>0</v>
      </c>
      <c r="AP72" s="90">
        <f t="shared" si="90"/>
        <v>150</v>
      </c>
      <c r="AQ72" s="91" t="s">
        <v>85</v>
      </c>
      <c r="AV72" s="90">
        <f t="shared" si="91"/>
        <v>0</v>
      </c>
      <c r="AW72" s="90">
        <f t="shared" si="92"/>
        <v>0</v>
      </c>
      <c r="AX72" s="90">
        <f t="shared" si="93"/>
        <v>0</v>
      </c>
      <c r="AY72" s="91" t="s">
        <v>642</v>
      </c>
      <c r="AZ72" s="91" t="s">
        <v>653</v>
      </c>
      <c r="BA72" s="154" t="s">
        <v>658</v>
      </c>
      <c r="BC72" s="90">
        <f t="shared" si="94"/>
        <v>0</v>
      </c>
      <c r="BD72" s="90">
        <f t="shared" si="95"/>
        <v>150</v>
      </c>
      <c r="BE72" s="90">
        <v>0</v>
      </c>
      <c r="BF72" s="90">
        <f t="shared" si="96"/>
        <v>0</v>
      </c>
      <c r="BH72" s="90">
        <f t="shared" si="97"/>
        <v>0</v>
      </c>
      <c r="BI72" s="90">
        <f t="shared" si="98"/>
        <v>0</v>
      </c>
      <c r="BJ72" s="90">
        <f t="shared" si="99"/>
        <v>0</v>
      </c>
    </row>
    <row r="73" spans="1:62" ht="12.75" hidden="1">
      <c r="A73" s="88" t="s">
        <v>128</v>
      </c>
      <c r="B73" s="88" t="s">
        <v>59</v>
      </c>
      <c r="C73" s="88" t="s">
        <v>298</v>
      </c>
      <c r="D73" s="88" t="s">
        <v>491</v>
      </c>
      <c r="E73" s="88" t="s">
        <v>606</v>
      </c>
      <c r="F73" s="90"/>
      <c r="G73" s="90">
        <v>200</v>
      </c>
      <c r="H73" s="90">
        <f t="shared" si="74"/>
        <v>0</v>
      </c>
      <c r="I73" s="90">
        <f t="shared" si="75"/>
        <v>0</v>
      </c>
      <c r="J73" s="90">
        <f t="shared" si="76"/>
        <v>0</v>
      </c>
      <c r="K73" s="90">
        <v>0</v>
      </c>
      <c r="L73" s="90">
        <f t="shared" si="77"/>
        <v>0</v>
      </c>
      <c r="M73" s="91" t="s">
        <v>622</v>
      </c>
      <c r="Z73" s="90">
        <f t="shared" si="78"/>
        <v>0</v>
      </c>
      <c r="AB73" s="90">
        <f t="shared" si="79"/>
        <v>0</v>
      </c>
      <c r="AC73" s="90">
        <f t="shared" si="80"/>
        <v>0</v>
      </c>
      <c r="AD73" s="90">
        <f t="shared" si="81"/>
        <v>0</v>
      </c>
      <c r="AE73" s="90">
        <f t="shared" si="82"/>
        <v>0</v>
      </c>
      <c r="AF73" s="90">
        <f t="shared" si="83"/>
        <v>0</v>
      </c>
      <c r="AG73" s="90">
        <f t="shared" si="84"/>
        <v>0</v>
      </c>
      <c r="AH73" s="90">
        <f t="shared" si="85"/>
        <v>0</v>
      </c>
      <c r="AI73" s="154" t="s">
        <v>59</v>
      </c>
      <c r="AJ73" s="90">
        <f t="shared" si="86"/>
        <v>0</v>
      </c>
      <c r="AK73" s="90">
        <f t="shared" si="87"/>
        <v>0</v>
      </c>
      <c r="AL73" s="90">
        <f t="shared" si="88"/>
        <v>0</v>
      </c>
      <c r="AN73" s="90">
        <v>15</v>
      </c>
      <c r="AO73" s="90">
        <f t="shared" si="89"/>
        <v>0</v>
      </c>
      <c r="AP73" s="90">
        <f t="shared" si="90"/>
        <v>200</v>
      </c>
      <c r="AQ73" s="91" t="s">
        <v>85</v>
      </c>
      <c r="AV73" s="90">
        <f t="shared" si="91"/>
        <v>0</v>
      </c>
      <c r="AW73" s="90">
        <f t="shared" si="92"/>
        <v>0</v>
      </c>
      <c r="AX73" s="90">
        <f t="shared" si="93"/>
        <v>0</v>
      </c>
      <c r="AY73" s="91" t="s">
        <v>642</v>
      </c>
      <c r="AZ73" s="91" t="s">
        <v>653</v>
      </c>
      <c r="BA73" s="154" t="s">
        <v>658</v>
      </c>
      <c r="BC73" s="90">
        <f t="shared" si="94"/>
        <v>0</v>
      </c>
      <c r="BD73" s="90">
        <f t="shared" si="95"/>
        <v>200</v>
      </c>
      <c r="BE73" s="90">
        <v>0</v>
      </c>
      <c r="BF73" s="90">
        <f t="shared" si="96"/>
        <v>0</v>
      </c>
      <c r="BH73" s="90">
        <f t="shared" si="97"/>
        <v>0</v>
      </c>
      <c r="BI73" s="90">
        <f t="shared" si="98"/>
        <v>0</v>
      </c>
      <c r="BJ73" s="90">
        <f t="shared" si="99"/>
        <v>0</v>
      </c>
    </row>
    <row r="74" spans="1:62" ht="12.75" hidden="1">
      <c r="A74" s="88" t="s">
        <v>129</v>
      </c>
      <c r="B74" s="88" t="s">
        <v>59</v>
      </c>
      <c r="C74" s="88" t="s">
        <v>299</v>
      </c>
      <c r="D74" s="88" t="s">
        <v>492</v>
      </c>
      <c r="E74" s="88" t="s">
        <v>606</v>
      </c>
      <c r="F74" s="90"/>
      <c r="G74" s="90">
        <v>200</v>
      </c>
      <c r="H74" s="90">
        <f t="shared" si="74"/>
        <v>0</v>
      </c>
      <c r="I74" s="90">
        <f t="shared" si="75"/>
        <v>0</v>
      </c>
      <c r="J74" s="90">
        <f t="shared" si="76"/>
        <v>0</v>
      </c>
      <c r="K74" s="90">
        <v>0</v>
      </c>
      <c r="L74" s="90">
        <f t="shared" si="77"/>
        <v>0</v>
      </c>
      <c r="M74" s="91" t="s">
        <v>622</v>
      </c>
      <c r="Z74" s="90">
        <f t="shared" si="78"/>
        <v>0</v>
      </c>
      <c r="AB74" s="90">
        <f t="shared" si="79"/>
        <v>0</v>
      </c>
      <c r="AC74" s="90">
        <f t="shared" si="80"/>
        <v>0</v>
      </c>
      <c r="AD74" s="90">
        <f t="shared" si="81"/>
        <v>0</v>
      </c>
      <c r="AE74" s="90">
        <f t="shared" si="82"/>
        <v>0</v>
      </c>
      <c r="AF74" s="90">
        <f t="shared" si="83"/>
        <v>0</v>
      </c>
      <c r="AG74" s="90">
        <f t="shared" si="84"/>
        <v>0</v>
      </c>
      <c r="AH74" s="90">
        <f t="shared" si="85"/>
        <v>0</v>
      </c>
      <c r="AI74" s="154" t="s">
        <v>59</v>
      </c>
      <c r="AJ74" s="90">
        <f t="shared" si="86"/>
        <v>0</v>
      </c>
      <c r="AK74" s="90">
        <f t="shared" si="87"/>
        <v>0</v>
      </c>
      <c r="AL74" s="90">
        <f t="shared" si="88"/>
        <v>0</v>
      </c>
      <c r="AN74" s="90">
        <v>15</v>
      </c>
      <c r="AO74" s="90">
        <f t="shared" si="89"/>
        <v>0</v>
      </c>
      <c r="AP74" s="90">
        <f t="shared" si="90"/>
        <v>200</v>
      </c>
      <c r="AQ74" s="91" t="s">
        <v>85</v>
      </c>
      <c r="AV74" s="90">
        <f t="shared" si="91"/>
        <v>0</v>
      </c>
      <c r="AW74" s="90">
        <f t="shared" si="92"/>
        <v>0</v>
      </c>
      <c r="AX74" s="90">
        <f t="shared" si="93"/>
        <v>0</v>
      </c>
      <c r="AY74" s="91" t="s">
        <v>642</v>
      </c>
      <c r="AZ74" s="91" t="s">
        <v>653</v>
      </c>
      <c r="BA74" s="154" t="s">
        <v>658</v>
      </c>
      <c r="BC74" s="90">
        <f t="shared" si="94"/>
        <v>0</v>
      </c>
      <c r="BD74" s="90">
        <f t="shared" si="95"/>
        <v>200</v>
      </c>
      <c r="BE74" s="90">
        <v>0</v>
      </c>
      <c r="BF74" s="90">
        <f t="shared" si="96"/>
        <v>0</v>
      </c>
      <c r="BH74" s="90">
        <f t="shared" si="97"/>
        <v>0</v>
      </c>
      <c r="BI74" s="90">
        <f t="shared" si="98"/>
        <v>0</v>
      </c>
      <c r="BJ74" s="90">
        <f t="shared" si="99"/>
        <v>0</v>
      </c>
    </row>
    <row r="75" spans="1:62" ht="12.75" hidden="1">
      <c r="A75" s="88" t="s">
        <v>130</v>
      </c>
      <c r="B75" s="88" t="s">
        <v>59</v>
      </c>
      <c r="C75" s="88" t="s">
        <v>300</v>
      </c>
      <c r="D75" s="88" t="s">
        <v>493</v>
      </c>
      <c r="E75" s="88" t="s">
        <v>606</v>
      </c>
      <c r="F75" s="90"/>
      <c r="G75" s="90">
        <v>100</v>
      </c>
      <c r="H75" s="90">
        <f t="shared" si="74"/>
        <v>0</v>
      </c>
      <c r="I75" s="90">
        <f t="shared" si="75"/>
        <v>0</v>
      </c>
      <c r="J75" s="90">
        <f t="shared" si="76"/>
        <v>0</v>
      </c>
      <c r="K75" s="90">
        <v>0</v>
      </c>
      <c r="L75" s="90">
        <f t="shared" si="77"/>
        <v>0</v>
      </c>
      <c r="M75" s="91" t="s">
        <v>622</v>
      </c>
      <c r="Z75" s="90">
        <f t="shared" si="78"/>
        <v>0</v>
      </c>
      <c r="AB75" s="90">
        <f t="shared" si="79"/>
        <v>0</v>
      </c>
      <c r="AC75" s="90">
        <f t="shared" si="80"/>
        <v>0</v>
      </c>
      <c r="AD75" s="90">
        <f t="shared" si="81"/>
        <v>0</v>
      </c>
      <c r="AE75" s="90">
        <f t="shared" si="82"/>
        <v>0</v>
      </c>
      <c r="AF75" s="90">
        <f t="shared" si="83"/>
        <v>0</v>
      </c>
      <c r="AG75" s="90">
        <f t="shared" si="84"/>
        <v>0</v>
      </c>
      <c r="AH75" s="90">
        <f t="shared" si="85"/>
        <v>0</v>
      </c>
      <c r="AI75" s="154" t="s">
        <v>59</v>
      </c>
      <c r="AJ75" s="90">
        <f t="shared" si="86"/>
        <v>0</v>
      </c>
      <c r="AK75" s="90">
        <f t="shared" si="87"/>
        <v>0</v>
      </c>
      <c r="AL75" s="90">
        <f t="shared" si="88"/>
        <v>0</v>
      </c>
      <c r="AN75" s="90">
        <v>15</v>
      </c>
      <c r="AO75" s="90">
        <f t="shared" si="89"/>
        <v>0</v>
      </c>
      <c r="AP75" s="90">
        <f t="shared" si="90"/>
        <v>100</v>
      </c>
      <c r="AQ75" s="91" t="s">
        <v>85</v>
      </c>
      <c r="AV75" s="90">
        <f t="shared" si="91"/>
        <v>0</v>
      </c>
      <c r="AW75" s="90">
        <f t="shared" si="92"/>
        <v>0</v>
      </c>
      <c r="AX75" s="90">
        <f t="shared" si="93"/>
        <v>0</v>
      </c>
      <c r="AY75" s="91" t="s">
        <v>642</v>
      </c>
      <c r="AZ75" s="91" t="s">
        <v>653</v>
      </c>
      <c r="BA75" s="154" t="s">
        <v>658</v>
      </c>
      <c r="BC75" s="90">
        <f t="shared" si="94"/>
        <v>0</v>
      </c>
      <c r="BD75" s="90">
        <f t="shared" si="95"/>
        <v>100</v>
      </c>
      <c r="BE75" s="90">
        <v>0</v>
      </c>
      <c r="BF75" s="90">
        <f t="shared" si="96"/>
        <v>0</v>
      </c>
      <c r="BH75" s="90">
        <f t="shared" si="97"/>
        <v>0</v>
      </c>
      <c r="BI75" s="90">
        <f t="shared" si="98"/>
        <v>0</v>
      </c>
      <c r="BJ75" s="90">
        <f t="shared" si="99"/>
        <v>0</v>
      </c>
    </row>
    <row r="76" spans="1:47" ht="12.75" hidden="1">
      <c r="A76" s="159"/>
      <c r="B76" s="160" t="s">
        <v>59</v>
      </c>
      <c r="C76" s="160" t="s">
        <v>301</v>
      </c>
      <c r="D76" s="160" t="s">
        <v>494</v>
      </c>
      <c r="E76" s="159" t="s">
        <v>57</v>
      </c>
      <c r="F76" s="159"/>
      <c r="G76" s="159" t="s">
        <v>57</v>
      </c>
      <c r="H76" s="161">
        <f>SUM(H77:H88)</f>
        <v>0</v>
      </c>
      <c r="I76" s="161">
        <f>SUM(I77:I88)</f>
        <v>0</v>
      </c>
      <c r="J76" s="161">
        <f>SUM(J77:J88)</f>
        <v>0</v>
      </c>
      <c r="K76" s="154"/>
      <c r="L76" s="161">
        <f>SUM(L77:L88)</f>
        <v>0</v>
      </c>
      <c r="M76" s="154"/>
      <c r="AI76" s="154" t="s">
        <v>59</v>
      </c>
      <c r="AS76" s="161">
        <f>SUM(AJ77:AJ88)</f>
        <v>0</v>
      </c>
      <c r="AT76" s="161">
        <f>SUM(AK77:AK88)</f>
        <v>0</v>
      </c>
      <c r="AU76" s="161">
        <f>SUM(AL77:AL88)</f>
        <v>0</v>
      </c>
    </row>
    <row r="77" spans="1:62" ht="12.75" hidden="1">
      <c r="A77" s="88" t="s">
        <v>131</v>
      </c>
      <c r="B77" s="88" t="s">
        <v>59</v>
      </c>
      <c r="C77" s="88" t="s">
        <v>302</v>
      </c>
      <c r="D77" s="88" t="s">
        <v>495</v>
      </c>
      <c r="E77" s="88" t="s">
        <v>609</v>
      </c>
      <c r="F77" s="90"/>
      <c r="G77" s="90">
        <v>60.1</v>
      </c>
      <c r="H77" s="90">
        <f aca="true" t="shared" si="100" ref="H77:H88">F77*AO77</f>
        <v>0</v>
      </c>
      <c r="I77" s="90">
        <f aca="true" t="shared" si="101" ref="I77:I88">F77*AP77</f>
        <v>0</v>
      </c>
      <c r="J77" s="90">
        <f aca="true" t="shared" si="102" ref="J77:J88">F77*G77</f>
        <v>0</v>
      </c>
      <c r="K77" s="90">
        <v>0</v>
      </c>
      <c r="L77" s="90">
        <f aca="true" t="shared" si="103" ref="L77:L88">F77*K77</f>
        <v>0</v>
      </c>
      <c r="M77" s="91" t="s">
        <v>622</v>
      </c>
      <c r="Z77" s="90">
        <f aca="true" t="shared" si="104" ref="Z77:Z88">IF(AQ77="5",BJ77,0)</f>
        <v>0</v>
      </c>
      <c r="AB77" s="90">
        <f aca="true" t="shared" si="105" ref="AB77:AB88">IF(AQ77="1",BH77,0)</f>
        <v>0</v>
      </c>
      <c r="AC77" s="90">
        <f aca="true" t="shared" si="106" ref="AC77:AC88">IF(AQ77="1",BI77,0)</f>
        <v>0</v>
      </c>
      <c r="AD77" s="90">
        <f aca="true" t="shared" si="107" ref="AD77:AD88">IF(AQ77="7",BH77,0)</f>
        <v>0</v>
      </c>
      <c r="AE77" s="90">
        <f aca="true" t="shared" si="108" ref="AE77:AE88">IF(AQ77="7",BI77,0)</f>
        <v>0</v>
      </c>
      <c r="AF77" s="90">
        <f aca="true" t="shared" si="109" ref="AF77:AF88">IF(AQ77="2",BH77,0)</f>
        <v>0</v>
      </c>
      <c r="AG77" s="90">
        <f aca="true" t="shared" si="110" ref="AG77:AG88">IF(AQ77="2",BI77,0)</f>
        <v>0</v>
      </c>
      <c r="AH77" s="90">
        <f aca="true" t="shared" si="111" ref="AH77:AH88">IF(AQ77="0",BJ77,0)</f>
        <v>0</v>
      </c>
      <c r="AI77" s="154" t="s">
        <v>59</v>
      </c>
      <c r="AJ77" s="90">
        <f aca="true" t="shared" si="112" ref="AJ77:AJ88">IF(AN77=0,J77,0)</f>
        <v>0</v>
      </c>
      <c r="AK77" s="90">
        <f aca="true" t="shared" si="113" ref="AK77:AK88">IF(AN77=15,J77,0)</f>
        <v>0</v>
      </c>
      <c r="AL77" s="90">
        <f aca="true" t="shared" si="114" ref="AL77:AL88">IF(AN77=21,J77,0)</f>
        <v>0</v>
      </c>
      <c r="AN77" s="90">
        <v>15</v>
      </c>
      <c r="AO77" s="90">
        <f aca="true" t="shared" si="115" ref="AO77:AO88">G77*0</f>
        <v>0</v>
      </c>
      <c r="AP77" s="90">
        <f aca="true" t="shared" si="116" ref="AP77:AP88">G77*(1-0)</f>
        <v>60.1</v>
      </c>
      <c r="AQ77" s="91" t="s">
        <v>85</v>
      </c>
      <c r="AV77" s="90">
        <f aca="true" t="shared" si="117" ref="AV77:AV88">AW77+AX77</f>
        <v>0</v>
      </c>
      <c r="AW77" s="90">
        <f aca="true" t="shared" si="118" ref="AW77:AW88">F77*AO77</f>
        <v>0</v>
      </c>
      <c r="AX77" s="90">
        <f aca="true" t="shared" si="119" ref="AX77:AX88">F77*AP77</f>
        <v>0</v>
      </c>
      <c r="AY77" s="91" t="s">
        <v>643</v>
      </c>
      <c r="AZ77" s="91" t="s">
        <v>653</v>
      </c>
      <c r="BA77" s="154" t="s">
        <v>658</v>
      </c>
      <c r="BC77" s="90">
        <f aca="true" t="shared" si="120" ref="BC77:BC88">AW77+AX77</f>
        <v>0</v>
      </c>
      <c r="BD77" s="90">
        <f aca="true" t="shared" si="121" ref="BD77:BD88">G77/(100-BE77)*100</f>
        <v>60.099999999999994</v>
      </c>
      <c r="BE77" s="90">
        <v>0</v>
      </c>
      <c r="BF77" s="90">
        <f aca="true" t="shared" si="122" ref="BF77:BF88">L77</f>
        <v>0</v>
      </c>
      <c r="BH77" s="90">
        <f aca="true" t="shared" si="123" ref="BH77:BH88">F77*AO77</f>
        <v>0</v>
      </c>
      <c r="BI77" s="90">
        <f aca="true" t="shared" si="124" ref="BI77:BI88">F77*AP77</f>
        <v>0</v>
      </c>
      <c r="BJ77" s="90">
        <f aca="true" t="shared" si="125" ref="BJ77:BJ88">F77*G77</f>
        <v>0</v>
      </c>
    </row>
    <row r="78" spans="1:62" ht="12.75" hidden="1">
      <c r="A78" s="88" t="s">
        <v>132</v>
      </c>
      <c r="B78" s="88" t="s">
        <v>59</v>
      </c>
      <c r="C78" s="88" t="s">
        <v>303</v>
      </c>
      <c r="D78" s="88" t="s">
        <v>496</v>
      </c>
      <c r="E78" s="88" t="s">
        <v>606</v>
      </c>
      <c r="F78" s="90"/>
      <c r="G78" s="90">
        <v>475</v>
      </c>
      <c r="H78" s="90">
        <f t="shared" si="100"/>
        <v>0</v>
      </c>
      <c r="I78" s="90">
        <f t="shared" si="101"/>
        <v>0</v>
      </c>
      <c r="J78" s="90">
        <f t="shared" si="102"/>
        <v>0</v>
      </c>
      <c r="K78" s="90">
        <v>0</v>
      </c>
      <c r="L78" s="90">
        <f t="shared" si="103"/>
        <v>0</v>
      </c>
      <c r="M78" s="91" t="s">
        <v>622</v>
      </c>
      <c r="Z78" s="90">
        <f t="shared" si="104"/>
        <v>0</v>
      </c>
      <c r="AB78" s="90">
        <f t="shared" si="105"/>
        <v>0</v>
      </c>
      <c r="AC78" s="90">
        <f t="shared" si="106"/>
        <v>0</v>
      </c>
      <c r="AD78" s="90">
        <f t="shared" si="107"/>
        <v>0</v>
      </c>
      <c r="AE78" s="90">
        <f t="shared" si="108"/>
        <v>0</v>
      </c>
      <c r="AF78" s="90">
        <f t="shared" si="109"/>
        <v>0</v>
      </c>
      <c r="AG78" s="90">
        <f t="shared" si="110"/>
        <v>0</v>
      </c>
      <c r="AH78" s="90">
        <f t="shared" si="111"/>
        <v>0</v>
      </c>
      <c r="AI78" s="154" t="s">
        <v>59</v>
      </c>
      <c r="AJ78" s="90">
        <f t="shared" si="112"/>
        <v>0</v>
      </c>
      <c r="AK78" s="90">
        <f t="shared" si="113"/>
        <v>0</v>
      </c>
      <c r="AL78" s="90">
        <f t="shared" si="114"/>
        <v>0</v>
      </c>
      <c r="AN78" s="90">
        <v>15</v>
      </c>
      <c r="AO78" s="90">
        <f t="shared" si="115"/>
        <v>0</v>
      </c>
      <c r="AP78" s="90">
        <f t="shared" si="116"/>
        <v>475</v>
      </c>
      <c r="AQ78" s="91" t="s">
        <v>85</v>
      </c>
      <c r="AV78" s="90">
        <f t="shared" si="117"/>
        <v>0</v>
      </c>
      <c r="AW78" s="90">
        <f t="shared" si="118"/>
        <v>0</v>
      </c>
      <c r="AX78" s="90">
        <f t="shared" si="119"/>
        <v>0</v>
      </c>
      <c r="AY78" s="91" t="s">
        <v>643</v>
      </c>
      <c r="AZ78" s="91" t="s">
        <v>653</v>
      </c>
      <c r="BA78" s="154" t="s">
        <v>658</v>
      </c>
      <c r="BC78" s="90">
        <f t="shared" si="120"/>
        <v>0</v>
      </c>
      <c r="BD78" s="90">
        <f t="shared" si="121"/>
        <v>475</v>
      </c>
      <c r="BE78" s="90">
        <v>0</v>
      </c>
      <c r="BF78" s="90">
        <f t="shared" si="122"/>
        <v>0</v>
      </c>
      <c r="BH78" s="90">
        <f t="shared" si="123"/>
        <v>0</v>
      </c>
      <c r="BI78" s="90">
        <f t="shared" si="124"/>
        <v>0</v>
      </c>
      <c r="BJ78" s="90">
        <f t="shared" si="125"/>
        <v>0</v>
      </c>
    </row>
    <row r="79" spans="1:62" ht="12.75" hidden="1">
      <c r="A79" s="88" t="s">
        <v>133</v>
      </c>
      <c r="B79" s="88" t="s">
        <v>59</v>
      </c>
      <c r="C79" s="88" t="s">
        <v>304</v>
      </c>
      <c r="D79" s="88" t="s">
        <v>497</v>
      </c>
      <c r="E79" s="88" t="s">
        <v>611</v>
      </c>
      <c r="F79" s="90"/>
      <c r="G79" s="90">
        <v>249</v>
      </c>
      <c r="H79" s="90">
        <f t="shared" si="100"/>
        <v>0</v>
      </c>
      <c r="I79" s="90">
        <f t="shared" si="101"/>
        <v>0</v>
      </c>
      <c r="J79" s="90">
        <f t="shared" si="102"/>
        <v>0</v>
      </c>
      <c r="K79" s="90">
        <v>0</v>
      </c>
      <c r="L79" s="90">
        <f t="shared" si="103"/>
        <v>0</v>
      </c>
      <c r="M79" s="91" t="s">
        <v>622</v>
      </c>
      <c r="Z79" s="90">
        <f t="shared" si="104"/>
        <v>0</v>
      </c>
      <c r="AB79" s="90">
        <f t="shared" si="105"/>
        <v>0</v>
      </c>
      <c r="AC79" s="90">
        <f t="shared" si="106"/>
        <v>0</v>
      </c>
      <c r="AD79" s="90">
        <f t="shared" si="107"/>
        <v>0</v>
      </c>
      <c r="AE79" s="90">
        <f t="shared" si="108"/>
        <v>0</v>
      </c>
      <c r="AF79" s="90">
        <f t="shared" si="109"/>
        <v>0</v>
      </c>
      <c r="AG79" s="90">
        <f t="shared" si="110"/>
        <v>0</v>
      </c>
      <c r="AH79" s="90">
        <f t="shared" si="111"/>
        <v>0</v>
      </c>
      <c r="AI79" s="154" t="s">
        <v>59</v>
      </c>
      <c r="AJ79" s="90">
        <f t="shared" si="112"/>
        <v>0</v>
      </c>
      <c r="AK79" s="90">
        <f t="shared" si="113"/>
        <v>0</v>
      </c>
      <c r="AL79" s="90">
        <f t="shared" si="114"/>
        <v>0</v>
      </c>
      <c r="AN79" s="90">
        <v>15</v>
      </c>
      <c r="AO79" s="90">
        <f t="shared" si="115"/>
        <v>0</v>
      </c>
      <c r="AP79" s="90">
        <f t="shared" si="116"/>
        <v>249</v>
      </c>
      <c r="AQ79" s="91" t="s">
        <v>85</v>
      </c>
      <c r="AV79" s="90">
        <f t="shared" si="117"/>
        <v>0</v>
      </c>
      <c r="AW79" s="90">
        <f t="shared" si="118"/>
        <v>0</v>
      </c>
      <c r="AX79" s="90">
        <f t="shared" si="119"/>
        <v>0</v>
      </c>
      <c r="AY79" s="91" t="s">
        <v>643</v>
      </c>
      <c r="AZ79" s="91" t="s">
        <v>653</v>
      </c>
      <c r="BA79" s="154" t="s">
        <v>658</v>
      </c>
      <c r="BC79" s="90">
        <f t="shared" si="120"/>
        <v>0</v>
      </c>
      <c r="BD79" s="90">
        <f t="shared" si="121"/>
        <v>249.00000000000003</v>
      </c>
      <c r="BE79" s="90">
        <v>0</v>
      </c>
      <c r="BF79" s="90">
        <f t="shared" si="122"/>
        <v>0</v>
      </c>
      <c r="BH79" s="90">
        <f t="shared" si="123"/>
        <v>0</v>
      </c>
      <c r="BI79" s="90">
        <f t="shared" si="124"/>
        <v>0</v>
      </c>
      <c r="BJ79" s="90">
        <f t="shared" si="125"/>
        <v>0</v>
      </c>
    </row>
    <row r="80" spans="1:62" ht="12.75" hidden="1">
      <c r="A80" s="88" t="s">
        <v>134</v>
      </c>
      <c r="B80" s="88" t="s">
        <v>59</v>
      </c>
      <c r="C80" s="88" t="s">
        <v>305</v>
      </c>
      <c r="D80" s="88" t="s">
        <v>498</v>
      </c>
      <c r="E80" s="88" t="s">
        <v>606</v>
      </c>
      <c r="F80" s="90"/>
      <c r="G80" s="90">
        <v>200</v>
      </c>
      <c r="H80" s="90">
        <f t="shared" si="100"/>
        <v>0</v>
      </c>
      <c r="I80" s="90">
        <f t="shared" si="101"/>
        <v>0</v>
      </c>
      <c r="J80" s="90">
        <f t="shared" si="102"/>
        <v>0</v>
      </c>
      <c r="K80" s="90">
        <v>0</v>
      </c>
      <c r="L80" s="90">
        <f t="shared" si="103"/>
        <v>0</v>
      </c>
      <c r="M80" s="91" t="s">
        <v>622</v>
      </c>
      <c r="Z80" s="90">
        <f t="shared" si="104"/>
        <v>0</v>
      </c>
      <c r="AB80" s="90">
        <f t="shared" si="105"/>
        <v>0</v>
      </c>
      <c r="AC80" s="90">
        <f t="shared" si="106"/>
        <v>0</v>
      </c>
      <c r="AD80" s="90">
        <f t="shared" si="107"/>
        <v>0</v>
      </c>
      <c r="AE80" s="90">
        <f t="shared" si="108"/>
        <v>0</v>
      </c>
      <c r="AF80" s="90">
        <f t="shared" si="109"/>
        <v>0</v>
      </c>
      <c r="AG80" s="90">
        <f t="shared" si="110"/>
        <v>0</v>
      </c>
      <c r="AH80" s="90">
        <f t="shared" si="111"/>
        <v>0</v>
      </c>
      <c r="AI80" s="154" t="s">
        <v>59</v>
      </c>
      <c r="AJ80" s="90">
        <f t="shared" si="112"/>
        <v>0</v>
      </c>
      <c r="AK80" s="90">
        <f t="shared" si="113"/>
        <v>0</v>
      </c>
      <c r="AL80" s="90">
        <f t="shared" si="114"/>
        <v>0</v>
      </c>
      <c r="AN80" s="90">
        <v>15</v>
      </c>
      <c r="AO80" s="90">
        <f t="shared" si="115"/>
        <v>0</v>
      </c>
      <c r="AP80" s="90">
        <f t="shared" si="116"/>
        <v>200</v>
      </c>
      <c r="AQ80" s="91" t="s">
        <v>85</v>
      </c>
      <c r="AV80" s="90">
        <f t="shared" si="117"/>
        <v>0</v>
      </c>
      <c r="AW80" s="90">
        <f t="shared" si="118"/>
        <v>0</v>
      </c>
      <c r="AX80" s="90">
        <f t="shared" si="119"/>
        <v>0</v>
      </c>
      <c r="AY80" s="91" t="s">
        <v>643</v>
      </c>
      <c r="AZ80" s="91" t="s">
        <v>653</v>
      </c>
      <c r="BA80" s="154" t="s">
        <v>658</v>
      </c>
      <c r="BC80" s="90">
        <f t="shared" si="120"/>
        <v>0</v>
      </c>
      <c r="BD80" s="90">
        <f t="shared" si="121"/>
        <v>200</v>
      </c>
      <c r="BE80" s="90">
        <v>0</v>
      </c>
      <c r="BF80" s="90">
        <f t="shared" si="122"/>
        <v>0</v>
      </c>
      <c r="BH80" s="90">
        <f t="shared" si="123"/>
        <v>0</v>
      </c>
      <c r="BI80" s="90">
        <f t="shared" si="124"/>
        <v>0</v>
      </c>
      <c r="BJ80" s="90">
        <f t="shared" si="125"/>
        <v>0</v>
      </c>
    </row>
    <row r="81" spans="1:62" ht="12.75" hidden="1">
      <c r="A81" s="88" t="s">
        <v>135</v>
      </c>
      <c r="B81" s="88" t="s">
        <v>59</v>
      </c>
      <c r="C81" s="88" t="s">
        <v>306</v>
      </c>
      <c r="D81" s="88" t="s">
        <v>499</v>
      </c>
      <c r="E81" s="88" t="s">
        <v>606</v>
      </c>
      <c r="F81" s="90"/>
      <c r="G81" s="90">
        <v>250</v>
      </c>
      <c r="H81" s="90">
        <f t="shared" si="100"/>
        <v>0</v>
      </c>
      <c r="I81" s="90">
        <f t="shared" si="101"/>
        <v>0</v>
      </c>
      <c r="J81" s="90">
        <f t="shared" si="102"/>
        <v>0</v>
      </c>
      <c r="K81" s="90">
        <v>0</v>
      </c>
      <c r="L81" s="90">
        <f t="shared" si="103"/>
        <v>0</v>
      </c>
      <c r="M81" s="91" t="s">
        <v>622</v>
      </c>
      <c r="Z81" s="90">
        <f t="shared" si="104"/>
        <v>0</v>
      </c>
      <c r="AB81" s="90">
        <f t="shared" si="105"/>
        <v>0</v>
      </c>
      <c r="AC81" s="90">
        <f t="shared" si="106"/>
        <v>0</v>
      </c>
      <c r="AD81" s="90">
        <f t="shared" si="107"/>
        <v>0</v>
      </c>
      <c r="AE81" s="90">
        <f t="shared" si="108"/>
        <v>0</v>
      </c>
      <c r="AF81" s="90">
        <f t="shared" si="109"/>
        <v>0</v>
      </c>
      <c r="AG81" s="90">
        <f t="shared" si="110"/>
        <v>0</v>
      </c>
      <c r="AH81" s="90">
        <f t="shared" si="111"/>
        <v>0</v>
      </c>
      <c r="AI81" s="154" t="s">
        <v>59</v>
      </c>
      <c r="AJ81" s="90">
        <f t="shared" si="112"/>
        <v>0</v>
      </c>
      <c r="AK81" s="90">
        <f t="shared" si="113"/>
        <v>0</v>
      </c>
      <c r="AL81" s="90">
        <f t="shared" si="114"/>
        <v>0</v>
      </c>
      <c r="AN81" s="90">
        <v>15</v>
      </c>
      <c r="AO81" s="90">
        <f t="shared" si="115"/>
        <v>0</v>
      </c>
      <c r="AP81" s="90">
        <f t="shared" si="116"/>
        <v>250</v>
      </c>
      <c r="AQ81" s="91" t="s">
        <v>85</v>
      </c>
      <c r="AV81" s="90">
        <f t="shared" si="117"/>
        <v>0</v>
      </c>
      <c r="AW81" s="90">
        <f t="shared" si="118"/>
        <v>0</v>
      </c>
      <c r="AX81" s="90">
        <f t="shared" si="119"/>
        <v>0</v>
      </c>
      <c r="AY81" s="91" t="s">
        <v>643</v>
      </c>
      <c r="AZ81" s="91" t="s">
        <v>653</v>
      </c>
      <c r="BA81" s="154" t="s">
        <v>658</v>
      </c>
      <c r="BC81" s="90">
        <f t="shared" si="120"/>
        <v>0</v>
      </c>
      <c r="BD81" s="90">
        <f t="shared" si="121"/>
        <v>250</v>
      </c>
      <c r="BE81" s="90">
        <v>0</v>
      </c>
      <c r="BF81" s="90">
        <f t="shared" si="122"/>
        <v>0</v>
      </c>
      <c r="BH81" s="90">
        <f t="shared" si="123"/>
        <v>0</v>
      </c>
      <c r="BI81" s="90">
        <f t="shared" si="124"/>
        <v>0</v>
      </c>
      <c r="BJ81" s="90">
        <f t="shared" si="125"/>
        <v>0</v>
      </c>
    </row>
    <row r="82" spans="1:62" ht="12.75" hidden="1">
      <c r="A82" s="88" t="s">
        <v>136</v>
      </c>
      <c r="B82" s="88" t="s">
        <v>59</v>
      </c>
      <c r="C82" s="88" t="s">
        <v>307</v>
      </c>
      <c r="D82" s="88" t="s">
        <v>500</v>
      </c>
      <c r="E82" s="88" t="s">
        <v>606</v>
      </c>
      <c r="F82" s="90"/>
      <c r="G82" s="90">
        <v>1000</v>
      </c>
      <c r="H82" s="90">
        <f t="shared" si="100"/>
        <v>0</v>
      </c>
      <c r="I82" s="90">
        <f t="shared" si="101"/>
        <v>0</v>
      </c>
      <c r="J82" s="90">
        <f t="shared" si="102"/>
        <v>0</v>
      </c>
      <c r="K82" s="90">
        <v>0</v>
      </c>
      <c r="L82" s="90">
        <f t="shared" si="103"/>
        <v>0</v>
      </c>
      <c r="M82" s="91" t="s">
        <v>622</v>
      </c>
      <c r="Z82" s="90">
        <f t="shared" si="104"/>
        <v>0</v>
      </c>
      <c r="AB82" s="90">
        <f t="shared" si="105"/>
        <v>0</v>
      </c>
      <c r="AC82" s="90">
        <f t="shared" si="106"/>
        <v>0</v>
      </c>
      <c r="AD82" s="90">
        <f t="shared" si="107"/>
        <v>0</v>
      </c>
      <c r="AE82" s="90">
        <f t="shared" si="108"/>
        <v>0</v>
      </c>
      <c r="AF82" s="90">
        <f t="shared" si="109"/>
        <v>0</v>
      </c>
      <c r="AG82" s="90">
        <f t="shared" si="110"/>
        <v>0</v>
      </c>
      <c r="AH82" s="90">
        <f t="shared" si="111"/>
        <v>0</v>
      </c>
      <c r="AI82" s="154" t="s">
        <v>59</v>
      </c>
      <c r="AJ82" s="90">
        <f t="shared" si="112"/>
        <v>0</v>
      </c>
      <c r="AK82" s="90">
        <f t="shared" si="113"/>
        <v>0</v>
      </c>
      <c r="AL82" s="90">
        <f t="shared" si="114"/>
        <v>0</v>
      </c>
      <c r="AN82" s="90">
        <v>15</v>
      </c>
      <c r="AO82" s="90">
        <f t="shared" si="115"/>
        <v>0</v>
      </c>
      <c r="AP82" s="90">
        <f t="shared" si="116"/>
        <v>1000</v>
      </c>
      <c r="AQ82" s="91" t="s">
        <v>85</v>
      </c>
      <c r="AV82" s="90">
        <f t="shared" si="117"/>
        <v>0</v>
      </c>
      <c r="AW82" s="90">
        <f t="shared" si="118"/>
        <v>0</v>
      </c>
      <c r="AX82" s="90">
        <f t="shared" si="119"/>
        <v>0</v>
      </c>
      <c r="AY82" s="91" t="s">
        <v>643</v>
      </c>
      <c r="AZ82" s="91" t="s">
        <v>653</v>
      </c>
      <c r="BA82" s="154" t="s">
        <v>658</v>
      </c>
      <c r="BC82" s="90">
        <f t="shared" si="120"/>
        <v>0</v>
      </c>
      <c r="BD82" s="90">
        <f t="shared" si="121"/>
        <v>1000</v>
      </c>
      <c r="BE82" s="90">
        <v>0</v>
      </c>
      <c r="BF82" s="90">
        <f t="shared" si="122"/>
        <v>0</v>
      </c>
      <c r="BH82" s="90">
        <f t="shared" si="123"/>
        <v>0</v>
      </c>
      <c r="BI82" s="90">
        <f t="shared" si="124"/>
        <v>0</v>
      </c>
      <c r="BJ82" s="90">
        <f t="shared" si="125"/>
        <v>0</v>
      </c>
    </row>
    <row r="83" spans="1:62" ht="12.75" hidden="1">
      <c r="A83" s="88" t="s">
        <v>137</v>
      </c>
      <c r="B83" s="88" t="s">
        <v>59</v>
      </c>
      <c r="C83" s="88" t="s">
        <v>308</v>
      </c>
      <c r="D83" s="88" t="s">
        <v>501</v>
      </c>
      <c r="E83" s="88" t="s">
        <v>611</v>
      </c>
      <c r="F83" s="90"/>
      <c r="G83" s="90">
        <v>100</v>
      </c>
      <c r="H83" s="90">
        <f t="shared" si="100"/>
        <v>0</v>
      </c>
      <c r="I83" s="90">
        <f t="shared" si="101"/>
        <v>0</v>
      </c>
      <c r="J83" s="90">
        <f t="shared" si="102"/>
        <v>0</v>
      </c>
      <c r="K83" s="90">
        <v>0</v>
      </c>
      <c r="L83" s="90">
        <f t="shared" si="103"/>
        <v>0</v>
      </c>
      <c r="M83" s="91" t="s">
        <v>622</v>
      </c>
      <c r="Z83" s="90">
        <f t="shared" si="104"/>
        <v>0</v>
      </c>
      <c r="AB83" s="90">
        <f t="shared" si="105"/>
        <v>0</v>
      </c>
      <c r="AC83" s="90">
        <f t="shared" si="106"/>
        <v>0</v>
      </c>
      <c r="AD83" s="90">
        <f t="shared" si="107"/>
        <v>0</v>
      </c>
      <c r="AE83" s="90">
        <f t="shared" si="108"/>
        <v>0</v>
      </c>
      <c r="AF83" s="90">
        <f t="shared" si="109"/>
        <v>0</v>
      </c>
      <c r="AG83" s="90">
        <f t="shared" si="110"/>
        <v>0</v>
      </c>
      <c r="AH83" s="90">
        <f t="shared" si="111"/>
        <v>0</v>
      </c>
      <c r="AI83" s="154" t="s">
        <v>59</v>
      </c>
      <c r="AJ83" s="90">
        <f t="shared" si="112"/>
        <v>0</v>
      </c>
      <c r="AK83" s="90">
        <f t="shared" si="113"/>
        <v>0</v>
      </c>
      <c r="AL83" s="90">
        <f t="shared" si="114"/>
        <v>0</v>
      </c>
      <c r="AN83" s="90">
        <v>15</v>
      </c>
      <c r="AO83" s="90">
        <f t="shared" si="115"/>
        <v>0</v>
      </c>
      <c r="AP83" s="90">
        <f t="shared" si="116"/>
        <v>100</v>
      </c>
      <c r="AQ83" s="91" t="s">
        <v>85</v>
      </c>
      <c r="AV83" s="90">
        <f t="shared" si="117"/>
        <v>0</v>
      </c>
      <c r="AW83" s="90">
        <f t="shared" si="118"/>
        <v>0</v>
      </c>
      <c r="AX83" s="90">
        <f t="shared" si="119"/>
        <v>0</v>
      </c>
      <c r="AY83" s="91" t="s">
        <v>643</v>
      </c>
      <c r="AZ83" s="91" t="s">
        <v>653</v>
      </c>
      <c r="BA83" s="154" t="s">
        <v>658</v>
      </c>
      <c r="BC83" s="90">
        <f t="shared" si="120"/>
        <v>0</v>
      </c>
      <c r="BD83" s="90">
        <f t="shared" si="121"/>
        <v>100</v>
      </c>
      <c r="BE83" s="90">
        <v>0</v>
      </c>
      <c r="BF83" s="90">
        <f t="shared" si="122"/>
        <v>0</v>
      </c>
      <c r="BH83" s="90">
        <f t="shared" si="123"/>
        <v>0</v>
      </c>
      <c r="BI83" s="90">
        <f t="shared" si="124"/>
        <v>0</v>
      </c>
      <c r="BJ83" s="90">
        <f t="shared" si="125"/>
        <v>0</v>
      </c>
    </row>
    <row r="84" spans="1:62" ht="12.75" hidden="1">
      <c r="A84" s="88" t="s">
        <v>138</v>
      </c>
      <c r="B84" s="88" t="s">
        <v>59</v>
      </c>
      <c r="C84" s="88" t="s">
        <v>309</v>
      </c>
      <c r="D84" s="88" t="s">
        <v>490</v>
      </c>
      <c r="E84" s="88" t="s">
        <v>606</v>
      </c>
      <c r="F84" s="90"/>
      <c r="G84" s="90">
        <v>150</v>
      </c>
      <c r="H84" s="90">
        <f t="shared" si="100"/>
        <v>0</v>
      </c>
      <c r="I84" s="90">
        <f t="shared" si="101"/>
        <v>0</v>
      </c>
      <c r="J84" s="90">
        <f t="shared" si="102"/>
        <v>0</v>
      </c>
      <c r="K84" s="90">
        <v>0</v>
      </c>
      <c r="L84" s="90">
        <f t="shared" si="103"/>
        <v>0</v>
      </c>
      <c r="M84" s="91" t="s">
        <v>622</v>
      </c>
      <c r="Z84" s="90">
        <f t="shared" si="104"/>
        <v>0</v>
      </c>
      <c r="AB84" s="90">
        <f t="shared" si="105"/>
        <v>0</v>
      </c>
      <c r="AC84" s="90">
        <f t="shared" si="106"/>
        <v>0</v>
      </c>
      <c r="AD84" s="90">
        <f t="shared" si="107"/>
        <v>0</v>
      </c>
      <c r="AE84" s="90">
        <f t="shared" si="108"/>
        <v>0</v>
      </c>
      <c r="AF84" s="90">
        <f t="shared" si="109"/>
        <v>0</v>
      </c>
      <c r="AG84" s="90">
        <f t="shared" si="110"/>
        <v>0</v>
      </c>
      <c r="AH84" s="90">
        <f t="shared" si="111"/>
        <v>0</v>
      </c>
      <c r="AI84" s="154" t="s">
        <v>59</v>
      </c>
      <c r="AJ84" s="90">
        <f t="shared" si="112"/>
        <v>0</v>
      </c>
      <c r="AK84" s="90">
        <f t="shared" si="113"/>
        <v>0</v>
      </c>
      <c r="AL84" s="90">
        <f t="shared" si="114"/>
        <v>0</v>
      </c>
      <c r="AN84" s="90">
        <v>15</v>
      </c>
      <c r="AO84" s="90">
        <f t="shared" si="115"/>
        <v>0</v>
      </c>
      <c r="AP84" s="90">
        <f t="shared" si="116"/>
        <v>150</v>
      </c>
      <c r="AQ84" s="91" t="s">
        <v>85</v>
      </c>
      <c r="AV84" s="90">
        <f t="shared" si="117"/>
        <v>0</v>
      </c>
      <c r="AW84" s="90">
        <f t="shared" si="118"/>
        <v>0</v>
      </c>
      <c r="AX84" s="90">
        <f t="shared" si="119"/>
        <v>0</v>
      </c>
      <c r="AY84" s="91" t="s">
        <v>643</v>
      </c>
      <c r="AZ84" s="91" t="s">
        <v>653</v>
      </c>
      <c r="BA84" s="154" t="s">
        <v>658</v>
      </c>
      <c r="BC84" s="90">
        <f t="shared" si="120"/>
        <v>0</v>
      </c>
      <c r="BD84" s="90">
        <f t="shared" si="121"/>
        <v>150</v>
      </c>
      <c r="BE84" s="90">
        <v>0</v>
      </c>
      <c r="BF84" s="90">
        <f t="shared" si="122"/>
        <v>0</v>
      </c>
      <c r="BH84" s="90">
        <f t="shared" si="123"/>
        <v>0</v>
      </c>
      <c r="BI84" s="90">
        <f t="shared" si="124"/>
        <v>0</v>
      </c>
      <c r="BJ84" s="90">
        <f t="shared" si="125"/>
        <v>0</v>
      </c>
    </row>
    <row r="85" spans="1:62" ht="12.75" hidden="1">
      <c r="A85" s="88" t="s">
        <v>139</v>
      </c>
      <c r="B85" s="88" t="s">
        <v>59</v>
      </c>
      <c r="C85" s="88" t="s">
        <v>310</v>
      </c>
      <c r="D85" s="88" t="s">
        <v>502</v>
      </c>
      <c r="E85" s="88" t="s">
        <v>606</v>
      </c>
      <c r="F85" s="90"/>
      <c r="G85" s="90">
        <v>200</v>
      </c>
      <c r="H85" s="90">
        <f t="shared" si="100"/>
        <v>0</v>
      </c>
      <c r="I85" s="90">
        <f t="shared" si="101"/>
        <v>0</v>
      </c>
      <c r="J85" s="90">
        <f t="shared" si="102"/>
        <v>0</v>
      </c>
      <c r="K85" s="90">
        <v>0</v>
      </c>
      <c r="L85" s="90">
        <f t="shared" si="103"/>
        <v>0</v>
      </c>
      <c r="M85" s="91" t="s">
        <v>622</v>
      </c>
      <c r="Z85" s="90">
        <f t="shared" si="104"/>
        <v>0</v>
      </c>
      <c r="AB85" s="90">
        <f t="shared" si="105"/>
        <v>0</v>
      </c>
      <c r="AC85" s="90">
        <f t="shared" si="106"/>
        <v>0</v>
      </c>
      <c r="AD85" s="90">
        <f t="shared" si="107"/>
        <v>0</v>
      </c>
      <c r="AE85" s="90">
        <f t="shared" si="108"/>
        <v>0</v>
      </c>
      <c r="AF85" s="90">
        <f t="shared" si="109"/>
        <v>0</v>
      </c>
      <c r="AG85" s="90">
        <f t="shared" si="110"/>
        <v>0</v>
      </c>
      <c r="AH85" s="90">
        <f t="shared" si="111"/>
        <v>0</v>
      </c>
      <c r="AI85" s="154" t="s">
        <v>59</v>
      </c>
      <c r="AJ85" s="90">
        <f t="shared" si="112"/>
        <v>0</v>
      </c>
      <c r="AK85" s="90">
        <f t="shared" si="113"/>
        <v>0</v>
      </c>
      <c r="AL85" s="90">
        <f t="shared" si="114"/>
        <v>0</v>
      </c>
      <c r="AN85" s="90">
        <v>15</v>
      </c>
      <c r="AO85" s="90">
        <f t="shared" si="115"/>
        <v>0</v>
      </c>
      <c r="AP85" s="90">
        <f t="shared" si="116"/>
        <v>200</v>
      </c>
      <c r="AQ85" s="91" t="s">
        <v>85</v>
      </c>
      <c r="AV85" s="90">
        <f t="shared" si="117"/>
        <v>0</v>
      </c>
      <c r="AW85" s="90">
        <f t="shared" si="118"/>
        <v>0</v>
      </c>
      <c r="AX85" s="90">
        <f t="shared" si="119"/>
        <v>0</v>
      </c>
      <c r="AY85" s="91" t="s">
        <v>643</v>
      </c>
      <c r="AZ85" s="91" t="s">
        <v>653</v>
      </c>
      <c r="BA85" s="154" t="s">
        <v>658</v>
      </c>
      <c r="BC85" s="90">
        <f t="shared" si="120"/>
        <v>0</v>
      </c>
      <c r="BD85" s="90">
        <f t="shared" si="121"/>
        <v>200</v>
      </c>
      <c r="BE85" s="90">
        <v>0</v>
      </c>
      <c r="BF85" s="90">
        <f t="shared" si="122"/>
        <v>0</v>
      </c>
      <c r="BH85" s="90">
        <f t="shared" si="123"/>
        <v>0</v>
      </c>
      <c r="BI85" s="90">
        <f t="shared" si="124"/>
        <v>0</v>
      </c>
      <c r="BJ85" s="90">
        <f t="shared" si="125"/>
        <v>0</v>
      </c>
    </row>
    <row r="86" spans="1:62" ht="12.75" hidden="1">
      <c r="A86" s="88" t="s">
        <v>140</v>
      </c>
      <c r="B86" s="88" t="s">
        <v>59</v>
      </c>
      <c r="C86" s="88" t="s">
        <v>311</v>
      </c>
      <c r="D86" s="88" t="s">
        <v>489</v>
      </c>
      <c r="E86" s="88" t="s">
        <v>606</v>
      </c>
      <c r="F86" s="90"/>
      <c r="G86" s="90">
        <v>150</v>
      </c>
      <c r="H86" s="90">
        <f t="shared" si="100"/>
        <v>0</v>
      </c>
      <c r="I86" s="90">
        <f t="shared" si="101"/>
        <v>0</v>
      </c>
      <c r="J86" s="90">
        <f t="shared" si="102"/>
        <v>0</v>
      </c>
      <c r="K86" s="90">
        <v>0</v>
      </c>
      <c r="L86" s="90">
        <f t="shared" si="103"/>
        <v>0</v>
      </c>
      <c r="M86" s="91" t="s">
        <v>622</v>
      </c>
      <c r="Z86" s="90">
        <f t="shared" si="104"/>
        <v>0</v>
      </c>
      <c r="AB86" s="90">
        <f t="shared" si="105"/>
        <v>0</v>
      </c>
      <c r="AC86" s="90">
        <f t="shared" si="106"/>
        <v>0</v>
      </c>
      <c r="AD86" s="90">
        <f t="shared" si="107"/>
        <v>0</v>
      </c>
      <c r="AE86" s="90">
        <f t="shared" si="108"/>
        <v>0</v>
      </c>
      <c r="AF86" s="90">
        <f t="shared" si="109"/>
        <v>0</v>
      </c>
      <c r="AG86" s="90">
        <f t="shared" si="110"/>
        <v>0</v>
      </c>
      <c r="AH86" s="90">
        <f t="shared" si="111"/>
        <v>0</v>
      </c>
      <c r="AI86" s="154" t="s">
        <v>59</v>
      </c>
      <c r="AJ86" s="90">
        <f t="shared" si="112"/>
        <v>0</v>
      </c>
      <c r="AK86" s="90">
        <f t="shared" si="113"/>
        <v>0</v>
      </c>
      <c r="AL86" s="90">
        <f t="shared" si="114"/>
        <v>0</v>
      </c>
      <c r="AN86" s="90">
        <v>15</v>
      </c>
      <c r="AO86" s="90">
        <f t="shared" si="115"/>
        <v>0</v>
      </c>
      <c r="AP86" s="90">
        <f t="shared" si="116"/>
        <v>150</v>
      </c>
      <c r="AQ86" s="91" t="s">
        <v>85</v>
      </c>
      <c r="AV86" s="90">
        <f t="shared" si="117"/>
        <v>0</v>
      </c>
      <c r="AW86" s="90">
        <f t="shared" si="118"/>
        <v>0</v>
      </c>
      <c r="AX86" s="90">
        <f t="shared" si="119"/>
        <v>0</v>
      </c>
      <c r="AY86" s="91" t="s">
        <v>643</v>
      </c>
      <c r="AZ86" s="91" t="s">
        <v>653</v>
      </c>
      <c r="BA86" s="154" t="s">
        <v>658</v>
      </c>
      <c r="BC86" s="90">
        <f t="shared" si="120"/>
        <v>0</v>
      </c>
      <c r="BD86" s="90">
        <f t="shared" si="121"/>
        <v>150</v>
      </c>
      <c r="BE86" s="90">
        <v>0</v>
      </c>
      <c r="BF86" s="90">
        <f t="shared" si="122"/>
        <v>0</v>
      </c>
      <c r="BH86" s="90">
        <f t="shared" si="123"/>
        <v>0</v>
      </c>
      <c r="BI86" s="90">
        <f t="shared" si="124"/>
        <v>0</v>
      </c>
      <c r="BJ86" s="90">
        <f t="shared" si="125"/>
        <v>0</v>
      </c>
    </row>
    <row r="87" spans="1:62" ht="12.75" hidden="1">
      <c r="A87" s="88" t="s">
        <v>141</v>
      </c>
      <c r="B87" s="88" t="s">
        <v>59</v>
      </c>
      <c r="C87" s="88" t="s">
        <v>312</v>
      </c>
      <c r="D87" s="88" t="s">
        <v>492</v>
      </c>
      <c r="E87" s="88" t="s">
        <v>606</v>
      </c>
      <c r="F87" s="90"/>
      <c r="G87" s="90">
        <v>200</v>
      </c>
      <c r="H87" s="90">
        <f t="shared" si="100"/>
        <v>0</v>
      </c>
      <c r="I87" s="90">
        <f t="shared" si="101"/>
        <v>0</v>
      </c>
      <c r="J87" s="90">
        <f t="shared" si="102"/>
        <v>0</v>
      </c>
      <c r="K87" s="90">
        <v>0</v>
      </c>
      <c r="L87" s="90">
        <f t="shared" si="103"/>
        <v>0</v>
      </c>
      <c r="M87" s="91" t="s">
        <v>622</v>
      </c>
      <c r="Z87" s="90">
        <f t="shared" si="104"/>
        <v>0</v>
      </c>
      <c r="AB87" s="90">
        <f t="shared" si="105"/>
        <v>0</v>
      </c>
      <c r="AC87" s="90">
        <f t="shared" si="106"/>
        <v>0</v>
      </c>
      <c r="AD87" s="90">
        <f t="shared" si="107"/>
        <v>0</v>
      </c>
      <c r="AE87" s="90">
        <f t="shared" si="108"/>
        <v>0</v>
      </c>
      <c r="AF87" s="90">
        <f t="shared" si="109"/>
        <v>0</v>
      </c>
      <c r="AG87" s="90">
        <f t="shared" si="110"/>
        <v>0</v>
      </c>
      <c r="AH87" s="90">
        <f t="shared" si="111"/>
        <v>0</v>
      </c>
      <c r="AI87" s="154" t="s">
        <v>59</v>
      </c>
      <c r="AJ87" s="90">
        <f t="shared" si="112"/>
        <v>0</v>
      </c>
      <c r="AK87" s="90">
        <f t="shared" si="113"/>
        <v>0</v>
      </c>
      <c r="AL87" s="90">
        <f t="shared" si="114"/>
        <v>0</v>
      </c>
      <c r="AN87" s="90">
        <v>15</v>
      </c>
      <c r="AO87" s="90">
        <f t="shared" si="115"/>
        <v>0</v>
      </c>
      <c r="AP87" s="90">
        <f t="shared" si="116"/>
        <v>200</v>
      </c>
      <c r="AQ87" s="91" t="s">
        <v>85</v>
      </c>
      <c r="AV87" s="90">
        <f t="shared" si="117"/>
        <v>0</v>
      </c>
      <c r="AW87" s="90">
        <f t="shared" si="118"/>
        <v>0</v>
      </c>
      <c r="AX87" s="90">
        <f t="shared" si="119"/>
        <v>0</v>
      </c>
      <c r="AY87" s="91" t="s">
        <v>643</v>
      </c>
      <c r="AZ87" s="91" t="s">
        <v>653</v>
      </c>
      <c r="BA87" s="154" t="s">
        <v>658</v>
      </c>
      <c r="BC87" s="90">
        <f t="shared" si="120"/>
        <v>0</v>
      </c>
      <c r="BD87" s="90">
        <f t="shared" si="121"/>
        <v>200</v>
      </c>
      <c r="BE87" s="90">
        <v>0</v>
      </c>
      <c r="BF87" s="90">
        <f t="shared" si="122"/>
        <v>0</v>
      </c>
      <c r="BH87" s="90">
        <f t="shared" si="123"/>
        <v>0</v>
      </c>
      <c r="BI87" s="90">
        <f t="shared" si="124"/>
        <v>0</v>
      </c>
      <c r="BJ87" s="90">
        <f t="shared" si="125"/>
        <v>0</v>
      </c>
    </row>
    <row r="88" spans="1:62" ht="12.75" hidden="1">
      <c r="A88" s="88" t="s">
        <v>142</v>
      </c>
      <c r="B88" s="88" t="s">
        <v>59</v>
      </c>
      <c r="C88" s="88" t="s">
        <v>313</v>
      </c>
      <c r="D88" s="88" t="s">
        <v>493</v>
      </c>
      <c r="E88" s="88" t="s">
        <v>606</v>
      </c>
      <c r="F88" s="90"/>
      <c r="G88" s="90">
        <v>100</v>
      </c>
      <c r="H88" s="90">
        <f t="shared" si="100"/>
        <v>0</v>
      </c>
      <c r="I88" s="90">
        <f t="shared" si="101"/>
        <v>0</v>
      </c>
      <c r="J88" s="90">
        <f t="shared" si="102"/>
        <v>0</v>
      </c>
      <c r="K88" s="90">
        <v>0</v>
      </c>
      <c r="L88" s="90">
        <f t="shared" si="103"/>
        <v>0</v>
      </c>
      <c r="M88" s="91" t="s">
        <v>622</v>
      </c>
      <c r="Z88" s="90">
        <f t="shared" si="104"/>
        <v>0</v>
      </c>
      <c r="AB88" s="90">
        <f t="shared" si="105"/>
        <v>0</v>
      </c>
      <c r="AC88" s="90">
        <f t="shared" si="106"/>
        <v>0</v>
      </c>
      <c r="AD88" s="90">
        <f t="shared" si="107"/>
        <v>0</v>
      </c>
      <c r="AE88" s="90">
        <f t="shared" si="108"/>
        <v>0</v>
      </c>
      <c r="AF88" s="90">
        <f t="shared" si="109"/>
        <v>0</v>
      </c>
      <c r="AG88" s="90">
        <f t="shared" si="110"/>
        <v>0</v>
      </c>
      <c r="AH88" s="90">
        <f t="shared" si="111"/>
        <v>0</v>
      </c>
      <c r="AI88" s="154" t="s">
        <v>59</v>
      </c>
      <c r="AJ88" s="90">
        <f t="shared" si="112"/>
        <v>0</v>
      </c>
      <c r="AK88" s="90">
        <f t="shared" si="113"/>
        <v>0</v>
      </c>
      <c r="AL88" s="90">
        <f t="shared" si="114"/>
        <v>0</v>
      </c>
      <c r="AN88" s="90">
        <v>15</v>
      </c>
      <c r="AO88" s="90">
        <f t="shared" si="115"/>
        <v>0</v>
      </c>
      <c r="AP88" s="90">
        <f t="shared" si="116"/>
        <v>100</v>
      </c>
      <c r="AQ88" s="91" t="s">
        <v>85</v>
      </c>
      <c r="AV88" s="90">
        <f t="shared" si="117"/>
        <v>0</v>
      </c>
      <c r="AW88" s="90">
        <f t="shared" si="118"/>
        <v>0</v>
      </c>
      <c r="AX88" s="90">
        <f t="shared" si="119"/>
        <v>0</v>
      </c>
      <c r="AY88" s="91" t="s">
        <v>643</v>
      </c>
      <c r="AZ88" s="91" t="s">
        <v>653</v>
      </c>
      <c r="BA88" s="154" t="s">
        <v>658</v>
      </c>
      <c r="BC88" s="90">
        <f t="shared" si="120"/>
        <v>0</v>
      </c>
      <c r="BD88" s="90">
        <f t="shared" si="121"/>
        <v>100</v>
      </c>
      <c r="BE88" s="90">
        <v>0</v>
      </c>
      <c r="BF88" s="90">
        <f t="shared" si="122"/>
        <v>0</v>
      </c>
      <c r="BH88" s="90">
        <f t="shared" si="123"/>
        <v>0</v>
      </c>
      <c r="BI88" s="90">
        <f t="shared" si="124"/>
        <v>0</v>
      </c>
      <c r="BJ88" s="90">
        <f t="shared" si="125"/>
        <v>0</v>
      </c>
    </row>
    <row r="89" spans="1:47" ht="12.75" hidden="1">
      <c r="A89" s="159"/>
      <c r="B89" s="160" t="s">
        <v>59</v>
      </c>
      <c r="C89" s="160" t="s">
        <v>314</v>
      </c>
      <c r="D89" s="160" t="s">
        <v>503</v>
      </c>
      <c r="E89" s="159" t="s">
        <v>57</v>
      </c>
      <c r="F89" s="159"/>
      <c r="G89" s="159" t="s">
        <v>57</v>
      </c>
      <c r="H89" s="161">
        <f>SUM(H90:H93)</f>
        <v>0</v>
      </c>
      <c r="I89" s="161">
        <f>SUM(I90:I93)</f>
        <v>0</v>
      </c>
      <c r="J89" s="161">
        <f>SUM(J90:J93)</f>
        <v>0</v>
      </c>
      <c r="K89" s="154"/>
      <c r="L89" s="161">
        <f>SUM(L90:L93)</f>
        <v>0</v>
      </c>
      <c r="M89" s="154"/>
      <c r="AI89" s="154" t="s">
        <v>59</v>
      </c>
      <c r="AS89" s="161">
        <f>SUM(AJ90:AJ93)</f>
        <v>0</v>
      </c>
      <c r="AT89" s="161">
        <f>SUM(AK90:AK93)</f>
        <v>0</v>
      </c>
      <c r="AU89" s="161">
        <f>SUM(AL90:AL93)</f>
        <v>0</v>
      </c>
    </row>
    <row r="90" spans="1:62" ht="12.75" hidden="1">
      <c r="A90" s="88" t="s">
        <v>143</v>
      </c>
      <c r="B90" s="88" t="s">
        <v>59</v>
      </c>
      <c r="C90" s="88" t="s">
        <v>179</v>
      </c>
      <c r="D90" s="88" t="s">
        <v>504</v>
      </c>
      <c r="E90" s="88" t="s">
        <v>606</v>
      </c>
      <c r="F90" s="90"/>
      <c r="G90" s="90">
        <v>1000</v>
      </c>
      <c r="H90" s="90">
        <f>F90*AO90</f>
        <v>0</v>
      </c>
      <c r="I90" s="90">
        <f>F90*AP90</f>
        <v>0</v>
      </c>
      <c r="J90" s="90">
        <f>F90*G90</f>
        <v>0</v>
      </c>
      <c r="K90" s="90">
        <v>0</v>
      </c>
      <c r="L90" s="90">
        <f>F90*K90</f>
        <v>0</v>
      </c>
      <c r="M90" s="91" t="s">
        <v>622</v>
      </c>
      <c r="Z90" s="90">
        <f>IF(AQ90="5",BJ90,0)</f>
        <v>0</v>
      </c>
      <c r="AB90" s="90">
        <f>IF(AQ90="1",BH90,0)</f>
        <v>0</v>
      </c>
      <c r="AC90" s="90">
        <f>IF(AQ90="1",BI90,0)</f>
        <v>0</v>
      </c>
      <c r="AD90" s="90">
        <f>IF(AQ90="7",BH90,0)</f>
        <v>0</v>
      </c>
      <c r="AE90" s="90">
        <f>IF(AQ90="7",BI90,0)</f>
        <v>0</v>
      </c>
      <c r="AF90" s="90">
        <f>IF(AQ90="2",BH90,0)</f>
        <v>0</v>
      </c>
      <c r="AG90" s="90">
        <f>IF(AQ90="2",BI90,0)</f>
        <v>0</v>
      </c>
      <c r="AH90" s="90">
        <f>IF(AQ90="0",BJ90,0)</f>
        <v>0</v>
      </c>
      <c r="AI90" s="154" t="s">
        <v>59</v>
      </c>
      <c r="AJ90" s="90">
        <f>IF(AN90=0,J90,0)</f>
        <v>0</v>
      </c>
      <c r="AK90" s="90">
        <f>IF(AN90=15,J90,0)</f>
        <v>0</v>
      </c>
      <c r="AL90" s="90">
        <f>IF(AN90=21,J90,0)</f>
        <v>0</v>
      </c>
      <c r="AN90" s="90">
        <v>15</v>
      </c>
      <c r="AO90" s="90">
        <f>G90*0</f>
        <v>0</v>
      </c>
      <c r="AP90" s="90">
        <f>G90*(1-0)</f>
        <v>1000</v>
      </c>
      <c r="AQ90" s="91" t="s">
        <v>85</v>
      </c>
      <c r="AV90" s="90">
        <f>AW90+AX90</f>
        <v>0</v>
      </c>
      <c r="AW90" s="90">
        <f>F90*AO90</f>
        <v>0</v>
      </c>
      <c r="AX90" s="90">
        <f>F90*AP90</f>
        <v>0</v>
      </c>
      <c r="AY90" s="91" t="s">
        <v>644</v>
      </c>
      <c r="AZ90" s="91" t="s">
        <v>653</v>
      </c>
      <c r="BA90" s="154" t="s">
        <v>658</v>
      </c>
      <c r="BC90" s="90">
        <f>AW90+AX90</f>
        <v>0</v>
      </c>
      <c r="BD90" s="90">
        <f>G90/(100-BE90)*100</f>
        <v>1000</v>
      </c>
      <c r="BE90" s="90">
        <v>0</v>
      </c>
      <c r="BF90" s="90">
        <f>L90</f>
        <v>0</v>
      </c>
      <c r="BH90" s="90">
        <f>F90*AO90</f>
        <v>0</v>
      </c>
      <c r="BI90" s="90">
        <f>F90*AP90</f>
        <v>0</v>
      </c>
      <c r="BJ90" s="90">
        <f>F90*G90</f>
        <v>0</v>
      </c>
    </row>
    <row r="91" spans="1:62" ht="12.75" hidden="1">
      <c r="A91" s="88" t="s">
        <v>144</v>
      </c>
      <c r="B91" s="88" t="s">
        <v>59</v>
      </c>
      <c r="C91" s="88" t="s">
        <v>180</v>
      </c>
      <c r="D91" s="88" t="s">
        <v>505</v>
      </c>
      <c r="E91" s="88" t="s">
        <v>609</v>
      </c>
      <c r="F91" s="90"/>
      <c r="G91" s="90">
        <v>50</v>
      </c>
      <c r="H91" s="90">
        <f>F91*AO91</f>
        <v>0</v>
      </c>
      <c r="I91" s="90">
        <f>F91*AP91</f>
        <v>0</v>
      </c>
      <c r="J91" s="90">
        <f>F91*G91</f>
        <v>0</v>
      </c>
      <c r="K91" s="90">
        <v>0</v>
      </c>
      <c r="L91" s="90">
        <f>F91*K91</f>
        <v>0</v>
      </c>
      <c r="M91" s="91" t="s">
        <v>622</v>
      </c>
      <c r="Z91" s="90">
        <f>IF(AQ91="5",BJ91,0)</f>
        <v>0</v>
      </c>
      <c r="AB91" s="90">
        <f>IF(AQ91="1",BH91,0)</f>
        <v>0</v>
      </c>
      <c r="AC91" s="90">
        <f>IF(AQ91="1",BI91,0)</f>
        <v>0</v>
      </c>
      <c r="AD91" s="90">
        <f>IF(AQ91="7",BH91,0)</f>
        <v>0</v>
      </c>
      <c r="AE91" s="90">
        <f>IF(AQ91="7",BI91,0)</f>
        <v>0</v>
      </c>
      <c r="AF91" s="90">
        <f>IF(AQ91="2",BH91,0)</f>
        <v>0</v>
      </c>
      <c r="AG91" s="90">
        <f>IF(AQ91="2",BI91,0)</f>
        <v>0</v>
      </c>
      <c r="AH91" s="90">
        <f>IF(AQ91="0",BJ91,0)</f>
        <v>0</v>
      </c>
      <c r="AI91" s="154" t="s">
        <v>59</v>
      </c>
      <c r="AJ91" s="90">
        <f>IF(AN91=0,J91,0)</f>
        <v>0</v>
      </c>
      <c r="AK91" s="90">
        <f>IF(AN91=15,J91,0)</f>
        <v>0</v>
      </c>
      <c r="AL91" s="90">
        <f>IF(AN91=21,J91,0)</f>
        <v>0</v>
      </c>
      <c r="AN91" s="90">
        <v>15</v>
      </c>
      <c r="AO91" s="90">
        <f>G91*0</f>
        <v>0</v>
      </c>
      <c r="AP91" s="90">
        <f>G91*(1-0)</f>
        <v>50</v>
      </c>
      <c r="AQ91" s="91" t="s">
        <v>85</v>
      </c>
      <c r="AV91" s="90">
        <f>AW91+AX91</f>
        <v>0</v>
      </c>
      <c r="AW91" s="90">
        <f>F91*AO91</f>
        <v>0</v>
      </c>
      <c r="AX91" s="90">
        <f>F91*AP91</f>
        <v>0</v>
      </c>
      <c r="AY91" s="91" t="s">
        <v>644</v>
      </c>
      <c r="AZ91" s="91" t="s">
        <v>653</v>
      </c>
      <c r="BA91" s="154" t="s">
        <v>658</v>
      </c>
      <c r="BC91" s="90">
        <f>AW91+AX91</f>
        <v>0</v>
      </c>
      <c r="BD91" s="90">
        <f>G91/(100-BE91)*100</f>
        <v>50</v>
      </c>
      <c r="BE91" s="90">
        <v>0</v>
      </c>
      <c r="BF91" s="90">
        <f>L91</f>
        <v>0</v>
      </c>
      <c r="BH91" s="90">
        <f>F91*AO91</f>
        <v>0</v>
      </c>
      <c r="BI91" s="90">
        <f>F91*AP91</f>
        <v>0</v>
      </c>
      <c r="BJ91" s="90">
        <f>F91*G91</f>
        <v>0</v>
      </c>
    </row>
    <row r="92" spans="1:62" ht="12.75" hidden="1">
      <c r="A92" s="88" t="s">
        <v>145</v>
      </c>
      <c r="B92" s="88" t="s">
        <v>59</v>
      </c>
      <c r="C92" s="88" t="s">
        <v>315</v>
      </c>
      <c r="D92" s="88" t="s">
        <v>501</v>
      </c>
      <c r="E92" s="88" t="s">
        <v>611</v>
      </c>
      <c r="F92" s="90"/>
      <c r="G92" s="90">
        <v>100</v>
      </c>
      <c r="H92" s="90">
        <f>F92*AO92</f>
        <v>0</v>
      </c>
      <c r="I92" s="90">
        <f>F92*AP92</f>
        <v>0</v>
      </c>
      <c r="J92" s="90">
        <f>F92*G92</f>
        <v>0</v>
      </c>
      <c r="K92" s="90">
        <v>0</v>
      </c>
      <c r="L92" s="90">
        <f>F92*K92</f>
        <v>0</v>
      </c>
      <c r="M92" s="91" t="s">
        <v>622</v>
      </c>
      <c r="Z92" s="90">
        <f>IF(AQ92="5",BJ92,0)</f>
        <v>0</v>
      </c>
      <c r="AB92" s="90">
        <f>IF(AQ92="1",BH92,0)</f>
        <v>0</v>
      </c>
      <c r="AC92" s="90">
        <f>IF(AQ92="1",BI92,0)</f>
        <v>0</v>
      </c>
      <c r="AD92" s="90">
        <f>IF(AQ92="7",BH92,0)</f>
        <v>0</v>
      </c>
      <c r="AE92" s="90">
        <f>IF(AQ92="7",BI92,0)</f>
        <v>0</v>
      </c>
      <c r="AF92" s="90">
        <f>IF(AQ92="2",BH92,0)</f>
        <v>0</v>
      </c>
      <c r="AG92" s="90">
        <f>IF(AQ92="2",BI92,0)</f>
        <v>0</v>
      </c>
      <c r="AH92" s="90">
        <f>IF(AQ92="0",BJ92,0)</f>
        <v>0</v>
      </c>
      <c r="AI92" s="154" t="s">
        <v>59</v>
      </c>
      <c r="AJ92" s="90">
        <f>IF(AN92=0,J92,0)</f>
        <v>0</v>
      </c>
      <c r="AK92" s="90">
        <f>IF(AN92=15,J92,0)</f>
        <v>0</v>
      </c>
      <c r="AL92" s="90">
        <f>IF(AN92=21,J92,0)</f>
        <v>0</v>
      </c>
      <c r="AN92" s="90">
        <v>15</v>
      </c>
      <c r="AO92" s="90">
        <f>G92*0</f>
        <v>0</v>
      </c>
      <c r="AP92" s="90">
        <f>G92*(1-0)</f>
        <v>100</v>
      </c>
      <c r="AQ92" s="91" t="s">
        <v>85</v>
      </c>
      <c r="AV92" s="90">
        <f>AW92+AX92</f>
        <v>0</v>
      </c>
      <c r="AW92" s="90">
        <f>F92*AO92</f>
        <v>0</v>
      </c>
      <c r="AX92" s="90">
        <f>F92*AP92</f>
        <v>0</v>
      </c>
      <c r="AY92" s="91" t="s">
        <v>644</v>
      </c>
      <c r="AZ92" s="91" t="s">
        <v>653</v>
      </c>
      <c r="BA92" s="154" t="s">
        <v>658</v>
      </c>
      <c r="BC92" s="90">
        <f>AW92+AX92</f>
        <v>0</v>
      </c>
      <c r="BD92" s="90">
        <f>G92/(100-BE92)*100</f>
        <v>100</v>
      </c>
      <c r="BE92" s="90">
        <v>0</v>
      </c>
      <c r="BF92" s="90">
        <f>L92</f>
        <v>0</v>
      </c>
      <c r="BH92" s="90">
        <f>F92*AO92</f>
        <v>0</v>
      </c>
      <c r="BI92" s="90">
        <f>F92*AP92</f>
        <v>0</v>
      </c>
      <c r="BJ92" s="90">
        <f>F92*G92</f>
        <v>0</v>
      </c>
    </row>
    <row r="93" spans="1:62" ht="12.75" hidden="1">
      <c r="A93" s="88" t="s">
        <v>146</v>
      </c>
      <c r="B93" s="88" t="s">
        <v>59</v>
      </c>
      <c r="C93" s="88" t="s">
        <v>316</v>
      </c>
      <c r="D93" s="88" t="s">
        <v>497</v>
      </c>
      <c r="E93" s="88" t="s">
        <v>611</v>
      </c>
      <c r="F93" s="90"/>
      <c r="G93" s="90">
        <v>250</v>
      </c>
      <c r="H93" s="90">
        <f>F93*AO93</f>
        <v>0</v>
      </c>
      <c r="I93" s="90">
        <f>F93*AP93</f>
        <v>0</v>
      </c>
      <c r="J93" s="90">
        <f>F93*G93</f>
        <v>0</v>
      </c>
      <c r="K93" s="90">
        <v>0</v>
      </c>
      <c r="L93" s="90">
        <f>F93*K93</f>
        <v>0</v>
      </c>
      <c r="M93" s="91" t="s">
        <v>622</v>
      </c>
      <c r="Z93" s="90">
        <f>IF(AQ93="5",BJ93,0)</f>
        <v>0</v>
      </c>
      <c r="AB93" s="90">
        <f>IF(AQ93="1",BH93,0)</f>
        <v>0</v>
      </c>
      <c r="AC93" s="90">
        <f>IF(AQ93="1",BI93,0)</f>
        <v>0</v>
      </c>
      <c r="AD93" s="90">
        <f>IF(AQ93="7",BH93,0)</f>
        <v>0</v>
      </c>
      <c r="AE93" s="90">
        <f>IF(AQ93="7",BI93,0)</f>
        <v>0</v>
      </c>
      <c r="AF93" s="90">
        <f>IF(AQ93="2",BH93,0)</f>
        <v>0</v>
      </c>
      <c r="AG93" s="90">
        <f>IF(AQ93="2",BI93,0)</f>
        <v>0</v>
      </c>
      <c r="AH93" s="90">
        <f>IF(AQ93="0",BJ93,0)</f>
        <v>0</v>
      </c>
      <c r="AI93" s="154" t="s">
        <v>59</v>
      </c>
      <c r="AJ93" s="90">
        <f>IF(AN93=0,J93,0)</f>
        <v>0</v>
      </c>
      <c r="AK93" s="90">
        <f>IF(AN93=15,J93,0)</f>
        <v>0</v>
      </c>
      <c r="AL93" s="90">
        <f>IF(AN93=21,J93,0)</f>
        <v>0</v>
      </c>
      <c r="AN93" s="90">
        <v>15</v>
      </c>
      <c r="AO93" s="90">
        <f>G93*0</f>
        <v>0</v>
      </c>
      <c r="AP93" s="90">
        <f>G93*(1-0)</f>
        <v>250</v>
      </c>
      <c r="AQ93" s="91" t="s">
        <v>85</v>
      </c>
      <c r="AV93" s="90">
        <f>AW93+AX93</f>
        <v>0</v>
      </c>
      <c r="AW93" s="90">
        <f>F93*AO93</f>
        <v>0</v>
      </c>
      <c r="AX93" s="90">
        <f>F93*AP93</f>
        <v>0</v>
      </c>
      <c r="AY93" s="91" t="s">
        <v>644</v>
      </c>
      <c r="AZ93" s="91" t="s">
        <v>653</v>
      </c>
      <c r="BA93" s="154" t="s">
        <v>658</v>
      </c>
      <c r="BC93" s="90">
        <f>AW93+AX93</f>
        <v>0</v>
      </c>
      <c r="BD93" s="90">
        <f>G93/(100-BE93)*100</f>
        <v>250</v>
      </c>
      <c r="BE93" s="90">
        <v>0</v>
      </c>
      <c r="BF93" s="90">
        <f>L93</f>
        <v>0</v>
      </c>
      <c r="BH93" s="90">
        <f>F93*AO93</f>
        <v>0</v>
      </c>
      <c r="BI93" s="90">
        <f>F93*AP93</f>
        <v>0</v>
      </c>
      <c r="BJ93" s="90">
        <f>F93*G93</f>
        <v>0</v>
      </c>
    </row>
    <row r="94" spans="1:47" ht="12.75" hidden="1">
      <c r="A94" s="159"/>
      <c r="B94" s="160" t="s">
        <v>59</v>
      </c>
      <c r="C94" s="160" t="s">
        <v>317</v>
      </c>
      <c r="D94" s="160" t="s">
        <v>506</v>
      </c>
      <c r="E94" s="159" t="s">
        <v>57</v>
      </c>
      <c r="F94" s="159"/>
      <c r="G94" s="159" t="s">
        <v>57</v>
      </c>
      <c r="H94" s="161">
        <f>SUM(H95:H137)</f>
        <v>0</v>
      </c>
      <c r="I94" s="161">
        <f>SUM(I95:I137)</f>
        <v>0</v>
      </c>
      <c r="J94" s="161">
        <f>SUM(J95:J137)</f>
        <v>0</v>
      </c>
      <c r="K94" s="154"/>
      <c r="L94" s="161">
        <f>SUM(L95:L137)</f>
        <v>0</v>
      </c>
      <c r="M94" s="154"/>
      <c r="AI94" s="154" t="s">
        <v>59</v>
      </c>
      <c r="AS94" s="161">
        <f>SUM(AJ95:AJ137)</f>
        <v>0</v>
      </c>
      <c r="AT94" s="161">
        <f>SUM(AK95:AK137)</f>
        <v>0</v>
      </c>
      <c r="AU94" s="161">
        <f>SUM(AL95:AL137)</f>
        <v>0</v>
      </c>
    </row>
    <row r="95" spans="1:62" ht="12.75" hidden="1">
      <c r="A95" s="88" t="s">
        <v>147</v>
      </c>
      <c r="B95" s="88" t="s">
        <v>59</v>
      </c>
      <c r="C95" s="88" t="s">
        <v>318</v>
      </c>
      <c r="D95" s="88" t="s">
        <v>507</v>
      </c>
      <c r="E95" s="88" t="s">
        <v>609</v>
      </c>
      <c r="F95" s="90"/>
      <c r="G95" s="90">
        <v>25</v>
      </c>
      <c r="H95" s="90">
        <f aca="true" t="shared" si="126" ref="H95:H137">F95*AO95</f>
        <v>0</v>
      </c>
      <c r="I95" s="90">
        <f aca="true" t="shared" si="127" ref="I95:I137">F95*AP95</f>
        <v>0</v>
      </c>
      <c r="J95" s="90">
        <f aca="true" t="shared" si="128" ref="J95:J137">F95*G95</f>
        <v>0</v>
      </c>
      <c r="K95" s="90">
        <v>0</v>
      </c>
      <c r="L95" s="90">
        <f aca="true" t="shared" si="129" ref="L95:L137">F95*K95</f>
        <v>0</v>
      </c>
      <c r="M95" s="91" t="s">
        <v>622</v>
      </c>
      <c r="Z95" s="90">
        <f aca="true" t="shared" si="130" ref="Z95:Z137">IF(AQ95="5",BJ95,0)</f>
        <v>0</v>
      </c>
      <c r="AB95" s="90">
        <f aca="true" t="shared" si="131" ref="AB95:AB137">IF(AQ95="1",BH95,0)</f>
        <v>0</v>
      </c>
      <c r="AC95" s="90">
        <f aca="true" t="shared" si="132" ref="AC95:AC137">IF(AQ95="1",BI95,0)</f>
        <v>0</v>
      </c>
      <c r="AD95" s="90">
        <f aca="true" t="shared" si="133" ref="AD95:AD137">IF(AQ95="7",BH95,0)</f>
        <v>0</v>
      </c>
      <c r="AE95" s="90">
        <f aca="true" t="shared" si="134" ref="AE95:AE137">IF(AQ95="7",BI95,0)</f>
        <v>0</v>
      </c>
      <c r="AF95" s="90">
        <f aca="true" t="shared" si="135" ref="AF95:AF137">IF(AQ95="2",BH95,0)</f>
        <v>0</v>
      </c>
      <c r="AG95" s="90">
        <f aca="true" t="shared" si="136" ref="AG95:AG137">IF(AQ95="2",BI95,0)</f>
        <v>0</v>
      </c>
      <c r="AH95" s="90">
        <f aca="true" t="shared" si="137" ref="AH95:AH137">IF(AQ95="0",BJ95,0)</f>
        <v>0</v>
      </c>
      <c r="AI95" s="154" t="s">
        <v>59</v>
      </c>
      <c r="AJ95" s="90">
        <f aca="true" t="shared" si="138" ref="AJ95:AJ137">IF(AN95=0,J95,0)</f>
        <v>0</v>
      </c>
      <c r="AK95" s="90">
        <f aca="true" t="shared" si="139" ref="AK95:AK137">IF(AN95=15,J95,0)</f>
        <v>0</v>
      </c>
      <c r="AL95" s="90">
        <f aca="true" t="shared" si="140" ref="AL95:AL137">IF(AN95=21,J95,0)</f>
        <v>0</v>
      </c>
      <c r="AN95" s="90">
        <v>15</v>
      </c>
      <c r="AO95" s="90">
        <f aca="true" t="shared" si="141" ref="AO95:AO137">G95*0</f>
        <v>0</v>
      </c>
      <c r="AP95" s="90">
        <f aca="true" t="shared" si="142" ref="AP95:AP137">G95*(1-0)</f>
        <v>25</v>
      </c>
      <c r="AQ95" s="91" t="s">
        <v>85</v>
      </c>
      <c r="AV95" s="90">
        <f aca="true" t="shared" si="143" ref="AV95:AV137">AW95+AX95</f>
        <v>0</v>
      </c>
      <c r="AW95" s="90">
        <f aca="true" t="shared" si="144" ref="AW95:AW137">F95*AO95</f>
        <v>0</v>
      </c>
      <c r="AX95" s="90">
        <f aca="true" t="shared" si="145" ref="AX95:AX137">F95*AP95</f>
        <v>0</v>
      </c>
      <c r="AY95" s="91" t="s">
        <v>645</v>
      </c>
      <c r="AZ95" s="91" t="s">
        <v>654</v>
      </c>
      <c r="BA95" s="154" t="s">
        <v>658</v>
      </c>
      <c r="BC95" s="90">
        <f aca="true" t="shared" si="146" ref="BC95:BC137">AW95+AX95</f>
        <v>0</v>
      </c>
      <c r="BD95" s="90">
        <f aca="true" t="shared" si="147" ref="BD95:BD137">G95/(100-BE95)*100</f>
        <v>25</v>
      </c>
      <c r="BE95" s="90">
        <v>0</v>
      </c>
      <c r="BF95" s="90">
        <f aca="true" t="shared" si="148" ref="BF95:BF137">L95</f>
        <v>0</v>
      </c>
      <c r="BH95" s="90">
        <f aca="true" t="shared" si="149" ref="BH95:BH137">F95*AO95</f>
        <v>0</v>
      </c>
      <c r="BI95" s="90">
        <f aca="true" t="shared" si="150" ref="BI95:BI137">F95*AP95</f>
        <v>0</v>
      </c>
      <c r="BJ95" s="90">
        <f aca="true" t="shared" si="151" ref="BJ95:BJ137">F95*G95</f>
        <v>0</v>
      </c>
    </row>
    <row r="96" spans="1:62" ht="12.75" hidden="1">
      <c r="A96" s="88" t="s">
        <v>148</v>
      </c>
      <c r="B96" s="88" t="s">
        <v>59</v>
      </c>
      <c r="C96" s="88" t="s">
        <v>319</v>
      </c>
      <c r="D96" s="88" t="s">
        <v>508</v>
      </c>
      <c r="E96" s="88" t="s">
        <v>606</v>
      </c>
      <c r="F96" s="90"/>
      <c r="G96" s="90">
        <v>100</v>
      </c>
      <c r="H96" s="90">
        <f t="shared" si="126"/>
        <v>0</v>
      </c>
      <c r="I96" s="90">
        <f t="shared" si="127"/>
        <v>0</v>
      </c>
      <c r="J96" s="90">
        <f t="shared" si="128"/>
        <v>0</v>
      </c>
      <c r="K96" s="90">
        <v>0</v>
      </c>
      <c r="L96" s="90">
        <f t="shared" si="129"/>
        <v>0</v>
      </c>
      <c r="M96" s="91" t="s">
        <v>622</v>
      </c>
      <c r="Z96" s="90">
        <f t="shared" si="130"/>
        <v>0</v>
      </c>
      <c r="AB96" s="90">
        <f t="shared" si="131"/>
        <v>0</v>
      </c>
      <c r="AC96" s="90">
        <f t="shared" si="132"/>
        <v>0</v>
      </c>
      <c r="AD96" s="90">
        <f t="shared" si="133"/>
        <v>0</v>
      </c>
      <c r="AE96" s="90">
        <f t="shared" si="134"/>
        <v>0</v>
      </c>
      <c r="AF96" s="90">
        <f t="shared" si="135"/>
        <v>0</v>
      </c>
      <c r="AG96" s="90">
        <f t="shared" si="136"/>
        <v>0</v>
      </c>
      <c r="AH96" s="90">
        <f t="shared" si="137"/>
        <v>0</v>
      </c>
      <c r="AI96" s="154" t="s">
        <v>59</v>
      </c>
      <c r="AJ96" s="90">
        <f t="shared" si="138"/>
        <v>0</v>
      </c>
      <c r="AK96" s="90">
        <f t="shared" si="139"/>
        <v>0</v>
      </c>
      <c r="AL96" s="90">
        <f t="shared" si="140"/>
        <v>0</v>
      </c>
      <c r="AN96" s="90">
        <v>15</v>
      </c>
      <c r="AO96" s="90">
        <f t="shared" si="141"/>
        <v>0</v>
      </c>
      <c r="AP96" s="90">
        <f t="shared" si="142"/>
        <v>100</v>
      </c>
      <c r="AQ96" s="91" t="s">
        <v>85</v>
      </c>
      <c r="AV96" s="90">
        <f t="shared" si="143"/>
        <v>0</v>
      </c>
      <c r="AW96" s="90">
        <f t="shared" si="144"/>
        <v>0</v>
      </c>
      <c r="AX96" s="90">
        <f t="shared" si="145"/>
        <v>0</v>
      </c>
      <c r="AY96" s="91" t="s">
        <v>645</v>
      </c>
      <c r="AZ96" s="91" t="s">
        <v>654</v>
      </c>
      <c r="BA96" s="154" t="s">
        <v>658</v>
      </c>
      <c r="BC96" s="90">
        <f t="shared" si="146"/>
        <v>0</v>
      </c>
      <c r="BD96" s="90">
        <f t="shared" si="147"/>
        <v>100</v>
      </c>
      <c r="BE96" s="90">
        <v>0</v>
      </c>
      <c r="BF96" s="90">
        <f t="shared" si="148"/>
        <v>0</v>
      </c>
      <c r="BH96" s="90">
        <f t="shared" si="149"/>
        <v>0</v>
      </c>
      <c r="BI96" s="90">
        <f t="shared" si="150"/>
        <v>0</v>
      </c>
      <c r="BJ96" s="90">
        <f t="shared" si="151"/>
        <v>0</v>
      </c>
    </row>
    <row r="97" spans="1:62" ht="12.75" hidden="1">
      <c r="A97" s="88" t="s">
        <v>149</v>
      </c>
      <c r="B97" s="88" t="s">
        <v>59</v>
      </c>
      <c r="C97" s="88" t="s">
        <v>320</v>
      </c>
      <c r="D97" s="88" t="s">
        <v>509</v>
      </c>
      <c r="E97" s="88" t="s">
        <v>609</v>
      </c>
      <c r="F97" s="90"/>
      <c r="G97" s="90">
        <v>96</v>
      </c>
      <c r="H97" s="90">
        <f t="shared" si="126"/>
        <v>0</v>
      </c>
      <c r="I97" s="90">
        <f t="shared" si="127"/>
        <v>0</v>
      </c>
      <c r="J97" s="90">
        <f t="shared" si="128"/>
        <v>0</v>
      </c>
      <c r="K97" s="90">
        <v>0</v>
      </c>
      <c r="L97" s="90">
        <f t="shared" si="129"/>
        <v>0</v>
      </c>
      <c r="M97" s="91" t="s">
        <v>622</v>
      </c>
      <c r="Z97" s="90">
        <f t="shared" si="130"/>
        <v>0</v>
      </c>
      <c r="AB97" s="90">
        <f t="shared" si="131"/>
        <v>0</v>
      </c>
      <c r="AC97" s="90">
        <f t="shared" si="132"/>
        <v>0</v>
      </c>
      <c r="AD97" s="90">
        <f t="shared" si="133"/>
        <v>0</v>
      </c>
      <c r="AE97" s="90">
        <f t="shared" si="134"/>
        <v>0</v>
      </c>
      <c r="AF97" s="90">
        <f t="shared" si="135"/>
        <v>0</v>
      </c>
      <c r="AG97" s="90">
        <f t="shared" si="136"/>
        <v>0</v>
      </c>
      <c r="AH97" s="90">
        <f t="shared" si="137"/>
        <v>0</v>
      </c>
      <c r="AI97" s="154" t="s">
        <v>59</v>
      </c>
      <c r="AJ97" s="90">
        <f t="shared" si="138"/>
        <v>0</v>
      </c>
      <c r="AK97" s="90">
        <f t="shared" si="139"/>
        <v>0</v>
      </c>
      <c r="AL97" s="90">
        <f t="shared" si="140"/>
        <v>0</v>
      </c>
      <c r="AN97" s="90">
        <v>15</v>
      </c>
      <c r="AO97" s="90">
        <f t="shared" si="141"/>
        <v>0</v>
      </c>
      <c r="AP97" s="90">
        <f t="shared" si="142"/>
        <v>96</v>
      </c>
      <c r="AQ97" s="91" t="s">
        <v>85</v>
      </c>
      <c r="AV97" s="90">
        <f t="shared" si="143"/>
        <v>0</v>
      </c>
      <c r="AW97" s="90">
        <f t="shared" si="144"/>
        <v>0</v>
      </c>
      <c r="AX97" s="90">
        <f t="shared" si="145"/>
        <v>0</v>
      </c>
      <c r="AY97" s="91" t="s">
        <v>645</v>
      </c>
      <c r="AZ97" s="91" t="s">
        <v>654</v>
      </c>
      <c r="BA97" s="154" t="s">
        <v>658</v>
      </c>
      <c r="BC97" s="90">
        <f t="shared" si="146"/>
        <v>0</v>
      </c>
      <c r="BD97" s="90">
        <f t="shared" si="147"/>
        <v>96</v>
      </c>
      <c r="BE97" s="90">
        <v>0</v>
      </c>
      <c r="BF97" s="90">
        <f t="shared" si="148"/>
        <v>0</v>
      </c>
      <c r="BH97" s="90">
        <f t="shared" si="149"/>
        <v>0</v>
      </c>
      <c r="BI97" s="90">
        <f t="shared" si="150"/>
        <v>0</v>
      </c>
      <c r="BJ97" s="90">
        <f t="shared" si="151"/>
        <v>0</v>
      </c>
    </row>
    <row r="98" spans="1:62" ht="12.75" hidden="1">
      <c r="A98" s="88" t="s">
        <v>150</v>
      </c>
      <c r="B98" s="88" t="s">
        <v>59</v>
      </c>
      <c r="C98" s="88" t="s">
        <v>321</v>
      </c>
      <c r="D98" s="88" t="s">
        <v>510</v>
      </c>
      <c r="E98" s="88" t="s">
        <v>609</v>
      </c>
      <c r="F98" s="90"/>
      <c r="G98" s="90">
        <v>125</v>
      </c>
      <c r="H98" s="90">
        <f t="shared" si="126"/>
        <v>0</v>
      </c>
      <c r="I98" s="90">
        <f t="shared" si="127"/>
        <v>0</v>
      </c>
      <c r="J98" s="90">
        <f t="shared" si="128"/>
        <v>0</v>
      </c>
      <c r="K98" s="90">
        <v>0</v>
      </c>
      <c r="L98" s="90">
        <f t="shared" si="129"/>
        <v>0</v>
      </c>
      <c r="M98" s="91" t="s">
        <v>622</v>
      </c>
      <c r="Z98" s="90">
        <f t="shared" si="130"/>
        <v>0</v>
      </c>
      <c r="AB98" s="90">
        <f t="shared" si="131"/>
        <v>0</v>
      </c>
      <c r="AC98" s="90">
        <f t="shared" si="132"/>
        <v>0</v>
      </c>
      <c r="AD98" s="90">
        <f t="shared" si="133"/>
        <v>0</v>
      </c>
      <c r="AE98" s="90">
        <f t="shared" si="134"/>
        <v>0</v>
      </c>
      <c r="AF98" s="90">
        <f t="shared" si="135"/>
        <v>0</v>
      </c>
      <c r="AG98" s="90">
        <f t="shared" si="136"/>
        <v>0</v>
      </c>
      <c r="AH98" s="90">
        <f t="shared" si="137"/>
        <v>0</v>
      </c>
      <c r="AI98" s="154" t="s">
        <v>59</v>
      </c>
      <c r="AJ98" s="90">
        <f t="shared" si="138"/>
        <v>0</v>
      </c>
      <c r="AK98" s="90">
        <f t="shared" si="139"/>
        <v>0</v>
      </c>
      <c r="AL98" s="90">
        <f t="shared" si="140"/>
        <v>0</v>
      </c>
      <c r="AN98" s="90">
        <v>15</v>
      </c>
      <c r="AO98" s="90">
        <f t="shared" si="141"/>
        <v>0</v>
      </c>
      <c r="AP98" s="90">
        <f t="shared" si="142"/>
        <v>125</v>
      </c>
      <c r="AQ98" s="91" t="s">
        <v>85</v>
      </c>
      <c r="AV98" s="90">
        <f t="shared" si="143"/>
        <v>0</v>
      </c>
      <c r="AW98" s="90">
        <f t="shared" si="144"/>
        <v>0</v>
      </c>
      <c r="AX98" s="90">
        <f t="shared" si="145"/>
        <v>0</v>
      </c>
      <c r="AY98" s="91" t="s">
        <v>645</v>
      </c>
      <c r="AZ98" s="91" t="s">
        <v>654</v>
      </c>
      <c r="BA98" s="154" t="s">
        <v>658</v>
      </c>
      <c r="BC98" s="90">
        <f t="shared" si="146"/>
        <v>0</v>
      </c>
      <c r="BD98" s="90">
        <f t="shared" si="147"/>
        <v>125</v>
      </c>
      <c r="BE98" s="90">
        <v>0</v>
      </c>
      <c r="BF98" s="90">
        <f t="shared" si="148"/>
        <v>0</v>
      </c>
      <c r="BH98" s="90">
        <f t="shared" si="149"/>
        <v>0</v>
      </c>
      <c r="BI98" s="90">
        <f t="shared" si="150"/>
        <v>0</v>
      </c>
      <c r="BJ98" s="90">
        <f t="shared" si="151"/>
        <v>0</v>
      </c>
    </row>
    <row r="99" spans="1:62" ht="12.75" hidden="1">
      <c r="A99" s="88" t="s">
        <v>151</v>
      </c>
      <c r="B99" s="88" t="s">
        <v>59</v>
      </c>
      <c r="C99" s="88" t="s">
        <v>322</v>
      </c>
      <c r="D99" s="88" t="s">
        <v>511</v>
      </c>
      <c r="E99" s="88" t="s">
        <v>609</v>
      </c>
      <c r="F99" s="90"/>
      <c r="G99" s="90">
        <v>200</v>
      </c>
      <c r="H99" s="90">
        <f t="shared" si="126"/>
        <v>0</v>
      </c>
      <c r="I99" s="90">
        <f t="shared" si="127"/>
        <v>0</v>
      </c>
      <c r="J99" s="90">
        <f t="shared" si="128"/>
        <v>0</v>
      </c>
      <c r="K99" s="90">
        <v>0</v>
      </c>
      <c r="L99" s="90">
        <f t="shared" si="129"/>
        <v>0</v>
      </c>
      <c r="M99" s="91" t="s">
        <v>622</v>
      </c>
      <c r="Z99" s="90">
        <f t="shared" si="130"/>
        <v>0</v>
      </c>
      <c r="AB99" s="90">
        <f t="shared" si="131"/>
        <v>0</v>
      </c>
      <c r="AC99" s="90">
        <f t="shared" si="132"/>
        <v>0</v>
      </c>
      <c r="AD99" s="90">
        <f t="shared" si="133"/>
        <v>0</v>
      </c>
      <c r="AE99" s="90">
        <f t="shared" si="134"/>
        <v>0</v>
      </c>
      <c r="AF99" s="90">
        <f t="shared" si="135"/>
        <v>0</v>
      </c>
      <c r="AG99" s="90">
        <f t="shared" si="136"/>
        <v>0</v>
      </c>
      <c r="AH99" s="90">
        <f t="shared" si="137"/>
        <v>0</v>
      </c>
      <c r="AI99" s="154" t="s">
        <v>59</v>
      </c>
      <c r="AJ99" s="90">
        <f t="shared" si="138"/>
        <v>0</v>
      </c>
      <c r="AK99" s="90">
        <f t="shared" si="139"/>
        <v>0</v>
      </c>
      <c r="AL99" s="90">
        <f t="shared" si="140"/>
        <v>0</v>
      </c>
      <c r="AN99" s="90">
        <v>15</v>
      </c>
      <c r="AO99" s="90">
        <f t="shared" si="141"/>
        <v>0</v>
      </c>
      <c r="AP99" s="90">
        <f t="shared" si="142"/>
        <v>200</v>
      </c>
      <c r="AQ99" s="91" t="s">
        <v>85</v>
      </c>
      <c r="AV99" s="90">
        <f t="shared" si="143"/>
        <v>0</v>
      </c>
      <c r="AW99" s="90">
        <f t="shared" si="144"/>
        <v>0</v>
      </c>
      <c r="AX99" s="90">
        <f t="shared" si="145"/>
        <v>0</v>
      </c>
      <c r="AY99" s="91" t="s">
        <v>645</v>
      </c>
      <c r="AZ99" s="91" t="s">
        <v>654</v>
      </c>
      <c r="BA99" s="154" t="s">
        <v>658</v>
      </c>
      <c r="BC99" s="90">
        <f t="shared" si="146"/>
        <v>0</v>
      </c>
      <c r="BD99" s="90">
        <f t="shared" si="147"/>
        <v>200</v>
      </c>
      <c r="BE99" s="90">
        <v>0</v>
      </c>
      <c r="BF99" s="90">
        <f t="shared" si="148"/>
        <v>0</v>
      </c>
      <c r="BH99" s="90">
        <f t="shared" si="149"/>
        <v>0</v>
      </c>
      <c r="BI99" s="90">
        <f t="shared" si="150"/>
        <v>0</v>
      </c>
      <c r="BJ99" s="90">
        <f t="shared" si="151"/>
        <v>0</v>
      </c>
    </row>
    <row r="100" spans="1:62" ht="12.75" hidden="1">
      <c r="A100" s="88" t="s">
        <v>152</v>
      </c>
      <c r="B100" s="88" t="s">
        <v>59</v>
      </c>
      <c r="C100" s="88" t="s">
        <v>323</v>
      </c>
      <c r="D100" s="88" t="s">
        <v>512</v>
      </c>
      <c r="E100" s="88" t="s">
        <v>609</v>
      </c>
      <c r="F100" s="90"/>
      <c r="G100" s="90">
        <v>280</v>
      </c>
      <c r="H100" s="90">
        <f t="shared" si="126"/>
        <v>0</v>
      </c>
      <c r="I100" s="90">
        <f t="shared" si="127"/>
        <v>0</v>
      </c>
      <c r="J100" s="90">
        <f t="shared" si="128"/>
        <v>0</v>
      </c>
      <c r="K100" s="90">
        <v>0</v>
      </c>
      <c r="L100" s="90">
        <f t="shared" si="129"/>
        <v>0</v>
      </c>
      <c r="M100" s="91" t="s">
        <v>622</v>
      </c>
      <c r="Z100" s="90">
        <f t="shared" si="130"/>
        <v>0</v>
      </c>
      <c r="AB100" s="90">
        <f t="shared" si="131"/>
        <v>0</v>
      </c>
      <c r="AC100" s="90">
        <f t="shared" si="132"/>
        <v>0</v>
      </c>
      <c r="AD100" s="90">
        <f t="shared" si="133"/>
        <v>0</v>
      </c>
      <c r="AE100" s="90">
        <f t="shared" si="134"/>
        <v>0</v>
      </c>
      <c r="AF100" s="90">
        <f t="shared" si="135"/>
        <v>0</v>
      </c>
      <c r="AG100" s="90">
        <f t="shared" si="136"/>
        <v>0</v>
      </c>
      <c r="AH100" s="90">
        <f t="shared" si="137"/>
        <v>0</v>
      </c>
      <c r="AI100" s="154" t="s">
        <v>59</v>
      </c>
      <c r="AJ100" s="90">
        <f t="shared" si="138"/>
        <v>0</v>
      </c>
      <c r="AK100" s="90">
        <f t="shared" si="139"/>
        <v>0</v>
      </c>
      <c r="AL100" s="90">
        <f t="shared" si="140"/>
        <v>0</v>
      </c>
      <c r="AN100" s="90">
        <v>15</v>
      </c>
      <c r="AO100" s="90">
        <f t="shared" si="141"/>
        <v>0</v>
      </c>
      <c r="AP100" s="90">
        <f t="shared" si="142"/>
        <v>280</v>
      </c>
      <c r="AQ100" s="91" t="s">
        <v>85</v>
      </c>
      <c r="AV100" s="90">
        <f t="shared" si="143"/>
        <v>0</v>
      </c>
      <c r="AW100" s="90">
        <f t="shared" si="144"/>
        <v>0</v>
      </c>
      <c r="AX100" s="90">
        <f t="shared" si="145"/>
        <v>0</v>
      </c>
      <c r="AY100" s="91" t="s">
        <v>645</v>
      </c>
      <c r="AZ100" s="91" t="s">
        <v>654</v>
      </c>
      <c r="BA100" s="154" t="s">
        <v>658</v>
      </c>
      <c r="BC100" s="90">
        <f t="shared" si="146"/>
        <v>0</v>
      </c>
      <c r="BD100" s="90">
        <f t="shared" si="147"/>
        <v>280</v>
      </c>
      <c r="BE100" s="90">
        <v>0</v>
      </c>
      <c r="BF100" s="90">
        <f t="shared" si="148"/>
        <v>0</v>
      </c>
      <c r="BH100" s="90">
        <f t="shared" si="149"/>
        <v>0</v>
      </c>
      <c r="BI100" s="90">
        <f t="shared" si="150"/>
        <v>0</v>
      </c>
      <c r="BJ100" s="90">
        <f t="shared" si="151"/>
        <v>0</v>
      </c>
    </row>
    <row r="101" spans="1:62" ht="12.75" hidden="1">
      <c r="A101" s="88" t="s">
        <v>153</v>
      </c>
      <c r="B101" s="88" t="s">
        <v>59</v>
      </c>
      <c r="C101" s="88" t="s">
        <v>324</v>
      </c>
      <c r="D101" s="88" t="s">
        <v>513</v>
      </c>
      <c r="E101" s="88" t="s">
        <v>609</v>
      </c>
      <c r="F101" s="90"/>
      <c r="G101" s="90">
        <v>85</v>
      </c>
      <c r="H101" s="90">
        <f t="shared" si="126"/>
        <v>0</v>
      </c>
      <c r="I101" s="90">
        <f t="shared" si="127"/>
        <v>0</v>
      </c>
      <c r="J101" s="90">
        <f t="shared" si="128"/>
        <v>0</v>
      </c>
      <c r="K101" s="90">
        <v>0</v>
      </c>
      <c r="L101" s="90">
        <f t="shared" si="129"/>
        <v>0</v>
      </c>
      <c r="M101" s="91" t="s">
        <v>622</v>
      </c>
      <c r="Z101" s="90">
        <f t="shared" si="130"/>
        <v>0</v>
      </c>
      <c r="AB101" s="90">
        <f t="shared" si="131"/>
        <v>0</v>
      </c>
      <c r="AC101" s="90">
        <f t="shared" si="132"/>
        <v>0</v>
      </c>
      <c r="AD101" s="90">
        <f t="shared" si="133"/>
        <v>0</v>
      </c>
      <c r="AE101" s="90">
        <f t="shared" si="134"/>
        <v>0</v>
      </c>
      <c r="AF101" s="90">
        <f t="shared" si="135"/>
        <v>0</v>
      </c>
      <c r="AG101" s="90">
        <f t="shared" si="136"/>
        <v>0</v>
      </c>
      <c r="AH101" s="90">
        <f t="shared" si="137"/>
        <v>0</v>
      </c>
      <c r="AI101" s="154" t="s">
        <v>59</v>
      </c>
      <c r="AJ101" s="90">
        <f t="shared" si="138"/>
        <v>0</v>
      </c>
      <c r="AK101" s="90">
        <f t="shared" si="139"/>
        <v>0</v>
      </c>
      <c r="AL101" s="90">
        <f t="shared" si="140"/>
        <v>0</v>
      </c>
      <c r="AN101" s="90">
        <v>15</v>
      </c>
      <c r="AO101" s="90">
        <f t="shared" si="141"/>
        <v>0</v>
      </c>
      <c r="AP101" s="90">
        <f t="shared" si="142"/>
        <v>85</v>
      </c>
      <c r="AQ101" s="91" t="s">
        <v>85</v>
      </c>
      <c r="AV101" s="90">
        <f t="shared" si="143"/>
        <v>0</v>
      </c>
      <c r="AW101" s="90">
        <f t="shared" si="144"/>
        <v>0</v>
      </c>
      <c r="AX101" s="90">
        <f t="shared" si="145"/>
        <v>0</v>
      </c>
      <c r="AY101" s="91" t="s">
        <v>645</v>
      </c>
      <c r="AZ101" s="91" t="s">
        <v>654</v>
      </c>
      <c r="BA101" s="154" t="s">
        <v>658</v>
      </c>
      <c r="BC101" s="90">
        <f t="shared" si="146"/>
        <v>0</v>
      </c>
      <c r="BD101" s="90">
        <f t="shared" si="147"/>
        <v>85</v>
      </c>
      <c r="BE101" s="90">
        <v>0</v>
      </c>
      <c r="BF101" s="90">
        <f t="shared" si="148"/>
        <v>0</v>
      </c>
      <c r="BH101" s="90">
        <f t="shared" si="149"/>
        <v>0</v>
      </c>
      <c r="BI101" s="90">
        <f t="shared" si="150"/>
        <v>0</v>
      </c>
      <c r="BJ101" s="90">
        <f t="shared" si="151"/>
        <v>0</v>
      </c>
    </row>
    <row r="102" spans="1:62" ht="12.75" hidden="1">
      <c r="A102" s="88" t="s">
        <v>154</v>
      </c>
      <c r="B102" s="88" t="s">
        <v>59</v>
      </c>
      <c r="C102" s="88" t="s">
        <v>325</v>
      </c>
      <c r="D102" s="88" t="s">
        <v>514</v>
      </c>
      <c r="E102" s="88" t="s">
        <v>609</v>
      </c>
      <c r="F102" s="90"/>
      <c r="G102" s="90">
        <v>85</v>
      </c>
      <c r="H102" s="90">
        <f t="shared" si="126"/>
        <v>0</v>
      </c>
      <c r="I102" s="90">
        <f t="shared" si="127"/>
        <v>0</v>
      </c>
      <c r="J102" s="90">
        <f t="shared" si="128"/>
        <v>0</v>
      </c>
      <c r="K102" s="90">
        <v>0</v>
      </c>
      <c r="L102" s="90">
        <f t="shared" si="129"/>
        <v>0</v>
      </c>
      <c r="M102" s="91" t="s">
        <v>622</v>
      </c>
      <c r="Z102" s="90">
        <f t="shared" si="130"/>
        <v>0</v>
      </c>
      <c r="AB102" s="90">
        <f t="shared" si="131"/>
        <v>0</v>
      </c>
      <c r="AC102" s="90">
        <f t="shared" si="132"/>
        <v>0</v>
      </c>
      <c r="AD102" s="90">
        <f t="shared" si="133"/>
        <v>0</v>
      </c>
      <c r="AE102" s="90">
        <f t="shared" si="134"/>
        <v>0</v>
      </c>
      <c r="AF102" s="90">
        <f t="shared" si="135"/>
        <v>0</v>
      </c>
      <c r="AG102" s="90">
        <f t="shared" si="136"/>
        <v>0</v>
      </c>
      <c r="AH102" s="90">
        <f t="shared" si="137"/>
        <v>0</v>
      </c>
      <c r="AI102" s="154" t="s">
        <v>59</v>
      </c>
      <c r="AJ102" s="90">
        <f t="shared" si="138"/>
        <v>0</v>
      </c>
      <c r="AK102" s="90">
        <f t="shared" si="139"/>
        <v>0</v>
      </c>
      <c r="AL102" s="90">
        <f t="shared" si="140"/>
        <v>0</v>
      </c>
      <c r="AN102" s="90">
        <v>15</v>
      </c>
      <c r="AO102" s="90">
        <f t="shared" si="141"/>
        <v>0</v>
      </c>
      <c r="AP102" s="90">
        <f t="shared" si="142"/>
        <v>85</v>
      </c>
      <c r="AQ102" s="91" t="s">
        <v>85</v>
      </c>
      <c r="AV102" s="90">
        <f t="shared" si="143"/>
        <v>0</v>
      </c>
      <c r="AW102" s="90">
        <f t="shared" si="144"/>
        <v>0</v>
      </c>
      <c r="AX102" s="90">
        <f t="shared" si="145"/>
        <v>0</v>
      </c>
      <c r="AY102" s="91" t="s">
        <v>645</v>
      </c>
      <c r="AZ102" s="91" t="s">
        <v>654</v>
      </c>
      <c r="BA102" s="154" t="s">
        <v>658</v>
      </c>
      <c r="BC102" s="90">
        <f t="shared" si="146"/>
        <v>0</v>
      </c>
      <c r="BD102" s="90">
        <f t="shared" si="147"/>
        <v>85</v>
      </c>
      <c r="BE102" s="90">
        <v>0</v>
      </c>
      <c r="BF102" s="90">
        <f t="shared" si="148"/>
        <v>0</v>
      </c>
      <c r="BH102" s="90">
        <f t="shared" si="149"/>
        <v>0</v>
      </c>
      <c r="BI102" s="90">
        <f t="shared" si="150"/>
        <v>0</v>
      </c>
      <c r="BJ102" s="90">
        <f t="shared" si="151"/>
        <v>0</v>
      </c>
    </row>
    <row r="103" spans="1:62" ht="12.75" hidden="1">
      <c r="A103" s="88" t="s">
        <v>155</v>
      </c>
      <c r="B103" s="88" t="s">
        <v>59</v>
      </c>
      <c r="C103" s="88" t="s">
        <v>326</v>
      </c>
      <c r="D103" s="88" t="s">
        <v>515</v>
      </c>
      <c r="E103" s="88" t="s">
        <v>609</v>
      </c>
      <c r="F103" s="90"/>
      <c r="G103" s="90">
        <v>85</v>
      </c>
      <c r="H103" s="90">
        <f t="shared" si="126"/>
        <v>0</v>
      </c>
      <c r="I103" s="90">
        <f t="shared" si="127"/>
        <v>0</v>
      </c>
      <c r="J103" s="90">
        <f t="shared" si="128"/>
        <v>0</v>
      </c>
      <c r="K103" s="90">
        <v>0</v>
      </c>
      <c r="L103" s="90">
        <f t="shared" si="129"/>
        <v>0</v>
      </c>
      <c r="M103" s="91" t="s">
        <v>622</v>
      </c>
      <c r="Z103" s="90">
        <f t="shared" si="130"/>
        <v>0</v>
      </c>
      <c r="AB103" s="90">
        <f t="shared" si="131"/>
        <v>0</v>
      </c>
      <c r="AC103" s="90">
        <f t="shared" si="132"/>
        <v>0</v>
      </c>
      <c r="AD103" s="90">
        <f t="shared" si="133"/>
        <v>0</v>
      </c>
      <c r="AE103" s="90">
        <f t="shared" si="134"/>
        <v>0</v>
      </c>
      <c r="AF103" s="90">
        <f t="shared" si="135"/>
        <v>0</v>
      </c>
      <c r="AG103" s="90">
        <f t="shared" si="136"/>
        <v>0</v>
      </c>
      <c r="AH103" s="90">
        <f t="shared" si="137"/>
        <v>0</v>
      </c>
      <c r="AI103" s="154" t="s">
        <v>59</v>
      </c>
      <c r="AJ103" s="90">
        <f t="shared" si="138"/>
        <v>0</v>
      </c>
      <c r="AK103" s="90">
        <f t="shared" si="139"/>
        <v>0</v>
      </c>
      <c r="AL103" s="90">
        <f t="shared" si="140"/>
        <v>0</v>
      </c>
      <c r="AN103" s="90">
        <v>15</v>
      </c>
      <c r="AO103" s="90">
        <f t="shared" si="141"/>
        <v>0</v>
      </c>
      <c r="AP103" s="90">
        <f t="shared" si="142"/>
        <v>85</v>
      </c>
      <c r="AQ103" s="91" t="s">
        <v>85</v>
      </c>
      <c r="AV103" s="90">
        <f t="shared" si="143"/>
        <v>0</v>
      </c>
      <c r="AW103" s="90">
        <f t="shared" si="144"/>
        <v>0</v>
      </c>
      <c r="AX103" s="90">
        <f t="shared" si="145"/>
        <v>0</v>
      </c>
      <c r="AY103" s="91" t="s">
        <v>645</v>
      </c>
      <c r="AZ103" s="91" t="s">
        <v>654</v>
      </c>
      <c r="BA103" s="154" t="s">
        <v>658</v>
      </c>
      <c r="BC103" s="90">
        <f t="shared" si="146"/>
        <v>0</v>
      </c>
      <c r="BD103" s="90">
        <f t="shared" si="147"/>
        <v>85</v>
      </c>
      <c r="BE103" s="90">
        <v>0</v>
      </c>
      <c r="BF103" s="90">
        <f t="shared" si="148"/>
        <v>0</v>
      </c>
      <c r="BH103" s="90">
        <f t="shared" si="149"/>
        <v>0</v>
      </c>
      <c r="BI103" s="90">
        <f t="shared" si="150"/>
        <v>0</v>
      </c>
      <c r="BJ103" s="90">
        <f t="shared" si="151"/>
        <v>0</v>
      </c>
    </row>
    <row r="104" spans="1:62" ht="12.75" hidden="1">
      <c r="A104" s="88" t="s">
        <v>156</v>
      </c>
      <c r="B104" s="88" t="s">
        <v>59</v>
      </c>
      <c r="C104" s="88" t="s">
        <v>327</v>
      </c>
      <c r="D104" s="88" t="s">
        <v>516</v>
      </c>
      <c r="E104" s="88" t="s">
        <v>609</v>
      </c>
      <c r="F104" s="90"/>
      <c r="G104" s="90">
        <v>55</v>
      </c>
      <c r="H104" s="90">
        <f t="shared" si="126"/>
        <v>0</v>
      </c>
      <c r="I104" s="90">
        <f t="shared" si="127"/>
        <v>0</v>
      </c>
      <c r="J104" s="90">
        <f t="shared" si="128"/>
        <v>0</v>
      </c>
      <c r="K104" s="90">
        <v>0</v>
      </c>
      <c r="L104" s="90">
        <f t="shared" si="129"/>
        <v>0</v>
      </c>
      <c r="M104" s="91" t="s">
        <v>622</v>
      </c>
      <c r="Z104" s="90">
        <f t="shared" si="130"/>
        <v>0</v>
      </c>
      <c r="AB104" s="90">
        <f t="shared" si="131"/>
        <v>0</v>
      </c>
      <c r="AC104" s="90">
        <f t="shared" si="132"/>
        <v>0</v>
      </c>
      <c r="AD104" s="90">
        <f t="shared" si="133"/>
        <v>0</v>
      </c>
      <c r="AE104" s="90">
        <f t="shared" si="134"/>
        <v>0</v>
      </c>
      <c r="AF104" s="90">
        <f t="shared" si="135"/>
        <v>0</v>
      </c>
      <c r="AG104" s="90">
        <f t="shared" si="136"/>
        <v>0</v>
      </c>
      <c r="AH104" s="90">
        <f t="shared" si="137"/>
        <v>0</v>
      </c>
      <c r="AI104" s="154" t="s">
        <v>59</v>
      </c>
      <c r="AJ104" s="90">
        <f t="shared" si="138"/>
        <v>0</v>
      </c>
      <c r="AK104" s="90">
        <f t="shared" si="139"/>
        <v>0</v>
      </c>
      <c r="AL104" s="90">
        <f t="shared" si="140"/>
        <v>0</v>
      </c>
      <c r="AN104" s="90">
        <v>15</v>
      </c>
      <c r="AO104" s="90">
        <f t="shared" si="141"/>
        <v>0</v>
      </c>
      <c r="AP104" s="90">
        <f t="shared" si="142"/>
        <v>55</v>
      </c>
      <c r="AQ104" s="91" t="s">
        <v>85</v>
      </c>
      <c r="AV104" s="90">
        <f t="shared" si="143"/>
        <v>0</v>
      </c>
      <c r="AW104" s="90">
        <f t="shared" si="144"/>
        <v>0</v>
      </c>
      <c r="AX104" s="90">
        <f t="shared" si="145"/>
        <v>0</v>
      </c>
      <c r="AY104" s="91" t="s">
        <v>645</v>
      </c>
      <c r="AZ104" s="91" t="s">
        <v>654</v>
      </c>
      <c r="BA104" s="154" t="s">
        <v>658</v>
      </c>
      <c r="BC104" s="90">
        <f t="shared" si="146"/>
        <v>0</v>
      </c>
      <c r="BD104" s="90">
        <f t="shared" si="147"/>
        <v>55.00000000000001</v>
      </c>
      <c r="BE104" s="90">
        <v>0</v>
      </c>
      <c r="BF104" s="90">
        <f t="shared" si="148"/>
        <v>0</v>
      </c>
      <c r="BH104" s="90">
        <f t="shared" si="149"/>
        <v>0</v>
      </c>
      <c r="BI104" s="90">
        <f t="shared" si="150"/>
        <v>0</v>
      </c>
      <c r="BJ104" s="90">
        <f t="shared" si="151"/>
        <v>0</v>
      </c>
    </row>
    <row r="105" spans="1:62" ht="12.75" hidden="1">
      <c r="A105" s="88" t="s">
        <v>157</v>
      </c>
      <c r="B105" s="88" t="s">
        <v>59</v>
      </c>
      <c r="C105" s="88" t="s">
        <v>328</v>
      </c>
      <c r="D105" s="88" t="s">
        <v>517</v>
      </c>
      <c r="E105" s="88" t="s">
        <v>606</v>
      </c>
      <c r="F105" s="90"/>
      <c r="G105" s="90">
        <v>11370</v>
      </c>
      <c r="H105" s="90">
        <f t="shared" si="126"/>
        <v>0</v>
      </c>
      <c r="I105" s="90">
        <f t="shared" si="127"/>
        <v>0</v>
      </c>
      <c r="J105" s="90">
        <f t="shared" si="128"/>
        <v>0</v>
      </c>
      <c r="K105" s="90">
        <v>0</v>
      </c>
      <c r="L105" s="90">
        <f t="shared" si="129"/>
        <v>0</v>
      </c>
      <c r="M105" s="91" t="s">
        <v>622</v>
      </c>
      <c r="Z105" s="90">
        <f t="shared" si="130"/>
        <v>0</v>
      </c>
      <c r="AB105" s="90">
        <f t="shared" si="131"/>
        <v>0</v>
      </c>
      <c r="AC105" s="90">
        <f t="shared" si="132"/>
        <v>0</v>
      </c>
      <c r="AD105" s="90">
        <f t="shared" si="133"/>
        <v>0</v>
      </c>
      <c r="AE105" s="90">
        <f t="shared" si="134"/>
        <v>0</v>
      </c>
      <c r="AF105" s="90">
        <f t="shared" si="135"/>
        <v>0</v>
      </c>
      <c r="AG105" s="90">
        <f t="shared" si="136"/>
        <v>0</v>
      </c>
      <c r="AH105" s="90">
        <f t="shared" si="137"/>
        <v>0</v>
      </c>
      <c r="AI105" s="154" t="s">
        <v>59</v>
      </c>
      <c r="AJ105" s="90">
        <f t="shared" si="138"/>
        <v>0</v>
      </c>
      <c r="AK105" s="90">
        <f t="shared" si="139"/>
        <v>0</v>
      </c>
      <c r="AL105" s="90">
        <f t="shared" si="140"/>
        <v>0</v>
      </c>
      <c r="AN105" s="90">
        <v>15</v>
      </c>
      <c r="AO105" s="90">
        <f t="shared" si="141"/>
        <v>0</v>
      </c>
      <c r="AP105" s="90">
        <f t="shared" si="142"/>
        <v>11370</v>
      </c>
      <c r="AQ105" s="91" t="s">
        <v>85</v>
      </c>
      <c r="AV105" s="90">
        <f t="shared" si="143"/>
        <v>0</v>
      </c>
      <c r="AW105" s="90">
        <f t="shared" si="144"/>
        <v>0</v>
      </c>
      <c r="AX105" s="90">
        <f t="shared" si="145"/>
        <v>0</v>
      </c>
      <c r="AY105" s="91" t="s">
        <v>645</v>
      </c>
      <c r="AZ105" s="91" t="s">
        <v>654</v>
      </c>
      <c r="BA105" s="154" t="s">
        <v>658</v>
      </c>
      <c r="BC105" s="90">
        <f t="shared" si="146"/>
        <v>0</v>
      </c>
      <c r="BD105" s="90">
        <f t="shared" si="147"/>
        <v>11370</v>
      </c>
      <c r="BE105" s="90">
        <v>0</v>
      </c>
      <c r="BF105" s="90">
        <f t="shared" si="148"/>
        <v>0</v>
      </c>
      <c r="BH105" s="90">
        <f t="shared" si="149"/>
        <v>0</v>
      </c>
      <c r="BI105" s="90">
        <f t="shared" si="150"/>
        <v>0</v>
      </c>
      <c r="BJ105" s="90">
        <f t="shared" si="151"/>
        <v>0</v>
      </c>
    </row>
    <row r="106" spans="1:62" ht="12.75" hidden="1">
      <c r="A106" s="88" t="s">
        <v>158</v>
      </c>
      <c r="B106" s="88" t="s">
        <v>59</v>
      </c>
      <c r="C106" s="88" t="s">
        <v>329</v>
      </c>
      <c r="D106" s="88" t="s">
        <v>518</v>
      </c>
      <c r="E106" s="88" t="s">
        <v>606</v>
      </c>
      <c r="F106" s="90"/>
      <c r="G106" s="90">
        <v>235</v>
      </c>
      <c r="H106" s="90">
        <f t="shared" si="126"/>
        <v>0</v>
      </c>
      <c r="I106" s="90">
        <f t="shared" si="127"/>
        <v>0</v>
      </c>
      <c r="J106" s="90">
        <f t="shared" si="128"/>
        <v>0</v>
      </c>
      <c r="K106" s="90">
        <v>0</v>
      </c>
      <c r="L106" s="90">
        <f t="shared" si="129"/>
        <v>0</v>
      </c>
      <c r="M106" s="91" t="s">
        <v>622</v>
      </c>
      <c r="Z106" s="90">
        <f t="shared" si="130"/>
        <v>0</v>
      </c>
      <c r="AB106" s="90">
        <f t="shared" si="131"/>
        <v>0</v>
      </c>
      <c r="AC106" s="90">
        <f t="shared" si="132"/>
        <v>0</v>
      </c>
      <c r="AD106" s="90">
        <f t="shared" si="133"/>
        <v>0</v>
      </c>
      <c r="AE106" s="90">
        <f t="shared" si="134"/>
        <v>0</v>
      </c>
      <c r="AF106" s="90">
        <f t="shared" si="135"/>
        <v>0</v>
      </c>
      <c r="AG106" s="90">
        <f t="shared" si="136"/>
        <v>0</v>
      </c>
      <c r="AH106" s="90">
        <f t="shared" si="137"/>
        <v>0</v>
      </c>
      <c r="AI106" s="154" t="s">
        <v>59</v>
      </c>
      <c r="AJ106" s="90">
        <f t="shared" si="138"/>
        <v>0</v>
      </c>
      <c r="AK106" s="90">
        <f t="shared" si="139"/>
        <v>0</v>
      </c>
      <c r="AL106" s="90">
        <f t="shared" si="140"/>
        <v>0</v>
      </c>
      <c r="AN106" s="90">
        <v>15</v>
      </c>
      <c r="AO106" s="90">
        <f t="shared" si="141"/>
        <v>0</v>
      </c>
      <c r="AP106" s="90">
        <f t="shared" si="142"/>
        <v>235</v>
      </c>
      <c r="AQ106" s="91" t="s">
        <v>85</v>
      </c>
      <c r="AV106" s="90">
        <f t="shared" si="143"/>
        <v>0</v>
      </c>
      <c r="AW106" s="90">
        <f t="shared" si="144"/>
        <v>0</v>
      </c>
      <c r="AX106" s="90">
        <f t="shared" si="145"/>
        <v>0</v>
      </c>
      <c r="AY106" s="91" t="s">
        <v>645</v>
      </c>
      <c r="AZ106" s="91" t="s">
        <v>654</v>
      </c>
      <c r="BA106" s="154" t="s">
        <v>658</v>
      </c>
      <c r="BC106" s="90">
        <f t="shared" si="146"/>
        <v>0</v>
      </c>
      <c r="BD106" s="90">
        <f t="shared" si="147"/>
        <v>235</v>
      </c>
      <c r="BE106" s="90">
        <v>0</v>
      </c>
      <c r="BF106" s="90">
        <f t="shared" si="148"/>
        <v>0</v>
      </c>
      <c r="BH106" s="90">
        <f t="shared" si="149"/>
        <v>0</v>
      </c>
      <c r="BI106" s="90">
        <f t="shared" si="150"/>
        <v>0</v>
      </c>
      <c r="BJ106" s="90">
        <f t="shared" si="151"/>
        <v>0</v>
      </c>
    </row>
    <row r="107" spans="1:62" ht="12.75" hidden="1">
      <c r="A107" s="88" t="s">
        <v>159</v>
      </c>
      <c r="B107" s="88" t="s">
        <v>59</v>
      </c>
      <c r="C107" s="88" t="s">
        <v>330</v>
      </c>
      <c r="D107" s="88" t="s">
        <v>519</v>
      </c>
      <c r="E107" s="88" t="s">
        <v>606</v>
      </c>
      <c r="F107" s="90"/>
      <c r="G107" s="90">
        <v>265</v>
      </c>
      <c r="H107" s="90">
        <f t="shared" si="126"/>
        <v>0</v>
      </c>
      <c r="I107" s="90">
        <f t="shared" si="127"/>
        <v>0</v>
      </c>
      <c r="J107" s="90">
        <f t="shared" si="128"/>
        <v>0</v>
      </c>
      <c r="K107" s="90">
        <v>0</v>
      </c>
      <c r="L107" s="90">
        <f t="shared" si="129"/>
        <v>0</v>
      </c>
      <c r="M107" s="91" t="s">
        <v>622</v>
      </c>
      <c r="Z107" s="90">
        <f t="shared" si="130"/>
        <v>0</v>
      </c>
      <c r="AB107" s="90">
        <f t="shared" si="131"/>
        <v>0</v>
      </c>
      <c r="AC107" s="90">
        <f t="shared" si="132"/>
        <v>0</v>
      </c>
      <c r="AD107" s="90">
        <f t="shared" si="133"/>
        <v>0</v>
      </c>
      <c r="AE107" s="90">
        <f t="shared" si="134"/>
        <v>0</v>
      </c>
      <c r="AF107" s="90">
        <f t="shared" si="135"/>
        <v>0</v>
      </c>
      <c r="AG107" s="90">
        <f t="shared" si="136"/>
        <v>0</v>
      </c>
      <c r="AH107" s="90">
        <f t="shared" si="137"/>
        <v>0</v>
      </c>
      <c r="AI107" s="154" t="s">
        <v>59</v>
      </c>
      <c r="AJ107" s="90">
        <f t="shared" si="138"/>
        <v>0</v>
      </c>
      <c r="AK107" s="90">
        <f t="shared" si="139"/>
        <v>0</v>
      </c>
      <c r="AL107" s="90">
        <f t="shared" si="140"/>
        <v>0</v>
      </c>
      <c r="AN107" s="90">
        <v>15</v>
      </c>
      <c r="AO107" s="90">
        <f t="shared" si="141"/>
        <v>0</v>
      </c>
      <c r="AP107" s="90">
        <f t="shared" si="142"/>
        <v>265</v>
      </c>
      <c r="AQ107" s="91" t="s">
        <v>85</v>
      </c>
      <c r="AV107" s="90">
        <f t="shared" si="143"/>
        <v>0</v>
      </c>
      <c r="AW107" s="90">
        <f t="shared" si="144"/>
        <v>0</v>
      </c>
      <c r="AX107" s="90">
        <f t="shared" si="145"/>
        <v>0</v>
      </c>
      <c r="AY107" s="91" t="s">
        <v>645</v>
      </c>
      <c r="AZ107" s="91" t="s">
        <v>654</v>
      </c>
      <c r="BA107" s="154" t="s">
        <v>658</v>
      </c>
      <c r="BC107" s="90">
        <f t="shared" si="146"/>
        <v>0</v>
      </c>
      <c r="BD107" s="90">
        <f t="shared" si="147"/>
        <v>265</v>
      </c>
      <c r="BE107" s="90">
        <v>0</v>
      </c>
      <c r="BF107" s="90">
        <f t="shared" si="148"/>
        <v>0</v>
      </c>
      <c r="BH107" s="90">
        <f t="shared" si="149"/>
        <v>0</v>
      </c>
      <c r="BI107" s="90">
        <f t="shared" si="150"/>
        <v>0</v>
      </c>
      <c r="BJ107" s="90">
        <f t="shared" si="151"/>
        <v>0</v>
      </c>
    </row>
    <row r="108" spans="1:62" ht="12.75" hidden="1">
      <c r="A108" s="88" t="s">
        <v>160</v>
      </c>
      <c r="B108" s="88" t="s">
        <v>59</v>
      </c>
      <c r="C108" s="88" t="s">
        <v>331</v>
      </c>
      <c r="D108" s="88" t="s">
        <v>520</v>
      </c>
      <c r="E108" s="88" t="s">
        <v>606</v>
      </c>
      <c r="F108" s="90"/>
      <c r="G108" s="90">
        <v>220</v>
      </c>
      <c r="H108" s="90">
        <f t="shared" si="126"/>
        <v>0</v>
      </c>
      <c r="I108" s="90">
        <f t="shared" si="127"/>
        <v>0</v>
      </c>
      <c r="J108" s="90">
        <f t="shared" si="128"/>
        <v>0</v>
      </c>
      <c r="K108" s="90">
        <v>0</v>
      </c>
      <c r="L108" s="90">
        <f t="shared" si="129"/>
        <v>0</v>
      </c>
      <c r="M108" s="91" t="s">
        <v>622</v>
      </c>
      <c r="Z108" s="90">
        <f t="shared" si="130"/>
        <v>0</v>
      </c>
      <c r="AB108" s="90">
        <f t="shared" si="131"/>
        <v>0</v>
      </c>
      <c r="AC108" s="90">
        <f t="shared" si="132"/>
        <v>0</v>
      </c>
      <c r="AD108" s="90">
        <f t="shared" si="133"/>
        <v>0</v>
      </c>
      <c r="AE108" s="90">
        <f t="shared" si="134"/>
        <v>0</v>
      </c>
      <c r="AF108" s="90">
        <f t="shared" si="135"/>
        <v>0</v>
      </c>
      <c r="AG108" s="90">
        <f t="shared" si="136"/>
        <v>0</v>
      </c>
      <c r="AH108" s="90">
        <f t="shared" si="137"/>
        <v>0</v>
      </c>
      <c r="AI108" s="154" t="s">
        <v>59</v>
      </c>
      <c r="AJ108" s="90">
        <f t="shared" si="138"/>
        <v>0</v>
      </c>
      <c r="AK108" s="90">
        <f t="shared" si="139"/>
        <v>0</v>
      </c>
      <c r="AL108" s="90">
        <f t="shared" si="140"/>
        <v>0</v>
      </c>
      <c r="AN108" s="90">
        <v>15</v>
      </c>
      <c r="AO108" s="90">
        <f t="shared" si="141"/>
        <v>0</v>
      </c>
      <c r="AP108" s="90">
        <f t="shared" si="142"/>
        <v>220</v>
      </c>
      <c r="AQ108" s="91" t="s">
        <v>85</v>
      </c>
      <c r="AV108" s="90">
        <f t="shared" si="143"/>
        <v>0</v>
      </c>
      <c r="AW108" s="90">
        <f t="shared" si="144"/>
        <v>0</v>
      </c>
      <c r="AX108" s="90">
        <f t="shared" si="145"/>
        <v>0</v>
      </c>
      <c r="AY108" s="91" t="s">
        <v>645</v>
      </c>
      <c r="AZ108" s="91" t="s">
        <v>654</v>
      </c>
      <c r="BA108" s="154" t="s">
        <v>658</v>
      </c>
      <c r="BC108" s="90">
        <f t="shared" si="146"/>
        <v>0</v>
      </c>
      <c r="BD108" s="90">
        <f t="shared" si="147"/>
        <v>220.00000000000003</v>
      </c>
      <c r="BE108" s="90">
        <v>0</v>
      </c>
      <c r="BF108" s="90">
        <f t="shared" si="148"/>
        <v>0</v>
      </c>
      <c r="BH108" s="90">
        <f t="shared" si="149"/>
        <v>0</v>
      </c>
      <c r="BI108" s="90">
        <f t="shared" si="150"/>
        <v>0</v>
      </c>
      <c r="BJ108" s="90">
        <f t="shared" si="151"/>
        <v>0</v>
      </c>
    </row>
    <row r="109" spans="1:62" ht="12.75" hidden="1">
      <c r="A109" s="88" t="s">
        <v>161</v>
      </c>
      <c r="B109" s="88" t="s">
        <v>59</v>
      </c>
      <c r="C109" s="88" t="s">
        <v>332</v>
      </c>
      <c r="D109" s="88" t="s">
        <v>521</v>
      </c>
      <c r="E109" s="88" t="s">
        <v>606</v>
      </c>
      <c r="F109" s="90"/>
      <c r="G109" s="90">
        <v>31</v>
      </c>
      <c r="H109" s="90">
        <f t="shared" si="126"/>
        <v>0</v>
      </c>
      <c r="I109" s="90">
        <f t="shared" si="127"/>
        <v>0</v>
      </c>
      <c r="J109" s="90">
        <f t="shared" si="128"/>
        <v>0</v>
      </c>
      <c r="K109" s="90">
        <v>0</v>
      </c>
      <c r="L109" s="90">
        <f t="shared" si="129"/>
        <v>0</v>
      </c>
      <c r="M109" s="91" t="s">
        <v>622</v>
      </c>
      <c r="Z109" s="90">
        <f t="shared" si="130"/>
        <v>0</v>
      </c>
      <c r="AB109" s="90">
        <f t="shared" si="131"/>
        <v>0</v>
      </c>
      <c r="AC109" s="90">
        <f t="shared" si="132"/>
        <v>0</v>
      </c>
      <c r="AD109" s="90">
        <f t="shared" si="133"/>
        <v>0</v>
      </c>
      <c r="AE109" s="90">
        <f t="shared" si="134"/>
        <v>0</v>
      </c>
      <c r="AF109" s="90">
        <f t="shared" si="135"/>
        <v>0</v>
      </c>
      <c r="AG109" s="90">
        <f t="shared" si="136"/>
        <v>0</v>
      </c>
      <c r="AH109" s="90">
        <f t="shared" si="137"/>
        <v>0</v>
      </c>
      <c r="AI109" s="154" t="s">
        <v>59</v>
      </c>
      <c r="AJ109" s="90">
        <f t="shared" si="138"/>
        <v>0</v>
      </c>
      <c r="AK109" s="90">
        <f t="shared" si="139"/>
        <v>0</v>
      </c>
      <c r="AL109" s="90">
        <f t="shared" si="140"/>
        <v>0</v>
      </c>
      <c r="AN109" s="90">
        <v>15</v>
      </c>
      <c r="AO109" s="90">
        <f t="shared" si="141"/>
        <v>0</v>
      </c>
      <c r="AP109" s="90">
        <f t="shared" si="142"/>
        <v>31</v>
      </c>
      <c r="AQ109" s="91" t="s">
        <v>85</v>
      </c>
      <c r="AV109" s="90">
        <f t="shared" si="143"/>
        <v>0</v>
      </c>
      <c r="AW109" s="90">
        <f t="shared" si="144"/>
        <v>0</v>
      </c>
      <c r="AX109" s="90">
        <f t="shared" si="145"/>
        <v>0</v>
      </c>
      <c r="AY109" s="91" t="s">
        <v>645</v>
      </c>
      <c r="AZ109" s="91" t="s">
        <v>654</v>
      </c>
      <c r="BA109" s="154" t="s">
        <v>658</v>
      </c>
      <c r="BC109" s="90">
        <f t="shared" si="146"/>
        <v>0</v>
      </c>
      <c r="BD109" s="90">
        <f t="shared" si="147"/>
        <v>31</v>
      </c>
      <c r="BE109" s="90">
        <v>0</v>
      </c>
      <c r="BF109" s="90">
        <f t="shared" si="148"/>
        <v>0</v>
      </c>
      <c r="BH109" s="90">
        <f t="shared" si="149"/>
        <v>0</v>
      </c>
      <c r="BI109" s="90">
        <f t="shared" si="150"/>
        <v>0</v>
      </c>
      <c r="BJ109" s="90">
        <f t="shared" si="151"/>
        <v>0</v>
      </c>
    </row>
    <row r="110" spans="1:62" ht="12.75" hidden="1">
      <c r="A110" s="88" t="s">
        <v>162</v>
      </c>
      <c r="B110" s="88" t="s">
        <v>59</v>
      </c>
      <c r="C110" s="88" t="s">
        <v>333</v>
      </c>
      <c r="D110" s="88" t="s">
        <v>522</v>
      </c>
      <c r="E110" s="88" t="s">
        <v>606</v>
      </c>
      <c r="F110" s="90"/>
      <c r="G110" s="90">
        <v>70</v>
      </c>
      <c r="H110" s="90">
        <f t="shared" si="126"/>
        <v>0</v>
      </c>
      <c r="I110" s="90">
        <f t="shared" si="127"/>
        <v>0</v>
      </c>
      <c r="J110" s="90">
        <f t="shared" si="128"/>
        <v>0</v>
      </c>
      <c r="K110" s="90">
        <v>0</v>
      </c>
      <c r="L110" s="90">
        <f t="shared" si="129"/>
        <v>0</v>
      </c>
      <c r="M110" s="91" t="s">
        <v>622</v>
      </c>
      <c r="Z110" s="90">
        <f t="shared" si="130"/>
        <v>0</v>
      </c>
      <c r="AB110" s="90">
        <f t="shared" si="131"/>
        <v>0</v>
      </c>
      <c r="AC110" s="90">
        <f t="shared" si="132"/>
        <v>0</v>
      </c>
      <c r="AD110" s="90">
        <f t="shared" si="133"/>
        <v>0</v>
      </c>
      <c r="AE110" s="90">
        <f t="shared" si="134"/>
        <v>0</v>
      </c>
      <c r="AF110" s="90">
        <f t="shared" si="135"/>
        <v>0</v>
      </c>
      <c r="AG110" s="90">
        <f t="shared" si="136"/>
        <v>0</v>
      </c>
      <c r="AH110" s="90">
        <f t="shared" si="137"/>
        <v>0</v>
      </c>
      <c r="AI110" s="154" t="s">
        <v>59</v>
      </c>
      <c r="AJ110" s="90">
        <f t="shared" si="138"/>
        <v>0</v>
      </c>
      <c r="AK110" s="90">
        <f t="shared" si="139"/>
        <v>0</v>
      </c>
      <c r="AL110" s="90">
        <f t="shared" si="140"/>
        <v>0</v>
      </c>
      <c r="AN110" s="90">
        <v>15</v>
      </c>
      <c r="AO110" s="90">
        <f t="shared" si="141"/>
        <v>0</v>
      </c>
      <c r="AP110" s="90">
        <f t="shared" si="142"/>
        <v>70</v>
      </c>
      <c r="AQ110" s="91" t="s">
        <v>85</v>
      </c>
      <c r="AV110" s="90">
        <f t="shared" si="143"/>
        <v>0</v>
      </c>
      <c r="AW110" s="90">
        <f t="shared" si="144"/>
        <v>0</v>
      </c>
      <c r="AX110" s="90">
        <f t="shared" si="145"/>
        <v>0</v>
      </c>
      <c r="AY110" s="91" t="s">
        <v>645</v>
      </c>
      <c r="AZ110" s="91" t="s">
        <v>654</v>
      </c>
      <c r="BA110" s="154" t="s">
        <v>658</v>
      </c>
      <c r="BC110" s="90">
        <f t="shared" si="146"/>
        <v>0</v>
      </c>
      <c r="BD110" s="90">
        <f t="shared" si="147"/>
        <v>70</v>
      </c>
      <c r="BE110" s="90">
        <v>0</v>
      </c>
      <c r="BF110" s="90">
        <f t="shared" si="148"/>
        <v>0</v>
      </c>
      <c r="BH110" s="90">
        <f t="shared" si="149"/>
        <v>0</v>
      </c>
      <c r="BI110" s="90">
        <f t="shared" si="150"/>
        <v>0</v>
      </c>
      <c r="BJ110" s="90">
        <f t="shared" si="151"/>
        <v>0</v>
      </c>
    </row>
    <row r="111" spans="1:62" ht="12.75" hidden="1">
      <c r="A111" s="88" t="s">
        <v>163</v>
      </c>
      <c r="B111" s="88" t="s">
        <v>59</v>
      </c>
      <c r="C111" s="88" t="s">
        <v>334</v>
      </c>
      <c r="D111" s="88" t="s">
        <v>523</v>
      </c>
      <c r="E111" s="88" t="s">
        <v>606</v>
      </c>
      <c r="F111" s="90"/>
      <c r="G111" s="90">
        <v>50</v>
      </c>
      <c r="H111" s="90">
        <f t="shared" si="126"/>
        <v>0</v>
      </c>
      <c r="I111" s="90">
        <f t="shared" si="127"/>
        <v>0</v>
      </c>
      <c r="J111" s="90">
        <f t="shared" si="128"/>
        <v>0</v>
      </c>
      <c r="K111" s="90">
        <v>0</v>
      </c>
      <c r="L111" s="90">
        <f t="shared" si="129"/>
        <v>0</v>
      </c>
      <c r="M111" s="91" t="s">
        <v>622</v>
      </c>
      <c r="Z111" s="90">
        <f t="shared" si="130"/>
        <v>0</v>
      </c>
      <c r="AB111" s="90">
        <f t="shared" si="131"/>
        <v>0</v>
      </c>
      <c r="AC111" s="90">
        <f t="shared" si="132"/>
        <v>0</v>
      </c>
      <c r="AD111" s="90">
        <f t="shared" si="133"/>
        <v>0</v>
      </c>
      <c r="AE111" s="90">
        <f t="shared" si="134"/>
        <v>0</v>
      </c>
      <c r="AF111" s="90">
        <f t="shared" si="135"/>
        <v>0</v>
      </c>
      <c r="AG111" s="90">
        <f t="shared" si="136"/>
        <v>0</v>
      </c>
      <c r="AH111" s="90">
        <f t="shared" si="137"/>
        <v>0</v>
      </c>
      <c r="AI111" s="154" t="s">
        <v>59</v>
      </c>
      <c r="AJ111" s="90">
        <f t="shared" si="138"/>
        <v>0</v>
      </c>
      <c r="AK111" s="90">
        <f t="shared" si="139"/>
        <v>0</v>
      </c>
      <c r="AL111" s="90">
        <f t="shared" si="140"/>
        <v>0</v>
      </c>
      <c r="AN111" s="90">
        <v>15</v>
      </c>
      <c r="AO111" s="90">
        <f t="shared" si="141"/>
        <v>0</v>
      </c>
      <c r="AP111" s="90">
        <f t="shared" si="142"/>
        <v>50</v>
      </c>
      <c r="AQ111" s="91" t="s">
        <v>85</v>
      </c>
      <c r="AV111" s="90">
        <f t="shared" si="143"/>
        <v>0</v>
      </c>
      <c r="AW111" s="90">
        <f t="shared" si="144"/>
        <v>0</v>
      </c>
      <c r="AX111" s="90">
        <f t="shared" si="145"/>
        <v>0</v>
      </c>
      <c r="AY111" s="91" t="s">
        <v>645</v>
      </c>
      <c r="AZ111" s="91" t="s">
        <v>654</v>
      </c>
      <c r="BA111" s="154" t="s">
        <v>658</v>
      </c>
      <c r="BC111" s="90">
        <f t="shared" si="146"/>
        <v>0</v>
      </c>
      <c r="BD111" s="90">
        <f t="shared" si="147"/>
        <v>50</v>
      </c>
      <c r="BE111" s="90">
        <v>0</v>
      </c>
      <c r="BF111" s="90">
        <f t="shared" si="148"/>
        <v>0</v>
      </c>
      <c r="BH111" s="90">
        <f t="shared" si="149"/>
        <v>0</v>
      </c>
      <c r="BI111" s="90">
        <f t="shared" si="150"/>
        <v>0</v>
      </c>
      <c r="BJ111" s="90">
        <f t="shared" si="151"/>
        <v>0</v>
      </c>
    </row>
    <row r="112" spans="1:62" ht="12.75" hidden="1">
      <c r="A112" s="88" t="s">
        <v>164</v>
      </c>
      <c r="B112" s="88" t="s">
        <v>59</v>
      </c>
      <c r="C112" s="88" t="s">
        <v>335</v>
      </c>
      <c r="D112" s="88" t="s">
        <v>524</v>
      </c>
      <c r="E112" s="88" t="s">
        <v>606</v>
      </c>
      <c r="F112" s="90"/>
      <c r="G112" s="90">
        <v>506.25</v>
      </c>
      <c r="H112" s="90">
        <f t="shared" si="126"/>
        <v>0</v>
      </c>
      <c r="I112" s="90">
        <f t="shared" si="127"/>
        <v>0</v>
      </c>
      <c r="J112" s="90">
        <f t="shared" si="128"/>
        <v>0</v>
      </c>
      <c r="K112" s="90">
        <v>0</v>
      </c>
      <c r="L112" s="90">
        <f t="shared" si="129"/>
        <v>0</v>
      </c>
      <c r="M112" s="91" t="s">
        <v>622</v>
      </c>
      <c r="Z112" s="90">
        <f t="shared" si="130"/>
        <v>0</v>
      </c>
      <c r="AB112" s="90">
        <f t="shared" si="131"/>
        <v>0</v>
      </c>
      <c r="AC112" s="90">
        <f t="shared" si="132"/>
        <v>0</v>
      </c>
      <c r="AD112" s="90">
        <f t="shared" si="133"/>
        <v>0</v>
      </c>
      <c r="AE112" s="90">
        <f t="shared" si="134"/>
        <v>0</v>
      </c>
      <c r="AF112" s="90">
        <f t="shared" si="135"/>
        <v>0</v>
      </c>
      <c r="AG112" s="90">
        <f t="shared" si="136"/>
        <v>0</v>
      </c>
      <c r="AH112" s="90">
        <f t="shared" si="137"/>
        <v>0</v>
      </c>
      <c r="AI112" s="154" t="s">
        <v>59</v>
      </c>
      <c r="AJ112" s="90">
        <f t="shared" si="138"/>
        <v>0</v>
      </c>
      <c r="AK112" s="90">
        <f t="shared" si="139"/>
        <v>0</v>
      </c>
      <c r="AL112" s="90">
        <f t="shared" si="140"/>
        <v>0</v>
      </c>
      <c r="AN112" s="90">
        <v>15</v>
      </c>
      <c r="AO112" s="90">
        <f t="shared" si="141"/>
        <v>0</v>
      </c>
      <c r="AP112" s="90">
        <f t="shared" si="142"/>
        <v>506.25</v>
      </c>
      <c r="AQ112" s="91" t="s">
        <v>85</v>
      </c>
      <c r="AV112" s="90">
        <f t="shared" si="143"/>
        <v>0</v>
      </c>
      <c r="AW112" s="90">
        <f t="shared" si="144"/>
        <v>0</v>
      </c>
      <c r="AX112" s="90">
        <f t="shared" si="145"/>
        <v>0</v>
      </c>
      <c r="AY112" s="91" t="s">
        <v>645</v>
      </c>
      <c r="AZ112" s="91" t="s">
        <v>654</v>
      </c>
      <c r="BA112" s="154" t="s">
        <v>658</v>
      </c>
      <c r="BC112" s="90">
        <f t="shared" si="146"/>
        <v>0</v>
      </c>
      <c r="BD112" s="90">
        <f t="shared" si="147"/>
        <v>506.25</v>
      </c>
      <c r="BE112" s="90">
        <v>0</v>
      </c>
      <c r="BF112" s="90">
        <f t="shared" si="148"/>
        <v>0</v>
      </c>
      <c r="BH112" s="90">
        <f t="shared" si="149"/>
        <v>0</v>
      </c>
      <c r="BI112" s="90">
        <f t="shared" si="150"/>
        <v>0</v>
      </c>
      <c r="BJ112" s="90">
        <f t="shared" si="151"/>
        <v>0</v>
      </c>
    </row>
    <row r="113" spans="1:62" ht="12.75" hidden="1">
      <c r="A113" s="88" t="s">
        <v>165</v>
      </c>
      <c r="B113" s="88" t="s">
        <v>59</v>
      </c>
      <c r="C113" s="88" t="s">
        <v>336</v>
      </c>
      <c r="D113" s="88" t="s">
        <v>525</v>
      </c>
      <c r="E113" s="88" t="s">
        <v>606</v>
      </c>
      <c r="F113" s="90"/>
      <c r="G113" s="90">
        <v>727.5</v>
      </c>
      <c r="H113" s="90">
        <f t="shared" si="126"/>
        <v>0</v>
      </c>
      <c r="I113" s="90">
        <f t="shared" si="127"/>
        <v>0</v>
      </c>
      <c r="J113" s="90">
        <f t="shared" si="128"/>
        <v>0</v>
      </c>
      <c r="K113" s="90">
        <v>0</v>
      </c>
      <c r="L113" s="90">
        <f t="shared" si="129"/>
        <v>0</v>
      </c>
      <c r="M113" s="91" t="s">
        <v>622</v>
      </c>
      <c r="Z113" s="90">
        <f t="shared" si="130"/>
        <v>0</v>
      </c>
      <c r="AB113" s="90">
        <f t="shared" si="131"/>
        <v>0</v>
      </c>
      <c r="AC113" s="90">
        <f t="shared" si="132"/>
        <v>0</v>
      </c>
      <c r="AD113" s="90">
        <f t="shared" si="133"/>
        <v>0</v>
      </c>
      <c r="AE113" s="90">
        <f t="shared" si="134"/>
        <v>0</v>
      </c>
      <c r="AF113" s="90">
        <f t="shared" si="135"/>
        <v>0</v>
      </c>
      <c r="AG113" s="90">
        <f t="shared" si="136"/>
        <v>0</v>
      </c>
      <c r="AH113" s="90">
        <f t="shared" si="137"/>
        <v>0</v>
      </c>
      <c r="AI113" s="154" t="s">
        <v>59</v>
      </c>
      <c r="AJ113" s="90">
        <f t="shared" si="138"/>
        <v>0</v>
      </c>
      <c r="AK113" s="90">
        <f t="shared" si="139"/>
        <v>0</v>
      </c>
      <c r="AL113" s="90">
        <f t="shared" si="140"/>
        <v>0</v>
      </c>
      <c r="AN113" s="90">
        <v>15</v>
      </c>
      <c r="AO113" s="90">
        <f t="shared" si="141"/>
        <v>0</v>
      </c>
      <c r="AP113" s="90">
        <f t="shared" si="142"/>
        <v>727.5</v>
      </c>
      <c r="AQ113" s="91" t="s">
        <v>85</v>
      </c>
      <c r="AV113" s="90">
        <f t="shared" si="143"/>
        <v>0</v>
      </c>
      <c r="AW113" s="90">
        <f t="shared" si="144"/>
        <v>0</v>
      </c>
      <c r="AX113" s="90">
        <f t="shared" si="145"/>
        <v>0</v>
      </c>
      <c r="AY113" s="91" t="s">
        <v>645</v>
      </c>
      <c r="AZ113" s="91" t="s">
        <v>654</v>
      </c>
      <c r="BA113" s="154" t="s">
        <v>658</v>
      </c>
      <c r="BC113" s="90">
        <f t="shared" si="146"/>
        <v>0</v>
      </c>
      <c r="BD113" s="90">
        <f t="shared" si="147"/>
        <v>727.5</v>
      </c>
      <c r="BE113" s="90">
        <v>0</v>
      </c>
      <c r="BF113" s="90">
        <f t="shared" si="148"/>
        <v>0</v>
      </c>
      <c r="BH113" s="90">
        <f t="shared" si="149"/>
        <v>0</v>
      </c>
      <c r="BI113" s="90">
        <f t="shared" si="150"/>
        <v>0</v>
      </c>
      <c r="BJ113" s="90">
        <f t="shared" si="151"/>
        <v>0</v>
      </c>
    </row>
    <row r="114" spans="1:62" ht="12.75" hidden="1">
      <c r="A114" s="88" t="s">
        <v>166</v>
      </c>
      <c r="B114" s="88" t="s">
        <v>59</v>
      </c>
      <c r="C114" s="88" t="s">
        <v>337</v>
      </c>
      <c r="D114" s="88" t="s">
        <v>526</v>
      </c>
      <c r="E114" s="88" t="s">
        <v>606</v>
      </c>
      <c r="F114" s="90"/>
      <c r="G114" s="90">
        <v>186</v>
      </c>
      <c r="H114" s="90">
        <f t="shared" si="126"/>
        <v>0</v>
      </c>
      <c r="I114" s="90">
        <f t="shared" si="127"/>
        <v>0</v>
      </c>
      <c r="J114" s="90">
        <f t="shared" si="128"/>
        <v>0</v>
      </c>
      <c r="K114" s="90">
        <v>0</v>
      </c>
      <c r="L114" s="90">
        <f t="shared" si="129"/>
        <v>0</v>
      </c>
      <c r="M114" s="91" t="s">
        <v>622</v>
      </c>
      <c r="Z114" s="90">
        <f t="shared" si="130"/>
        <v>0</v>
      </c>
      <c r="AB114" s="90">
        <f t="shared" si="131"/>
        <v>0</v>
      </c>
      <c r="AC114" s="90">
        <f t="shared" si="132"/>
        <v>0</v>
      </c>
      <c r="AD114" s="90">
        <f t="shared" si="133"/>
        <v>0</v>
      </c>
      <c r="AE114" s="90">
        <f t="shared" si="134"/>
        <v>0</v>
      </c>
      <c r="AF114" s="90">
        <f t="shared" si="135"/>
        <v>0</v>
      </c>
      <c r="AG114" s="90">
        <f t="shared" si="136"/>
        <v>0</v>
      </c>
      <c r="AH114" s="90">
        <f t="shared" si="137"/>
        <v>0</v>
      </c>
      <c r="AI114" s="154" t="s">
        <v>59</v>
      </c>
      <c r="AJ114" s="90">
        <f t="shared" si="138"/>
        <v>0</v>
      </c>
      <c r="AK114" s="90">
        <f t="shared" si="139"/>
        <v>0</v>
      </c>
      <c r="AL114" s="90">
        <f t="shared" si="140"/>
        <v>0</v>
      </c>
      <c r="AN114" s="90">
        <v>15</v>
      </c>
      <c r="AO114" s="90">
        <f t="shared" si="141"/>
        <v>0</v>
      </c>
      <c r="AP114" s="90">
        <f t="shared" si="142"/>
        <v>186</v>
      </c>
      <c r="AQ114" s="91" t="s">
        <v>85</v>
      </c>
      <c r="AV114" s="90">
        <f t="shared" si="143"/>
        <v>0</v>
      </c>
      <c r="AW114" s="90">
        <f t="shared" si="144"/>
        <v>0</v>
      </c>
      <c r="AX114" s="90">
        <f t="shared" si="145"/>
        <v>0</v>
      </c>
      <c r="AY114" s="91" t="s">
        <v>645</v>
      </c>
      <c r="AZ114" s="91" t="s">
        <v>654</v>
      </c>
      <c r="BA114" s="154" t="s">
        <v>658</v>
      </c>
      <c r="BC114" s="90">
        <f t="shared" si="146"/>
        <v>0</v>
      </c>
      <c r="BD114" s="90">
        <f t="shared" si="147"/>
        <v>186</v>
      </c>
      <c r="BE114" s="90">
        <v>0</v>
      </c>
      <c r="BF114" s="90">
        <f t="shared" si="148"/>
        <v>0</v>
      </c>
      <c r="BH114" s="90">
        <f t="shared" si="149"/>
        <v>0</v>
      </c>
      <c r="BI114" s="90">
        <f t="shared" si="150"/>
        <v>0</v>
      </c>
      <c r="BJ114" s="90">
        <f t="shared" si="151"/>
        <v>0</v>
      </c>
    </row>
    <row r="115" spans="1:62" ht="12.75" hidden="1">
      <c r="A115" s="88" t="s">
        <v>167</v>
      </c>
      <c r="B115" s="88" t="s">
        <v>59</v>
      </c>
      <c r="C115" s="88" t="s">
        <v>338</v>
      </c>
      <c r="D115" s="88" t="s">
        <v>527</v>
      </c>
      <c r="E115" s="88" t="s">
        <v>606</v>
      </c>
      <c r="F115" s="90"/>
      <c r="G115" s="90">
        <v>125</v>
      </c>
      <c r="H115" s="90">
        <f t="shared" si="126"/>
        <v>0</v>
      </c>
      <c r="I115" s="90">
        <f t="shared" si="127"/>
        <v>0</v>
      </c>
      <c r="J115" s="90">
        <f t="shared" si="128"/>
        <v>0</v>
      </c>
      <c r="K115" s="90">
        <v>0</v>
      </c>
      <c r="L115" s="90">
        <f t="shared" si="129"/>
        <v>0</v>
      </c>
      <c r="M115" s="91" t="s">
        <v>622</v>
      </c>
      <c r="Z115" s="90">
        <f t="shared" si="130"/>
        <v>0</v>
      </c>
      <c r="AB115" s="90">
        <f t="shared" si="131"/>
        <v>0</v>
      </c>
      <c r="AC115" s="90">
        <f t="shared" si="132"/>
        <v>0</v>
      </c>
      <c r="AD115" s="90">
        <f t="shared" si="133"/>
        <v>0</v>
      </c>
      <c r="AE115" s="90">
        <f t="shared" si="134"/>
        <v>0</v>
      </c>
      <c r="AF115" s="90">
        <f t="shared" si="135"/>
        <v>0</v>
      </c>
      <c r="AG115" s="90">
        <f t="shared" si="136"/>
        <v>0</v>
      </c>
      <c r="AH115" s="90">
        <f t="shared" si="137"/>
        <v>0</v>
      </c>
      <c r="AI115" s="154" t="s">
        <v>59</v>
      </c>
      <c r="AJ115" s="90">
        <f t="shared" si="138"/>
        <v>0</v>
      </c>
      <c r="AK115" s="90">
        <f t="shared" si="139"/>
        <v>0</v>
      </c>
      <c r="AL115" s="90">
        <f t="shared" si="140"/>
        <v>0</v>
      </c>
      <c r="AN115" s="90">
        <v>15</v>
      </c>
      <c r="AO115" s="90">
        <f t="shared" si="141"/>
        <v>0</v>
      </c>
      <c r="AP115" s="90">
        <f t="shared" si="142"/>
        <v>125</v>
      </c>
      <c r="AQ115" s="91" t="s">
        <v>85</v>
      </c>
      <c r="AV115" s="90">
        <f t="shared" si="143"/>
        <v>0</v>
      </c>
      <c r="AW115" s="90">
        <f t="shared" si="144"/>
        <v>0</v>
      </c>
      <c r="AX115" s="90">
        <f t="shared" si="145"/>
        <v>0</v>
      </c>
      <c r="AY115" s="91" t="s">
        <v>645</v>
      </c>
      <c r="AZ115" s="91" t="s">
        <v>654</v>
      </c>
      <c r="BA115" s="154" t="s">
        <v>658</v>
      </c>
      <c r="BC115" s="90">
        <f t="shared" si="146"/>
        <v>0</v>
      </c>
      <c r="BD115" s="90">
        <f t="shared" si="147"/>
        <v>125</v>
      </c>
      <c r="BE115" s="90">
        <v>0</v>
      </c>
      <c r="BF115" s="90">
        <f t="shared" si="148"/>
        <v>0</v>
      </c>
      <c r="BH115" s="90">
        <f t="shared" si="149"/>
        <v>0</v>
      </c>
      <c r="BI115" s="90">
        <f t="shared" si="150"/>
        <v>0</v>
      </c>
      <c r="BJ115" s="90">
        <f t="shared" si="151"/>
        <v>0</v>
      </c>
    </row>
    <row r="116" spans="1:62" ht="12.75" hidden="1">
      <c r="A116" s="88" t="s">
        <v>168</v>
      </c>
      <c r="B116" s="88" t="s">
        <v>59</v>
      </c>
      <c r="C116" s="88" t="s">
        <v>339</v>
      </c>
      <c r="D116" s="88" t="s">
        <v>528</v>
      </c>
      <c r="E116" s="88" t="s">
        <v>606</v>
      </c>
      <c r="F116" s="90"/>
      <c r="G116" s="90">
        <v>19025</v>
      </c>
      <c r="H116" s="90">
        <f t="shared" si="126"/>
        <v>0</v>
      </c>
      <c r="I116" s="90">
        <f t="shared" si="127"/>
        <v>0</v>
      </c>
      <c r="J116" s="90">
        <f t="shared" si="128"/>
        <v>0</v>
      </c>
      <c r="K116" s="90">
        <v>0</v>
      </c>
      <c r="L116" s="90">
        <f t="shared" si="129"/>
        <v>0</v>
      </c>
      <c r="M116" s="91" t="s">
        <v>622</v>
      </c>
      <c r="Z116" s="90">
        <f t="shared" si="130"/>
        <v>0</v>
      </c>
      <c r="AB116" s="90">
        <f t="shared" si="131"/>
        <v>0</v>
      </c>
      <c r="AC116" s="90">
        <f t="shared" si="132"/>
        <v>0</v>
      </c>
      <c r="AD116" s="90">
        <f t="shared" si="133"/>
        <v>0</v>
      </c>
      <c r="AE116" s="90">
        <f t="shared" si="134"/>
        <v>0</v>
      </c>
      <c r="AF116" s="90">
        <f t="shared" si="135"/>
        <v>0</v>
      </c>
      <c r="AG116" s="90">
        <f t="shared" si="136"/>
        <v>0</v>
      </c>
      <c r="AH116" s="90">
        <f t="shared" si="137"/>
        <v>0</v>
      </c>
      <c r="AI116" s="154" t="s">
        <v>59</v>
      </c>
      <c r="AJ116" s="90">
        <f t="shared" si="138"/>
        <v>0</v>
      </c>
      <c r="AK116" s="90">
        <f t="shared" si="139"/>
        <v>0</v>
      </c>
      <c r="AL116" s="90">
        <f t="shared" si="140"/>
        <v>0</v>
      </c>
      <c r="AN116" s="90">
        <v>15</v>
      </c>
      <c r="AO116" s="90">
        <f t="shared" si="141"/>
        <v>0</v>
      </c>
      <c r="AP116" s="90">
        <f t="shared" si="142"/>
        <v>19025</v>
      </c>
      <c r="AQ116" s="91" t="s">
        <v>85</v>
      </c>
      <c r="AV116" s="90">
        <f t="shared" si="143"/>
        <v>0</v>
      </c>
      <c r="AW116" s="90">
        <f t="shared" si="144"/>
        <v>0</v>
      </c>
      <c r="AX116" s="90">
        <f t="shared" si="145"/>
        <v>0</v>
      </c>
      <c r="AY116" s="91" t="s">
        <v>645</v>
      </c>
      <c r="AZ116" s="91" t="s">
        <v>654</v>
      </c>
      <c r="BA116" s="154" t="s">
        <v>658</v>
      </c>
      <c r="BC116" s="90">
        <f t="shared" si="146"/>
        <v>0</v>
      </c>
      <c r="BD116" s="90">
        <f t="shared" si="147"/>
        <v>19025</v>
      </c>
      <c r="BE116" s="90">
        <v>0</v>
      </c>
      <c r="BF116" s="90">
        <f t="shared" si="148"/>
        <v>0</v>
      </c>
      <c r="BH116" s="90">
        <f t="shared" si="149"/>
        <v>0</v>
      </c>
      <c r="BI116" s="90">
        <f t="shared" si="150"/>
        <v>0</v>
      </c>
      <c r="BJ116" s="90">
        <f t="shared" si="151"/>
        <v>0</v>
      </c>
    </row>
    <row r="117" spans="1:62" ht="12.75" hidden="1">
      <c r="A117" s="88" t="s">
        <v>169</v>
      </c>
      <c r="B117" s="88" t="s">
        <v>59</v>
      </c>
      <c r="C117" s="88" t="s">
        <v>340</v>
      </c>
      <c r="D117" s="88" t="s">
        <v>529</v>
      </c>
      <c r="E117" s="88" t="s">
        <v>609</v>
      </c>
      <c r="F117" s="90"/>
      <c r="G117" s="90">
        <v>80</v>
      </c>
      <c r="H117" s="90">
        <f t="shared" si="126"/>
        <v>0</v>
      </c>
      <c r="I117" s="90">
        <f t="shared" si="127"/>
        <v>0</v>
      </c>
      <c r="J117" s="90">
        <f t="shared" si="128"/>
        <v>0</v>
      </c>
      <c r="K117" s="90">
        <v>0</v>
      </c>
      <c r="L117" s="90">
        <f t="shared" si="129"/>
        <v>0</v>
      </c>
      <c r="M117" s="91" t="s">
        <v>622</v>
      </c>
      <c r="Z117" s="90">
        <f t="shared" si="130"/>
        <v>0</v>
      </c>
      <c r="AB117" s="90">
        <f t="shared" si="131"/>
        <v>0</v>
      </c>
      <c r="AC117" s="90">
        <f t="shared" si="132"/>
        <v>0</v>
      </c>
      <c r="AD117" s="90">
        <f t="shared" si="133"/>
        <v>0</v>
      </c>
      <c r="AE117" s="90">
        <f t="shared" si="134"/>
        <v>0</v>
      </c>
      <c r="AF117" s="90">
        <f t="shared" si="135"/>
        <v>0</v>
      </c>
      <c r="AG117" s="90">
        <f t="shared" si="136"/>
        <v>0</v>
      </c>
      <c r="AH117" s="90">
        <f t="shared" si="137"/>
        <v>0</v>
      </c>
      <c r="AI117" s="154" t="s">
        <v>59</v>
      </c>
      <c r="AJ117" s="90">
        <f t="shared" si="138"/>
        <v>0</v>
      </c>
      <c r="AK117" s="90">
        <f t="shared" si="139"/>
        <v>0</v>
      </c>
      <c r="AL117" s="90">
        <f t="shared" si="140"/>
        <v>0</v>
      </c>
      <c r="AN117" s="90">
        <v>15</v>
      </c>
      <c r="AO117" s="90">
        <f t="shared" si="141"/>
        <v>0</v>
      </c>
      <c r="AP117" s="90">
        <f t="shared" si="142"/>
        <v>80</v>
      </c>
      <c r="AQ117" s="91" t="s">
        <v>85</v>
      </c>
      <c r="AV117" s="90">
        <f t="shared" si="143"/>
        <v>0</v>
      </c>
      <c r="AW117" s="90">
        <f t="shared" si="144"/>
        <v>0</v>
      </c>
      <c r="AX117" s="90">
        <f t="shared" si="145"/>
        <v>0</v>
      </c>
      <c r="AY117" s="91" t="s">
        <v>645</v>
      </c>
      <c r="AZ117" s="91" t="s">
        <v>654</v>
      </c>
      <c r="BA117" s="154" t="s">
        <v>658</v>
      </c>
      <c r="BC117" s="90">
        <f t="shared" si="146"/>
        <v>0</v>
      </c>
      <c r="BD117" s="90">
        <f t="shared" si="147"/>
        <v>80</v>
      </c>
      <c r="BE117" s="90">
        <v>0</v>
      </c>
      <c r="BF117" s="90">
        <f t="shared" si="148"/>
        <v>0</v>
      </c>
      <c r="BH117" s="90">
        <f t="shared" si="149"/>
        <v>0</v>
      </c>
      <c r="BI117" s="90">
        <f t="shared" si="150"/>
        <v>0</v>
      </c>
      <c r="BJ117" s="90">
        <f t="shared" si="151"/>
        <v>0</v>
      </c>
    </row>
    <row r="118" spans="1:62" ht="12.75" hidden="1">
      <c r="A118" s="88" t="s">
        <v>170</v>
      </c>
      <c r="B118" s="88" t="s">
        <v>59</v>
      </c>
      <c r="C118" s="88" t="s">
        <v>341</v>
      </c>
      <c r="D118" s="88" t="s">
        <v>530</v>
      </c>
      <c r="E118" s="88" t="s">
        <v>611</v>
      </c>
      <c r="F118" s="90"/>
      <c r="G118" s="90">
        <v>450</v>
      </c>
      <c r="H118" s="90">
        <f t="shared" si="126"/>
        <v>0</v>
      </c>
      <c r="I118" s="90">
        <f t="shared" si="127"/>
        <v>0</v>
      </c>
      <c r="J118" s="90">
        <f t="shared" si="128"/>
        <v>0</v>
      </c>
      <c r="K118" s="90">
        <v>0</v>
      </c>
      <c r="L118" s="90">
        <f t="shared" si="129"/>
        <v>0</v>
      </c>
      <c r="M118" s="91" t="s">
        <v>622</v>
      </c>
      <c r="Z118" s="90">
        <f t="shared" si="130"/>
        <v>0</v>
      </c>
      <c r="AB118" s="90">
        <f t="shared" si="131"/>
        <v>0</v>
      </c>
      <c r="AC118" s="90">
        <f t="shared" si="132"/>
        <v>0</v>
      </c>
      <c r="AD118" s="90">
        <f t="shared" si="133"/>
        <v>0</v>
      </c>
      <c r="AE118" s="90">
        <f t="shared" si="134"/>
        <v>0</v>
      </c>
      <c r="AF118" s="90">
        <f t="shared" si="135"/>
        <v>0</v>
      </c>
      <c r="AG118" s="90">
        <f t="shared" si="136"/>
        <v>0</v>
      </c>
      <c r="AH118" s="90">
        <f t="shared" si="137"/>
        <v>0</v>
      </c>
      <c r="AI118" s="154" t="s">
        <v>59</v>
      </c>
      <c r="AJ118" s="90">
        <f t="shared" si="138"/>
        <v>0</v>
      </c>
      <c r="AK118" s="90">
        <f t="shared" si="139"/>
        <v>0</v>
      </c>
      <c r="AL118" s="90">
        <f t="shared" si="140"/>
        <v>0</v>
      </c>
      <c r="AN118" s="90">
        <v>15</v>
      </c>
      <c r="AO118" s="90">
        <f t="shared" si="141"/>
        <v>0</v>
      </c>
      <c r="AP118" s="90">
        <f t="shared" si="142"/>
        <v>450</v>
      </c>
      <c r="AQ118" s="91" t="s">
        <v>85</v>
      </c>
      <c r="AV118" s="90">
        <f t="shared" si="143"/>
        <v>0</v>
      </c>
      <c r="AW118" s="90">
        <f t="shared" si="144"/>
        <v>0</v>
      </c>
      <c r="AX118" s="90">
        <f t="shared" si="145"/>
        <v>0</v>
      </c>
      <c r="AY118" s="91" t="s">
        <v>645</v>
      </c>
      <c r="AZ118" s="91" t="s">
        <v>654</v>
      </c>
      <c r="BA118" s="154" t="s">
        <v>658</v>
      </c>
      <c r="BC118" s="90">
        <f t="shared" si="146"/>
        <v>0</v>
      </c>
      <c r="BD118" s="90">
        <f t="shared" si="147"/>
        <v>450</v>
      </c>
      <c r="BE118" s="90">
        <v>0</v>
      </c>
      <c r="BF118" s="90">
        <f t="shared" si="148"/>
        <v>0</v>
      </c>
      <c r="BH118" s="90">
        <f t="shared" si="149"/>
        <v>0</v>
      </c>
      <c r="BI118" s="90">
        <f t="shared" si="150"/>
        <v>0</v>
      </c>
      <c r="BJ118" s="90">
        <f t="shared" si="151"/>
        <v>0</v>
      </c>
    </row>
    <row r="119" spans="1:62" ht="12.75" hidden="1">
      <c r="A119" s="88" t="s">
        <v>171</v>
      </c>
      <c r="B119" s="88" t="s">
        <v>59</v>
      </c>
      <c r="C119" s="88" t="s">
        <v>342</v>
      </c>
      <c r="D119" s="88" t="s">
        <v>531</v>
      </c>
      <c r="E119" s="88" t="s">
        <v>611</v>
      </c>
      <c r="F119" s="90"/>
      <c r="G119" s="90">
        <v>350</v>
      </c>
      <c r="H119" s="90">
        <f t="shared" si="126"/>
        <v>0</v>
      </c>
      <c r="I119" s="90">
        <f t="shared" si="127"/>
        <v>0</v>
      </c>
      <c r="J119" s="90">
        <f t="shared" si="128"/>
        <v>0</v>
      </c>
      <c r="K119" s="90">
        <v>0</v>
      </c>
      <c r="L119" s="90">
        <f t="shared" si="129"/>
        <v>0</v>
      </c>
      <c r="M119" s="91" t="s">
        <v>622</v>
      </c>
      <c r="Z119" s="90">
        <f t="shared" si="130"/>
        <v>0</v>
      </c>
      <c r="AB119" s="90">
        <f t="shared" si="131"/>
        <v>0</v>
      </c>
      <c r="AC119" s="90">
        <f t="shared" si="132"/>
        <v>0</v>
      </c>
      <c r="AD119" s="90">
        <f t="shared" si="133"/>
        <v>0</v>
      </c>
      <c r="AE119" s="90">
        <f t="shared" si="134"/>
        <v>0</v>
      </c>
      <c r="AF119" s="90">
        <f t="shared" si="135"/>
        <v>0</v>
      </c>
      <c r="AG119" s="90">
        <f t="shared" si="136"/>
        <v>0</v>
      </c>
      <c r="AH119" s="90">
        <f t="shared" si="137"/>
        <v>0</v>
      </c>
      <c r="AI119" s="154" t="s">
        <v>59</v>
      </c>
      <c r="AJ119" s="90">
        <f t="shared" si="138"/>
        <v>0</v>
      </c>
      <c r="AK119" s="90">
        <f t="shared" si="139"/>
        <v>0</v>
      </c>
      <c r="AL119" s="90">
        <f t="shared" si="140"/>
        <v>0</v>
      </c>
      <c r="AN119" s="90">
        <v>15</v>
      </c>
      <c r="AO119" s="90">
        <f t="shared" si="141"/>
        <v>0</v>
      </c>
      <c r="AP119" s="90">
        <f t="shared" si="142"/>
        <v>350</v>
      </c>
      <c r="AQ119" s="91" t="s">
        <v>85</v>
      </c>
      <c r="AV119" s="90">
        <f t="shared" si="143"/>
        <v>0</v>
      </c>
      <c r="AW119" s="90">
        <f t="shared" si="144"/>
        <v>0</v>
      </c>
      <c r="AX119" s="90">
        <f t="shared" si="145"/>
        <v>0</v>
      </c>
      <c r="AY119" s="91" t="s">
        <v>645</v>
      </c>
      <c r="AZ119" s="91" t="s">
        <v>654</v>
      </c>
      <c r="BA119" s="154" t="s">
        <v>658</v>
      </c>
      <c r="BC119" s="90">
        <f t="shared" si="146"/>
        <v>0</v>
      </c>
      <c r="BD119" s="90">
        <f t="shared" si="147"/>
        <v>350</v>
      </c>
      <c r="BE119" s="90">
        <v>0</v>
      </c>
      <c r="BF119" s="90">
        <f t="shared" si="148"/>
        <v>0</v>
      </c>
      <c r="BH119" s="90">
        <f t="shared" si="149"/>
        <v>0</v>
      </c>
      <c r="BI119" s="90">
        <f t="shared" si="150"/>
        <v>0</v>
      </c>
      <c r="BJ119" s="90">
        <f t="shared" si="151"/>
        <v>0</v>
      </c>
    </row>
    <row r="120" spans="1:62" ht="12.75" hidden="1">
      <c r="A120" s="88" t="s">
        <v>172</v>
      </c>
      <c r="B120" s="88" t="s">
        <v>59</v>
      </c>
      <c r="C120" s="88" t="s">
        <v>343</v>
      </c>
      <c r="D120" s="88" t="s">
        <v>532</v>
      </c>
      <c r="E120" s="88" t="s">
        <v>606</v>
      </c>
      <c r="F120" s="90"/>
      <c r="G120" s="90">
        <v>1500</v>
      </c>
      <c r="H120" s="90">
        <f t="shared" si="126"/>
        <v>0</v>
      </c>
      <c r="I120" s="90">
        <f t="shared" si="127"/>
        <v>0</v>
      </c>
      <c r="J120" s="90">
        <f t="shared" si="128"/>
        <v>0</v>
      </c>
      <c r="K120" s="90">
        <v>0</v>
      </c>
      <c r="L120" s="90">
        <f t="shared" si="129"/>
        <v>0</v>
      </c>
      <c r="M120" s="91" t="s">
        <v>622</v>
      </c>
      <c r="Z120" s="90">
        <f t="shared" si="130"/>
        <v>0</v>
      </c>
      <c r="AB120" s="90">
        <f t="shared" si="131"/>
        <v>0</v>
      </c>
      <c r="AC120" s="90">
        <f t="shared" si="132"/>
        <v>0</v>
      </c>
      <c r="AD120" s="90">
        <f t="shared" si="133"/>
        <v>0</v>
      </c>
      <c r="AE120" s="90">
        <f t="shared" si="134"/>
        <v>0</v>
      </c>
      <c r="AF120" s="90">
        <f t="shared" si="135"/>
        <v>0</v>
      </c>
      <c r="AG120" s="90">
        <f t="shared" si="136"/>
        <v>0</v>
      </c>
      <c r="AH120" s="90">
        <f t="shared" si="137"/>
        <v>0</v>
      </c>
      <c r="AI120" s="154" t="s">
        <v>59</v>
      </c>
      <c r="AJ120" s="90">
        <f t="shared" si="138"/>
        <v>0</v>
      </c>
      <c r="AK120" s="90">
        <f t="shared" si="139"/>
        <v>0</v>
      </c>
      <c r="AL120" s="90">
        <f t="shared" si="140"/>
        <v>0</v>
      </c>
      <c r="AN120" s="90">
        <v>15</v>
      </c>
      <c r="AO120" s="90">
        <f t="shared" si="141"/>
        <v>0</v>
      </c>
      <c r="AP120" s="90">
        <f t="shared" si="142"/>
        <v>1500</v>
      </c>
      <c r="AQ120" s="91" t="s">
        <v>85</v>
      </c>
      <c r="AV120" s="90">
        <f t="shared" si="143"/>
        <v>0</v>
      </c>
      <c r="AW120" s="90">
        <f t="shared" si="144"/>
        <v>0</v>
      </c>
      <c r="AX120" s="90">
        <f t="shared" si="145"/>
        <v>0</v>
      </c>
      <c r="AY120" s="91" t="s">
        <v>645</v>
      </c>
      <c r="AZ120" s="91" t="s">
        <v>654</v>
      </c>
      <c r="BA120" s="154" t="s">
        <v>658</v>
      </c>
      <c r="BC120" s="90">
        <f t="shared" si="146"/>
        <v>0</v>
      </c>
      <c r="BD120" s="90">
        <f t="shared" si="147"/>
        <v>1500</v>
      </c>
      <c r="BE120" s="90">
        <v>0</v>
      </c>
      <c r="BF120" s="90">
        <f t="shared" si="148"/>
        <v>0</v>
      </c>
      <c r="BH120" s="90">
        <f t="shared" si="149"/>
        <v>0</v>
      </c>
      <c r="BI120" s="90">
        <f t="shared" si="150"/>
        <v>0</v>
      </c>
      <c r="BJ120" s="90">
        <f t="shared" si="151"/>
        <v>0</v>
      </c>
    </row>
    <row r="121" spans="1:62" ht="12.75" hidden="1">
      <c r="A121" s="88" t="s">
        <v>173</v>
      </c>
      <c r="B121" s="88" t="s">
        <v>59</v>
      </c>
      <c r="C121" s="88" t="s">
        <v>344</v>
      </c>
      <c r="D121" s="88" t="s">
        <v>533</v>
      </c>
      <c r="E121" s="88" t="s">
        <v>606</v>
      </c>
      <c r="F121" s="90"/>
      <c r="G121" s="90">
        <v>250</v>
      </c>
      <c r="H121" s="90">
        <f t="shared" si="126"/>
        <v>0</v>
      </c>
      <c r="I121" s="90">
        <f t="shared" si="127"/>
        <v>0</v>
      </c>
      <c r="J121" s="90">
        <f t="shared" si="128"/>
        <v>0</v>
      </c>
      <c r="K121" s="90">
        <v>0</v>
      </c>
      <c r="L121" s="90">
        <f t="shared" si="129"/>
        <v>0</v>
      </c>
      <c r="M121" s="91" t="s">
        <v>622</v>
      </c>
      <c r="Z121" s="90">
        <f t="shared" si="130"/>
        <v>0</v>
      </c>
      <c r="AB121" s="90">
        <f t="shared" si="131"/>
        <v>0</v>
      </c>
      <c r="AC121" s="90">
        <f t="shared" si="132"/>
        <v>0</v>
      </c>
      <c r="AD121" s="90">
        <f t="shared" si="133"/>
        <v>0</v>
      </c>
      <c r="AE121" s="90">
        <f t="shared" si="134"/>
        <v>0</v>
      </c>
      <c r="AF121" s="90">
        <f t="shared" si="135"/>
        <v>0</v>
      </c>
      <c r="AG121" s="90">
        <f t="shared" si="136"/>
        <v>0</v>
      </c>
      <c r="AH121" s="90">
        <f t="shared" si="137"/>
        <v>0</v>
      </c>
      <c r="AI121" s="154" t="s">
        <v>59</v>
      </c>
      <c r="AJ121" s="90">
        <f t="shared" si="138"/>
        <v>0</v>
      </c>
      <c r="AK121" s="90">
        <f t="shared" si="139"/>
        <v>0</v>
      </c>
      <c r="AL121" s="90">
        <f t="shared" si="140"/>
        <v>0</v>
      </c>
      <c r="AN121" s="90">
        <v>15</v>
      </c>
      <c r="AO121" s="90">
        <f t="shared" si="141"/>
        <v>0</v>
      </c>
      <c r="AP121" s="90">
        <f t="shared" si="142"/>
        <v>250</v>
      </c>
      <c r="AQ121" s="91" t="s">
        <v>85</v>
      </c>
      <c r="AV121" s="90">
        <f t="shared" si="143"/>
        <v>0</v>
      </c>
      <c r="AW121" s="90">
        <f t="shared" si="144"/>
        <v>0</v>
      </c>
      <c r="AX121" s="90">
        <f t="shared" si="145"/>
        <v>0</v>
      </c>
      <c r="AY121" s="91" t="s">
        <v>645</v>
      </c>
      <c r="AZ121" s="91" t="s">
        <v>654</v>
      </c>
      <c r="BA121" s="154" t="s">
        <v>658</v>
      </c>
      <c r="BC121" s="90">
        <f t="shared" si="146"/>
        <v>0</v>
      </c>
      <c r="BD121" s="90">
        <f t="shared" si="147"/>
        <v>250</v>
      </c>
      <c r="BE121" s="90">
        <v>0</v>
      </c>
      <c r="BF121" s="90">
        <f t="shared" si="148"/>
        <v>0</v>
      </c>
      <c r="BH121" s="90">
        <f t="shared" si="149"/>
        <v>0</v>
      </c>
      <c r="BI121" s="90">
        <f t="shared" si="150"/>
        <v>0</v>
      </c>
      <c r="BJ121" s="90">
        <f t="shared" si="151"/>
        <v>0</v>
      </c>
    </row>
    <row r="122" spans="1:62" ht="12.75" hidden="1">
      <c r="A122" s="88" t="s">
        <v>174</v>
      </c>
      <c r="B122" s="88" t="s">
        <v>59</v>
      </c>
      <c r="C122" s="88" t="s">
        <v>345</v>
      </c>
      <c r="D122" s="88" t="s">
        <v>534</v>
      </c>
      <c r="E122" s="88" t="s">
        <v>606</v>
      </c>
      <c r="F122" s="90"/>
      <c r="G122" s="90">
        <v>150</v>
      </c>
      <c r="H122" s="90">
        <f t="shared" si="126"/>
        <v>0</v>
      </c>
      <c r="I122" s="90">
        <f t="shared" si="127"/>
        <v>0</v>
      </c>
      <c r="J122" s="90">
        <f t="shared" si="128"/>
        <v>0</v>
      </c>
      <c r="K122" s="90">
        <v>0</v>
      </c>
      <c r="L122" s="90">
        <f t="shared" si="129"/>
        <v>0</v>
      </c>
      <c r="M122" s="91" t="s">
        <v>622</v>
      </c>
      <c r="Z122" s="90">
        <f t="shared" si="130"/>
        <v>0</v>
      </c>
      <c r="AB122" s="90">
        <f t="shared" si="131"/>
        <v>0</v>
      </c>
      <c r="AC122" s="90">
        <f t="shared" si="132"/>
        <v>0</v>
      </c>
      <c r="AD122" s="90">
        <f t="shared" si="133"/>
        <v>0</v>
      </c>
      <c r="AE122" s="90">
        <f t="shared" si="134"/>
        <v>0</v>
      </c>
      <c r="AF122" s="90">
        <f t="shared" si="135"/>
        <v>0</v>
      </c>
      <c r="AG122" s="90">
        <f t="shared" si="136"/>
        <v>0</v>
      </c>
      <c r="AH122" s="90">
        <f t="shared" si="137"/>
        <v>0</v>
      </c>
      <c r="AI122" s="154" t="s">
        <v>59</v>
      </c>
      <c r="AJ122" s="90">
        <f t="shared" si="138"/>
        <v>0</v>
      </c>
      <c r="AK122" s="90">
        <f t="shared" si="139"/>
        <v>0</v>
      </c>
      <c r="AL122" s="90">
        <f t="shared" si="140"/>
        <v>0</v>
      </c>
      <c r="AN122" s="90">
        <v>15</v>
      </c>
      <c r="AO122" s="90">
        <f t="shared" si="141"/>
        <v>0</v>
      </c>
      <c r="AP122" s="90">
        <f t="shared" si="142"/>
        <v>150</v>
      </c>
      <c r="AQ122" s="91" t="s">
        <v>85</v>
      </c>
      <c r="AV122" s="90">
        <f t="shared" si="143"/>
        <v>0</v>
      </c>
      <c r="AW122" s="90">
        <f t="shared" si="144"/>
        <v>0</v>
      </c>
      <c r="AX122" s="90">
        <f t="shared" si="145"/>
        <v>0</v>
      </c>
      <c r="AY122" s="91" t="s">
        <v>645</v>
      </c>
      <c r="AZ122" s="91" t="s">
        <v>654</v>
      </c>
      <c r="BA122" s="154" t="s">
        <v>658</v>
      </c>
      <c r="BC122" s="90">
        <f t="shared" si="146"/>
        <v>0</v>
      </c>
      <c r="BD122" s="90">
        <f t="shared" si="147"/>
        <v>150</v>
      </c>
      <c r="BE122" s="90">
        <v>0</v>
      </c>
      <c r="BF122" s="90">
        <f t="shared" si="148"/>
        <v>0</v>
      </c>
      <c r="BH122" s="90">
        <f t="shared" si="149"/>
        <v>0</v>
      </c>
      <c r="BI122" s="90">
        <f t="shared" si="150"/>
        <v>0</v>
      </c>
      <c r="BJ122" s="90">
        <f t="shared" si="151"/>
        <v>0</v>
      </c>
    </row>
    <row r="123" spans="1:62" ht="12.75" hidden="1">
      <c r="A123" s="88" t="s">
        <v>175</v>
      </c>
      <c r="B123" s="88" t="s">
        <v>59</v>
      </c>
      <c r="C123" s="88" t="s">
        <v>346</v>
      </c>
      <c r="D123" s="88" t="s">
        <v>535</v>
      </c>
      <c r="E123" s="88" t="s">
        <v>606</v>
      </c>
      <c r="F123" s="90"/>
      <c r="G123" s="90">
        <v>3500</v>
      </c>
      <c r="H123" s="90">
        <f t="shared" si="126"/>
        <v>0</v>
      </c>
      <c r="I123" s="90">
        <f t="shared" si="127"/>
        <v>0</v>
      </c>
      <c r="J123" s="90">
        <f t="shared" si="128"/>
        <v>0</v>
      </c>
      <c r="K123" s="90">
        <v>0</v>
      </c>
      <c r="L123" s="90">
        <f t="shared" si="129"/>
        <v>0</v>
      </c>
      <c r="M123" s="91" t="s">
        <v>622</v>
      </c>
      <c r="Z123" s="90">
        <f t="shared" si="130"/>
        <v>0</v>
      </c>
      <c r="AB123" s="90">
        <f t="shared" si="131"/>
        <v>0</v>
      </c>
      <c r="AC123" s="90">
        <f t="shared" si="132"/>
        <v>0</v>
      </c>
      <c r="AD123" s="90">
        <f t="shared" si="133"/>
        <v>0</v>
      </c>
      <c r="AE123" s="90">
        <f t="shared" si="134"/>
        <v>0</v>
      </c>
      <c r="AF123" s="90">
        <f t="shared" si="135"/>
        <v>0</v>
      </c>
      <c r="AG123" s="90">
        <f t="shared" si="136"/>
        <v>0</v>
      </c>
      <c r="AH123" s="90">
        <f t="shared" si="137"/>
        <v>0</v>
      </c>
      <c r="AI123" s="154" t="s">
        <v>59</v>
      </c>
      <c r="AJ123" s="90">
        <f t="shared" si="138"/>
        <v>0</v>
      </c>
      <c r="AK123" s="90">
        <f t="shared" si="139"/>
        <v>0</v>
      </c>
      <c r="AL123" s="90">
        <f t="shared" si="140"/>
        <v>0</v>
      </c>
      <c r="AN123" s="90">
        <v>15</v>
      </c>
      <c r="AO123" s="90">
        <f t="shared" si="141"/>
        <v>0</v>
      </c>
      <c r="AP123" s="90">
        <f t="shared" si="142"/>
        <v>3500</v>
      </c>
      <c r="AQ123" s="91" t="s">
        <v>85</v>
      </c>
      <c r="AV123" s="90">
        <f t="shared" si="143"/>
        <v>0</v>
      </c>
      <c r="AW123" s="90">
        <f t="shared" si="144"/>
        <v>0</v>
      </c>
      <c r="AX123" s="90">
        <f t="shared" si="145"/>
        <v>0</v>
      </c>
      <c r="AY123" s="91" t="s">
        <v>645</v>
      </c>
      <c r="AZ123" s="91" t="s">
        <v>654</v>
      </c>
      <c r="BA123" s="154" t="s">
        <v>658</v>
      </c>
      <c r="BC123" s="90">
        <f t="shared" si="146"/>
        <v>0</v>
      </c>
      <c r="BD123" s="90">
        <f t="shared" si="147"/>
        <v>3500</v>
      </c>
      <c r="BE123" s="90">
        <v>0</v>
      </c>
      <c r="BF123" s="90">
        <f t="shared" si="148"/>
        <v>0</v>
      </c>
      <c r="BH123" s="90">
        <f t="shared" si="149"/>
        <v>0</v>
      </c>
      <c r="BI123" s="90">
        <f t="shared" si="150"/>
        <v>0</v>
      </c>
      <c r="BJ123" s="90">
        <f t="shared" si="151"/>
        <v>0</v>
      </c>
    </row>
    <row r="124" spans="1:62" ht="12.75" hidden="1">
      <c r="A124" s="88" t="s">
        <v>176</v>
      </c>
      <c r="B124" s="88" t="s">
        <v>59</v>
      </c>
      <c r="C124" s="88" t="s">
        <v>347</v>
      </c>
      <c r="D124" s="88" t="s">
        <v>536</v>
      </c>
      <c r="E124" s="88" t="s">
        <v>606</v>
      </c>
      <c r="F124" s="90"/>
      <c r="G124" s="90">
        <v>1000</v>
      </c>
      <c r="H124" s="90">
        <f t="shared" si="126"/>
        <v>0</v>
      </c>
      <c r="I124" s="90">
        <f t="shared" si="127"/>
        <v>0</v>
      </c>
      <c r="J124" s="90">
        <f t="shared" si="128"/>
        <v>0</v>
      </c>
      <c r="K124" s="90">
        <v>0</v>
      </c>
      <c r="L124" s="90">
        <f t="shared" si="129"/>
        <v>0</v>
      </c>
      <c r="M124" s="91" t="s">
        <v>622</v>
      </c>
      <c r="Z124" s="90">
        <f t="shared" si="130"/>
        <v>0</v>
      </c>
      <c r="AB124" s="90">
        <f t="shared" si="131"/>
        <v>0</v>
      </c>
      <c r="AC124" s="90">
        <f t="shared" si="132"/>
        <v>0</v>
      </c>
      <c r="AD124" s="90">
        <f t="shared" si="133"/>
        <v>0</v>
      </c>
      <c r="AE124" s="90">
        <f t="shared" si="134"/>
        <v>0</v>
      </c>
      <c r="AF124" s="90">
        <f t="shared" si="135"/>
        <v>0</v>
      </c>
      <c r="AG124" s="90">
        <f t="shared" si="136"/>
        <v>0</v>
      </c>
      <c r="AH124" s="90">
        <f t="shared" si="137"/>
        <v>0</v>
      </c>
      <c r="AI124" s="154" t="s">
        <v>59</v>
      </c>
      <c r="AJ124" s="90">
        <f t="shared" si="138"/>
        <v>0</v>
      </c>
      <c r="AK124" s="90">
        <f t="shared" si="139"/>
        <v>0</v>
      </c>
      <c r="AL124" s="90">
        <f t="shared" si="140"/>
        <v>0</v>
      </c>
      <c r="AN124" s="90">
        <v>15</v>
      </c>
      <c r="AO124" s="90">
        <f t="shared" si="141"/>
        <v>0</v>
      </c>
      <c r="AP124" s="90">
        <f t="shared" si="142"/>
        <v>1000</v>
      </c>
      <c r="AQ124" s="91" t="s">
        <v>85</v>
      </c>
      <c r="AV124" s="90">
        <f t="shared" si="143"/>
        <v>0</v>
      </c>
      <c r="AW124" s="90">
        <f t="shared" si="144"/>
        <v>0</v>
      </c>
      <c r="AX124" s="90">
        <f t="shared" si="145"/>
        <v>0</v>
      </c>
      <c r="AY124" s="91" t="s">
        <v>645</v>
      </c>
      <c r="AZ124" s="91" t="s">
        <v>654</v>
      </c>
      <c r="BA124" s="154" t="s">
        <v>658</v>
      </c>
      <c r="BC124" s="90">
        <f t="shared" si="146"/>
        <v>0</v>
      </c>
      <c r="BD124" s="90">
        <f t="shared" si="147"/>
        <v>1000</v>
      </c>
      <c r="BE124" s="90">
        <v>0</v>
      </c>
      <c r="BF124" s="90">
        <f t="shared" si="148"/>
        <v>0</v>
      </c>
      <c r="BH124" s="90">
        <f t="shared" si="149"/>
        <v>0</v>
      </c>
      <c r="BI124" s="90">
        <f t="shared" si="150"/>
        <v>0</v>
      </c>
      <c r="BJ124" s="90">
        <f t="shared" si="151"/>
        <v>0</v>
      </c>
    </row>
    <row r="125" spans="1:62" ht="12.75" hidden="1">
      <c r="A125" s="88" t="s">
        <v>177</v>
      </c>
      <c r="B125" s="88" t="s">
        <v>59</v>
      </c>
      <c r="C125" s="88" t="s">
        <v>348</v>
      </c>
      <c r="D125" s="88" t="s">
        <v>537</v>
      </c>
      <c r="E125" s="88" t="s">
        <v>606</v>
      </c>
      <c r="F125" s="90"/>
      <c r="G125" s="90">
        <v>1500</v>
      </c>
      <c r="H125" s="90">
        <f t="shared" si="126"/>
        <v>0</v>
      </c>
      <c r="I125" s="90">
        <f t="shared" si="127"/>
        <v>0</v>
      </c>
      <c r="J125" s="90">
        <f t="shared" si="128"/>
        <v>0</v>
      </c>
      <c r="K125" s="90">
        <v>0</v>
      </c>
      <c r="L125" s="90">
        <f t="shared" si="129"/>
        <v>0</v>
      </c>
      <c r="M125" s="91" t="s">
        <v>622</v>
      </c>
      <c r="Z125" s="90">
        <f t="shared" si="130"/>
        <v>0</v>
      </c>
      <c r="AB125" s="90">
        <f t="shared" si="131"/>
        <v>0</v>
      </c>
      <c r="AC125" s="90">
        <f t="shared" si="132"/>
        <v>0</v>
      </c>
      <c r="AD125" s="90">
        <f t="shared" si="133"/>
        <v>0</v>
      </c>
      <c r="AE125" s="90">
        <f t="shared" si="134"/>
        <v>0</v>
      </c>
      <c r="AF125" s="90">
        <f t="shared" si="135"/>
        <v>0</v>
      </c>
      <c r="AG125" s="90">
        <f t="shared" si="136"/>
        <v>0</v>
      </c>
      <c r="AH125" s="90">
        <f t="shared" si="137"/>
        <v>0</v>
      </c>
      <c r="AI125" s="154" t="s">
        <v>59</v>
      </c>
      <c r="AJ125" s="90">
        <f t="shared" si="138"/>
        <v>0</v>
      </c>
      <c r="AK125" s="90">
        <f t="shared" si="139"/>
        <v>0</v>
      </c>
      <c r="AL125" s="90">
        <f t="shared" si="140"/>
        <v>0</v>
      </c>
      <c r="AN125" s="90">
        <v>15</v>
      </c>
      <c r="AO125" s="90">
        <f t="shared" si="141"/>
        <v>0</v>
      </c>
      <c r="AP125" s="90">
        <f t="shared" si="142"/>
        <v>1500</v>
      </c>
      <c r="AQ125" s="91" t="s">
        <v>85</v>
      </c>
      <c r="AV125" s="90">
        <f t="shared" si="143"/>
        <v>0</v>
      </c>
      <c r="AW125" s="90">
        <f t="shared" si="144"/>
        <v>0</v>
      </c>
      <c r="AX125" s="90">
        <f t="shared" si="145"/>
        <v>0</v>
      </c>
      <c r="AY125" s="91" t="s">
        <v>645</v>
      </c>
      <c r="AZ125" s="91" t="s">
        <v>654</v>
      </c>
      <c r="BA125" s="154" t="s">
        <v>658</v>
      </c>
      <c r="BC125" s="90">
        <f t="shared" si="146"/>
        <v>0</v>
      </c>
      <c r="BD125" s="90">
        <f t="shared" si="147"/>
        <v>1500</v>
      </c>
      <c r="BE125" s="90">
        <v>0</v>
      </c>
      <c r="BF125" s="90">
        <f t="shared" si="148"/>
        <v>0</v>
      </c>
      <c r="BH125" s="90">
        <f t="shared" si="149"/>
        <v>0</v>
      </c>
      <c r="BI125" s="90">
        <f t="shared" si="150"/>
        <v>0</v>
      </c>
      <c r="BJ125" s="90">
        <f t="shared" si="151"/>
        <v>0</v>
      </c>
    </row>
    <row r="126" spans="1:62" ht="12.75" hidden="1">
      <c r="A126" s="88" t="s">
        <v>178</v>
      </c>
      <c r="B126" s="88" t="s">
        <v>59</v>
      </c>
      <c r="C126" s="88" t="s">
        <v>349</v>
      </c>
      <c r="D126" s="88" t="s">
        <v>538</v>
      </c>
      <c r="E126" s="88" t="s">
        <v>606</v>
      </c>
      <c r="F126" s="90"/>
      <c r="G126" s="90">
        <v>500</v>
      </c>
      <c r="H126" s="90">
        <f t="shared" si="126"/>
        <v>0</v>
      </c>
      <c r="I126" s="90">
        <f t="shared" si="127"/>
        <v>0</v>
      </c>
      <c r="J126" s="90">
        <f t="shared" si="128"/>
        <v>0</v>
      </c>
      <c r="K126" s="90">
        <v>0</v>
      </c>
      <c r="L126" s="90">
        <f t="shared" si="129"/>
        <v>0</v>
      </c>
      <c r="M126" s="91" t="s">
        <v>622</v>
      </c>
      <c r="Z126" s="90">
        <f t="shared" si="130"/>
        <v>0</v>
      </c>
      <c r="AB126" s="90">
        <f t="shared" si="131"/>
        <v>0</v>
      </c>
      <c r="AC126" s="90">
        <f t="shared" si="132"/>
        <v>0</v>
      </c>
      <c r="AD126" s="90">
        <f t="shared" si="133"/>
        <v>0</v>
      </c>
      <c r="AE126" s="90">
        <f t="shared" si="134"/>
        <v>0</v>
      </c>
      <c r="AF126" s="90">
        <f t="shared" si="135"/>
        <v>0</v>
      </c>
      <c r="AG126" s="90">
        <f t="shared" si="136"/>
        <v>0</v>
      </c>
      <c r="AH126" s="90">
        <f t="shared" si="137"/>
        <v>0</v>
      </c>
      <c r="AI126" s="154" t="s">
        <v>59</v>
      </c>
      <c r="AJ126" s="90">
        <f t="shared" si="138"/>
        <v>0</v>
      </c>
      <c r="AK126" s="90">
        <f t="shared" si="139"/>
        <v>0</v>
      </c>
      <c r="AL126" s="90">
        <f t="shared" si="140"/>
        <v>0</v>
      </c>
      <c r="AN126" s="90">
        <v>15</v>
      </c>
      <c r="AO126" s="90">
        <f t="shared" si="141"/>
        <v>0</v>
      </c>
      <c r="AP126" s="90">
        <f t="shared" si="142"/>
        <v>500</v>
      </c>
      <c r="AQ126" s="91" t="s">
        <v>85</v>
      </c>
      <c r="AV126" s="90">
        <f t="shared" si="143"/>
        <v>0</v>
      </c>
      <c r="AW126" s="90">
        <f t="shared" si="144"/>
        <v>0</v>
      </c>
      <c r="AX126" s="90">
        <f t="shared" si="145"/>
        <v>0</v>
      </c>
      <c r="AY126" s="91" t="s">
        <v>645</v>
      </c>
      <c r="AZ126" s="91" t="s">
        <v>654</v>
      </c>
      <c r="BA126" s="154" t="s">
        <v>658</v>
      </c>
      <c r="BC126" s="90">
        <f t="shared" si="146"/>
        <v>0</v>
      </c>
      <c r="BD126" s="90">
        <f t="shared" si="147"/>
        <v>500</v>
      </c>
      <c r="BE126" s="90">
        <v>0</v>
      </c>
      <c r="BF126" s="90">
        <f t="shared" si="148"/>
        <v>0</v>
      </c>
      <c r="BH126" s="90">
        <f t="shared" si="149"/>
        <v>0</v>
      </c>
      <c r="BI126" s="90">
        <f t="shared" si="150"/>
        <v>0</v>
      </c>
      <c r="BJ126" s="90">
        <f t="shared" si="151"/>
        <v>0</v>
      </c>
    </row>
    <row r="127" spans="1:62" ht="12.75" hidden="1">
      <c r="A127" s="88" t="s">
        <v>179</v>
      </c>
      <c r="B127" s="88" t="s">
        <v>59</v>
      </c>
      <c r="C127" s="88" t="s">
        <v>350</v>
      </c>
      <c r="D127" s="88" t="s">
        <v>539</v>
      </c>
      <c r="E127" s="88" t="s">
        <v>606</v>
      </c>
      <c r="F127" s="90"/>
      <c r="G127" s="90">
        <v>500</v>
      </c>
      <c r="H127" s="90">
        <f t="shared" si="126"/>
        <v>0</v>
      </c>
      <c r="I127" s="90">
        <f t="shared" si="127"/>
        <v>0</v>
      </c>
      <c r="J127" s="90">
        <f t="shared" si="128"/>
        <v>0</v>
      </c>
      <c r="K127" s="90">
        <v>0</v>
      </c>
      <c r="L127" s="90">
        <f t="shared" si="129"/>
        <v>0</v>
      </c>
      <c r="M127" s="91" t="s">
        <v>622</v>
      </c>
      <c r="Z127" s="90">
        <f t="shared" si="130"/>
        <v>0</v>
      </c>
      <c r="AB127" s="90">
        <f t="shared" si="131"/>
        <v>0</v>
      </c>
      <c r="AC127" s="90">
        <f t="shared" si="132"/>
        <v>0</v>
      </c>
      <c r="AD127" s="90">
        <f t="shared" si="133"/>
        <v>0</v>
      </c>
      <c r="AE127" s="90">
        <f t="shared" si="134"/>
        <v>0</v>
      </c>
      <c r="AF127" s="90">
        <f t="shared" si="135"/>
        <v>0</v>
      </c>
      <c r="AG127" s="90">
        <f t="shared" si="136"/>
        <v>0</v>
      </c>
      <c r="AH127" s="90">
        <f t="shared" si="137"/>
        <v>0</v>
      </c>
      <c r="AI127" s="154" t="s">
        <v>59</v>
      </c>
      <c r="AJ127" s="90">
        <f t="shared" si="138"/>
        <v>0</v>
      </c>
      <c r="AK127" s="90">
        <f t="shared" si="139"/>
        <v>0</v>
      </c>
      <c r="AL127" s="90">
        <f t="shared" si="140"/>
        <v>0</v>
      </c>
      <c r="AN127" s="90">
        <v>15</v>
      </c>
      <c r="AO127" s="90">
        <f t="shared" si="141"/>
        <v>0</v>
      </c>
      <c r="AP127" s="90">
        <f t="shared" si="142"/>
        <v>500</v>
      </c>
      <c r="AQ127" s="91" t="s">
        <v>85</v>
      </c>
      <c r="AV127" s="90">
        <f t="shared" si="143"/>
        <v>0</v>
      </c>
      <c r="AW127" s="90">
        <f t="shared" si="144"/>
        <v>0</v>
      </c>
      <c r="AX127" s="90">
        <f t="shared" si="145"/>
        <v>0</v>
      </c>
      <c r="AY127" s="91" t="s">
        <v>645</v>
      </c>
      <c r="AZ127" s="91" t="s">
        <v>654</v>
      </c>
      <c r="BA127" s="154" t="s">
        <v>658</v>
      </c>
      <c r="BC127" s="90">
        <f t="shared" si="146"/>
        <v>0</v>
      </c>
      <c r="BD127" s="90">
        <f t="shared" si="147"/>
        <v>500</v>
      </c>
      <c r="BE127" s="90">
        <v>0</v>
      </c>
      <c r="BF127" s="90">
        <f t="shared" si="148"/>
        <v>0</v>
      </c>
      <c r="BH127" s="90">
        <f t="shared" si="149"/>
        <v>0</v>
      </c>
      <c r="BI127" s="90">
        <f t="shared" si="150"/>
        <v>0</v>
      </c>
      <c r="BJ127" s="90">
        <f t="shared" si="151"/>
        <v>0</v>
      </c>
    </row>
    <row r="128" spans="1:62" ht="12.75" hidden="1">
      <c r="A128" s="88" t="s">
        <v>180</v>
      </c>
      <c r="B128" s="88" t="s">
        <v>59</v>
      </c>
      <c r="C128" s="88" t="s">
        <v>351</v>
      </c>
      <c r="D128" s="88" t="s">
        <v>540</v>
      </c>
      <c r="E128" s="88" t="s">
        <v>606</v>
      </c>
      <c r="F128" s="90"/>
      <c r="G128" s="90">
        <v>500</v>
      </c>
      <c r="H128" s="90">
        <f t="shared" si="126"/>
        <v>0</v>
      </c>
      <c r="I128" s="90">
        <f t="shared" si="127"/>
        <v>0</v>
      </c>
      <c r="J128" s="90">
        <f t="shared" si="128"/>
        <v>0</v>
      </c>
      <c r="K128" s="90">
        <v>0</v>
      </c>
      <c r="L128" s="90">
        <f t="shared" si="129"/>
        <v>0</v>
      </c>
      <c r="M128" s="91" t="s">
        <v>622</v>
      </c>
      <c r="Z128" s="90">
        <f t="shared" si="130"/>
        <v>0</v>
      </c>
      <c r="AB128" s="90">
        <f t="shared" si="131"/>
        <v>0</v>
      </c>
      <c r="AC128" s="90">
        <f t="shared" si="132"/>
        <v>0</v>
      </c>
      <c r="AD128" s="90">
        <f t="shared" si="133"/>
        <v>0</v>
      </c>
      <c r="AE128" s="90">
        <f t="shared" si="134"/>
        <v>0</v>
      </c>
      <c r="AF128" s="90">
        <f t="shared" si="135"/>
        <v>0</v>
      </c>
      <c r="AG128" s="90">
        <f t="shared" si="136"/>
        <v>0</v>
      </c>
      <c r="AH128" s="90">
        <f t="shared" si="137"/>
        <v>0</v>
      </c>
      <c r="AI128" s="154" t="s">
        <v>59</v>
      </c>
      <c r="AJ128" s="90">
        <f t="shared" si="138"/>
        <v>0</v>
      </c>
      <c r="AK128" s="90">
        <f t="shared" si="139"/>
        <v>0</v>
      </c>
      <c r="AL128" s="90">
        <f t="shared" si="140"/>
        <v>0</v>
      </c>
      <c r="AN128" s="90">
        <v>15</v>
      </c>
      <c r="AO128" s="90">
        <f t="shared" si="141"/>
        <v>0</v>
      </c>
      <c r="AP128" s="90">
        <f t="shared" si="142"/>
        <v>500</v>
      </c>
      <c r="AQ128" s="91" t="s">
        <v>85</v>
      </c>
      <c r="AV128" s="90">
        <f t="shared" si="143"/>
        <v>0</v>
      </c>
      <c r="AW128" s="90">
        <f t="shared" si="144"/>
        <v>0</v>
      </c>
      <c r="AX128" s="90">
        <f t="shared" si="145"/>
        <v>0</v>
      </c>
      <c r="AY128" s="91" t="s">
        <v>645</v>
      </c>
      <c r="AZ128" s="91" t="s">
        <v>654</v>
      </c>
      <c r="BA128" s="154" t="s">
        <v>658</v>
      </c>
      <c r="BC128" s="90">
        <f t="shared" si="146"/>
        <v>0</v>
      </c>
      <c r="BD128" s="90">
        <f t="shared" si="147"/>
        <v>500</v>
      </c>
      <c r="BE128" s="90">
        <v>0</v>
      </c>
      <c r="BF128" s="90">
        <f t="shared" si="148"/>
        <v>0</v>
      </c>
      <c r="BH128" s="90">
        <f t="shared" si="149"/>
        <v>0</v>
      </c>
      <c r="BI128" s="90">
        <f t="shared" si="150"/>
        <v>0</v>
      </c>
      <c r="BJ128" s="90">
        <f t="shared" si="151"/>
        <v>0</v>
      </c>
    </row>
    <row r="129" spans="1:62" ht="12.75" hidden="1">
      <c r="A129" s="88" t="s">
        <v>181</v>
      </c>
      <c r="B129" s="88" t="s">
        <v>59</v>
      </c>
      <c r="C129" s="88" t="s">
        <v>352</v>
      </c>
      <c r="D129" s="88" t="s">
        <v>541</v>
      </c>
      <c r="E129" s="88" t="s">
        <v>606</v>
      </c>
      <c r="F129" s="90"/>
      <c r="G129" s="90">
        <v>150</v>
      </c>
      <c r="H129" s="90">
        <f t="shared" si="126"/>
        <v>0</v>
      </c>
      <c r="I129" s="90">
        <f t="shared" si="127"/>
        <v>0</v>
      </c>
      <c r="J129" s="90">
        <f t="shared" si="128"/>
        <v>0</v>
      </c>
      <c r="K129" s="90">
        <v>0</v>
      </c>
      <c r="L129" s="90">
        <f t="shared" si="129"/>
        <v>0</v>
      </c>
      <c r="M129" s="91" t="s">
        <v>622</v>
      </c>
      <c r="Z129" s="90">
        <f t="shared" si="130"/>
        <v>0</v>
      </c>
      <c r="AB129" s="90">
        <f t="shared" si="131"/>
        <v>0</v>
      </c>
      <c r="AC129" s="90">
        <f t="shared" si="132"/>
        <v>0</v>
      </c>
      <c r="AD129" s="90">
        <f t="shared" si="133"/>
        <v>0</v>
      </c>
      <c r="AE129" s="90">
        <f t="shared" si="134"/>
        <v>0</v>
      </c>
      <c r="AF129" s="90">
        <f t="shared" si="135"/>
        <v>0</v>
      </c>
      <c r="AG129" s="90">
        <f t="shared" si="136"/>
        <v>0</v>
      </c>
      <c r="AH129" s="90">
        <f t="shared" si="137"/>
        <v>0</v>
      </c>
      <c r="AI129" s="154" t="s">
        <v>59</v>
      </c>
      <c r="AJ129" s="90">
        <f t="shared" si="138"/>
        <v>0</v>
      </c>
      <c r="AK129" s="90">
        <f t="shared" si="139"/>
        <v>0</v>
      </c>
      <c r="AL129" s="90">
        <f t="shared" si="140"/>
        <v>0</v>
      </c>
      <c r="AN129" s="90">
        <v>15</v>
      </c>
      <c r="AO129" s="90">
        <f t="shared" si="141"/>
        <v>0</v>
      </c>
      <c r="AP129" s="90">
        <f t="shared" si="142"/>
        <v>150</v>
      </c>
      <c r="AQ129" s="91" t="s">
        <v>85</v>
      </c>
      <c r="AV129" s="90">
        <f t="shared" si="143"/>
        <v>0</v>
      </c>
      <c r="AW129" s="90">
        <f t="shared" si="144"/>
        <v>0</v>
      </c>
      <c r="AX129" s="90">
        <f t="shared" si="145"/>
        <v>0</v>
      </c>
      <c r="AY129" s="91" t="s">
        <v>645</v>
      </c>
      <c r="AZ129" s="91" t="s">
        <v>654</v>
      </c>
      <c r="BA129" s="154" t="s">
        <v>658</v>
      </c>
      <c r="BC129" s="90">
        <f t="shared" si="146"/>
        <v>0</v>
      </c>
      <c r="BD129" s="90">
        <f t="shared" si="147"/>
        <v>150</v>
      </c>
      <c r="BE129" s="90">
        <v>0</v>
      </c>
      <c r="BF129" s="90">
        <f t="shared" si="148"/>
        <v>0</v>
      </c>
      <c r="BH129" s="90">
        <f t="shared" si="149"/>
        <v>0</v>
      </c>
      <c r="BI129" s="90">
        <f t="shared" si="150"/>
        <v>0</v>
      </c>
      <c r="BJ129" s="90">
        <f t="shared" si="151"/>
        <v>0</v>
      </c>
    </row>
    <row r="130" spans="1:62" ht="12.75" hidden="1">
      <c r="A130" s="88" t="s">
        <v>182</v>
      </c>
      <c r="B130" s="88" t="s">
        <v>59</v>
      </c>
      <c r="C130" s="88" t="s">
        <v>353</v>
      </c>
      <c r="D130" s="88" t="s">
        <v>542</v>
      </c>
      <c r="E130" s="88" t="s">
        <v>606</v>
      </c>
      <c r="F130" s="90"/>
      <c r="G130" s="90">
        <v>50</v>
      </c>
      <c r="H130" s="90">
        <f t="shared" si="126"/>
        <v>0</v>
      </c>
      <c r="I130" s="90">
        <f t="shared" si="127"/>
        <v>0</v>
      </c>
      <c r="J130" s="90">
        <f t="shared" si="128"/>
        <v>0</v>
      </c>
      <c r="K130" s="90">
        <v>0</v>
      </c>
      <c r="L130" s="90">
        <f t="shared" si="129"/>
        <v>0</v>
      </c>
      <c r="M130" s="91" t="s">
        <v>622</v>
      </c>
      <c r="Z130" s="90">
        <f t="shared" si="130"/>
        <v>0</v>
      </c>
      <c r="AB130" s="90">
        <f t="shared" si="131"/>
        <v>0</v>
      </c>
      <c r="AC130" s="90">
        <f t="shared" si="132"/>
        <v>0</v>
      </c>
      <c r="AD130" s="90">
        <f t="shared" si="133"/>
        <v>0</v>
      </c>
      <c r="AE130" s="90">
        <f t="shared" si="134"/>
        <v>0</v>
      </c>
      <c r="AF130" s="90">
        <f t="shared" si="135"/>
        <v>0</v>
      </c>
      <c r="AG130" s="90">
        <f t="shared" si="136"/>
        <v>0</v>
      </c>
      <c r="AH130" s="90">
        <f t="shared" si="137"/>
        <v>0</v>
      </c>
      <c r="AI130" s="154" t="s">
        <v>59</v>
      </c>
      <c r="AJ130" s="90">
        <f t="shared" si="138"/>
        <v>0</v>
      </c>
      <c r="AK130" s="90">
        <f t="shared" si="139"/>
        <v>0</v>
      </c>
      <c r="AL130" s="90">
        <f t="shared" si="140"/>
        <v>0</v>
      </c>
      <c r="AN130" s="90">
        <v>15</v>
      </c>
      <c r="AO130" s="90">
        <f t="shared" si="141"/>
        <v>0</v>
      </c>
      <c r="AP130" s="90">
        <f t="shared" si="142"/>
        <v>50</v>
      </c>
      <c r="AQ130" s="91" t="s">
        <v>85</v>
      </c>
      <c r="AV130" s="90">
        <f t="shared" si="143"/>
        <v>0</v>
      </c>
      <c r="AW130" s="90">
        <f t="shared" si="144"/>
        <v>0</v>
      </c>
      <c r="AX130" s="90">
        <f t="shared" si="145"/>
        <v>0</v>
      </c>
      <c r="AY130" s="91" t="s">
        <v>645</v>
      </c>
      <c r="AZ130" s="91" t="s">
        <v>654</v>
      </c>
      <c r="BA130" s="154" t="s">
        <v>658</v>
      </c>
      <c r="BC130" s="90">
        <f t="shared" si="146"/>
        <v>0</v>
      </c>
      <c r="BD130" s="90">
        <f t="shared" si="147"/>
        <v>50</v>
      </c>
      <c r="BE130" s="90">
        <v>0</v>
      </c>
      <c r="BF130" s="90">
        <f t="shared" si="148"/>
        <v>0</v>
      </c>
      <c r="BH130" s="90">
        <f t="shared" si="149"/>
        <v>0</v>
      </c>
      <c r="BI130" s="90">
        <f t="shared" si="150"/>
        <v>0</v>
      </c>
      <c r="BJ130" s="90">
        <f t="shared" si="151"/>
        <v>0</v>
      </c>
    </row>
    <row r="131" spans="1:62" ht="12.75" hidden="1">
      <c r="A131" s="88" t="s">
        <v>183</v>
      </c>
      <c r="B131" s="88" t="s">
        <v>59</v>
      </c>
      <c r="C131" s="88" t="s">
        <v>354</v>
      </c>
      <c r="D131" s="88" t="s">
        <v>501</v>
      </c>
      <c r="E131" s="88" t="s">
        <v>611</v>
      </c>
      <c r="F131" s="90"/>
      <c r="G131" s="90">
        <v>50</v>
      </c>
      <c r="H131" s="90">
        <f t="shared" si="126"/>
        <v>0</v>
      </c>
      <c r="I131" s="90">
        <f t="shared" si="127"/>
        <v>0</v>
      </c>
      <c r="J131" s="90">
        <f t="shared" si="128"/>
        <v>0</v>
      </c>
      <c r="K131" s="90">
        <v>0</v>
      </c>
      <c r="L131" s="90">
        <f t="shared" si="129"/>
        <v>0</v>
      </c>
      <c r="M131" s="91" t="s">
        <v>622</v>
      </c>
      <c r="Z131" s="90">
        <f t="shared" si="130"/>
        <v>0</v>
      </c>
      <c r="AB131" s="90">
        <f t="shared" si="131"/>
        <v>0</v>
      </c>
      <c r="AC131" s="90">
        <f t="shared" si="132"/>
        <v>0</v>
      </c>
      <c r="AD131" s="90">
        <f t="shared" si="133"/>
        <v>0</v>
      </c>
      <c r="AE131" s="90">
        <f t="shared" si="134"/>
        <v>0</v>
      </c>
      <c r="AF131" s="90">
        <f t="shared" si="135"/>
        <v>0</v>
      </c>
      <c r="AG131" s="90">
        <f t="shared" si="136"/>
        <v>0</v>
      </c>
      <c r="AH131" s="90">
        <f t="shared" si="137"/>
        <v>0</v>
      </c>
      <c r="AI131" s="154" t="s">
        <v>59</v>
      </c>
      <c r="AJ131" s="90">
        <f t="shared" si="138"/>
        <v>0</v>
      </c>
      <c r="AK131" s="90">
        <f t="shared" si="139"/>
        <v>0</v>
      </c>
      <c r="AL131" s="90">
        <f t="shared" si="140"/>
        <v>0</v>
      </c>
      <c r="AN131" s="90">
        <v>15</v>
      </c>
      <c r="AO131" s="90">
        <f t="shared" si="141"/>
        <v>0</v>
      </c>
      <c r="AP131" s="90">
        <f t="shared" si="142"/>
        <v>50</v>
      </c>
      <c r="AQ131" s="91" t="s">
        <v>85</v>
      </c>
      <c r="AV131" s="90">
        <f t="shared" si="143"/>
        <v>0</v>
      </c>
      <c r="AW131" s="90">
        <f t="shared" si="144"/>
        <v>0</v>
      </c>
      <c r="AX131" s="90">
        <f t="shared" si="145"/>
        <v>0</v>
      </c>
      <c r="AY131" s="91" t="s">
        <v>645</v>
      </c>
      <c r="AZ131" s="91" t="s">
        <v>654</v>
      </c>
      <c r="BA131" s="154" t="s">
        <v>658</v>
      </c>
      <c r="BC131" s="90">
        <f t="shared" si="146"/>
        <v>0</v>
      </c>
      <c r="BD131" s="90">
        <f t="shared" si="147"/>
        <v>50</v>
      </c>
      <c r="BE131" s="90">
        <v>0</v>
      </c>
      <c r="BF131" s="90">
        <f t="shared" si="148"/>
        <v>0</v>
      </c>
      <c r="BH131" s="90">
        <f t="shared" si="149"/>
        <v>0</v>
      </c>
      <c r="BI131" s="90">
        <f t="shared" si="150"/>
        <v>0</v>
      </c>
      <c r="BJ131" s="90">
        <f t="shared" si="151"/>
        <v>0</v>
      </c>
    </row>
    <row r="132" spans="1:62" ht="12.75" hidden="1">
      <c r="A132" s="88" t="s">
        <v>184</v>
      </c>
      <c r="B132" s="88" t="s">
        <v>59</v>
      </c>
      <c r="C132" s="88" t="s">
        <v>355</v>
      </c>
      <c r="D132" s="88" t="s">
        <v>502</v>
      </c>
      <c r="E132" s="88" t="s">
        <v>606</v>
      </c>
      <c r="F132" s="90"/>
      <c r="G132" s="90">
        <v>1000</v>
      </c>
      <c r="H132" s="90">
        <f t="shared" si="126"/>
        <v>0</v>
      </c>
      <c r="I132" s="90">
        <f t="shared" si="127"/>
        <v>0</v>
      </c>
      <c r="J132" s="90">
        <f t="shared" si="128"/>
        <v>0</v>
      </c>
      <c r="K132" s="90">
        <v>0</v>
      </c>
      <c r="L132" s="90">
        <f t="shared" si="129"/>
        <v>0</v>
      </c>
      <c r="M132" s="91" t="s">
        <v>622</v>
      </c>
      <c r="Z132" s="90">
        <f t="shared" si="130"/>
        <v>0</v>
      </c>
      <c r="AB132" s="90">
        <f t="shared" si="131"/>
        <v>0</v>
      </c>
      <c r="AC132" s="90">
        <f t="shared" si="132"/>
        <v>0</v>
      </c>
      <c r="AD132" s="90">
        <f t="shared" si="133"/>
        <v>0</v>
      </c>
      <c r="AE132" s="90">
        <f t="shared" si="134"/>
        <v>0</v>
      </c>
      <c r="AF132" s="90">
        <f t="shared" si="135"/>
        <v>0</v>
      </c>
      <c r="AG132" s="90">
        <f t="shared" si="136"/>
        <v>0</v>
      </c>
      <c r="AH132" s="90">
        <f t="shared" si="137"/>
        <v>0</v>
      </c>
      <c r="AI132" s="154" t="s">
        <v>59</v>
      </c>
      <c r="AJ132" s="90">
        <f t="shared" si="138"/>
        <v>0</v>
      </c>
      <c r="AK132" s="90">
        <f t="shared" si="139"/>
        <v>0</v>
      </c>
      <c r="AL132" s="90">
        <f t="shared" si="140"/>
        <v>0</v>
      </c>
      <c r="AN132" s="90">
        <v>15</v>
      </c>
      <c r="AO132" s="90">
        <f t="shared" si="141"/>
        <v>0</v>
      </c>
      <c r="AP132" s="90">
        <f t="shared" si="142"/>
        <v>1000</v>
      </c>
      <c r="AQ132" s="91" t="s">
        <v>85</v>
      </c>
      <c r="AV132" s="90">
        <f t="shared" si="143"/>
        <v>0</v>
      </c>
      <c r="AW132" s="90">
        <f t="shared" si="144"/>
        <v>0</v>
      </c>
      <c r="AX132" s="90">
        <f t="shared" si="145"/>
        <v>0</v>
      </c>
      <c r="AY132" s="91" t="s">
        <v>645</v>
      </c>
      <c r="AZ132" s="91" t="s">
        <v>654</v>
      </c>
      <c r="BA132" s="154" t="s">
        <v>658</v>
      </c>
      <c r="BC132" s="90">
        <f t="shared" si="146"/>
        <v>0</v>
      </c>
      <c r="BD132" s="90">
        <f t="shared" si="147"/>
        <v>1000</v>
      </c>
      <c r="BE132" s="90">
        <v>0</v>
      </c>
      <c r="BF132" s="90">
        <f t="shared" si="148"/>
        <v>0</v>
      </c>
      <c r="BH132" s="90">
        <f t="shared" si="149"/>
        <v>0</v>
      </c>
      <c r="BI132" s="90">
        <f t="shared" si="150"/>
        <v>0</v>
      </c>
      <c r="BJ132" s="90">
        <f t="shared" si="151"/>
        <v>0</v>
      </c>
    </row>
    <row r="133" spans="1:62" ht="12.75" hidden="1">
      <c r="A133" s="88" t="s">
        <v>185</v>
      </c>
      <c r="B133" s="88" t="s">
        <v>59</v>
      </c>
      <c r="C133" s="88" t="s">
        <v>356</v>
      </c>
      <c r="D133" s="88" t="s">
        <v>543</v>
      </c>
      <c r="E133" s="88" t="s">
        <v>606</v>
      </c>
      <c r="F133" s="90"/>
      <c r="G133" s="90">
        <v>500</v>
      </c>
      <c r="H133" s="90">
        <f t="shared" si="126"/>
        <v>0</v>
      </c>
      <c r="I133" s="90">
        <f t="shared" si="127"/>
        <v>0</v>
      </c>
      <c r="J133" s="90">
        <f t="shared" si="128"/>
        <v>0</v>
      </c>
      <c r="K133" s="90">
        <v>0</v>
      </c>
      <c r="L133" s="90">
        <f t="shared" si="129"/>
        <v>0</v>
      </c>
      <c r="M133" s="91" t="s">
        <v>622</v>
      </c>
      <c r="Z133" s="90">
        <f t="shared" si="130"/>
        <v>0</v>
      </c>
      <c r="AB133" s="90">
        <f t="shared" si="131"/>
        <v>0</v>
      </c>
      <c r="AC133" s="90">
        <f t="shared" si="132"/>
        <v>0</v>
      </c>
      <c r="AD133" s="90">
        <f t="shared" si="133"/>
        <v>0</v>
      </c>
      <c r="AE133" s="90">
        <f t="shared" si="134"/>
        <v>0</v>
      </c>
      <c r="AF133" s="90">
        <f t="shared" si="135"/>
        <v>0</v>
      </c>
      <c r="AG133" s="90">
        <f t="shared" si="136"/>
        <v>0</v>
      </c>
      <c r="AH133" s="90">
        <f t="shared" si="137"/>
        <v>0</v>
      </c>
      <c r="AI133" s="154" t="s">
        <v>59</v>
      </c>
      <c r="AJ133" s="90">
        <f t="shared" si="138"/>
        <v>0</v>
      </c>
      <c r="AK133" s="90">
        <f t="shared" si="139"/>
        <v>0</v>
      </c>
      <c r="AL133" s="90">
        <f t="shared" si="140"/>
        <v>0</v>
      </c>
      <c r="AN133" s="90">
        <v>15</v>
      </c>
      <c r="AO133" s="90">
        <f t="shared" si="141"/>
        <v>0</v>
      </c>
      <c r="AP133" s="90">
        <f t="shared" si="142"/>
        <v>500</v>
      </c>
      <c r="AQ133" s="91" t="s">
        <v>85</v>
      </c>
      <c r="AV133" s="90">
        <f t="shared" si="143"/>
        <v>0</v>
      </c>
      <c r="AW133" s="90">
        <f t="shared" si="144"/>
        <v>0</v>
      </c>
      <c r="AX133" s="90">
        <f t="shared" si="145"/>
        <v>0</v>
      </c>
      <c r="AY133" s="91" t="s">
        <v>645</v>
      </c>
      <c r="AZ133" s="91" t="s">
        <v>654</v>
      </c>
      <c r="BA133" s="154" t="s">
        <v>658</v>
      </c>
      <c r="BC133" s="90">
        <f t="shared" si="146"/>
        <v>0</v>
      </c>
      <c r="BD133" s="90">
        <f t="shared" si="147"/>
        <v>500</v>
      </c>
      <c r="BE133" s="90">
        <v>0</v>
      </c>
      <c r="BF133" s="90">
        <f t="shared" si="148"/>
        <v>0</v>
      </c>
      <c r="BH133" s="90">
        <f t="shared" si="149"/>
        <v>0</v>
      </c>
      <c r="BI133" s="90">
        <f t="shared" si="150"/>
        <v>0</v>
      </c>
      <c r="BJ133" s="90">
        <f t="shared" si="151"/>
        <v>0</v>
      </c>
    </row>
    <row r="134" spans="1:62" ht="12.75" hidden="1">
      <c r="A134" s="88" t="s">
        <v>186</v>
      </c>
      <c r="B134" s="88" t="s">
        <v>59</v>
      </c>
      <c r="C134" s="88" t="s">
        <v>357</v>
      </c>
      <c r="D134" s="88" t="s">
        <v>490</v>
      </c>
      <c r="E134" s="88" t="s">
        <v>606</v>
      </c>
      <c r="F134" s="90"/>
      <c r="G134" s="90">
        <v>500</v>
      </c>
      <c r="H134" s="90">
        <f t="shared" si="126"/>
        <v>0</v>
      </c>
      <c r="I134" s="90">
        <f t="shared" si="127"/>
        <v>0</v>
      </c>
      <c r="J134" s="90">
        <f t="shared" si="128"/>
        <v>0</v>
      </c>
      <c r="K134" s="90">
        <v>0</v>
      </c>
      <c r="L134" s="90">
        <f t="shared" si="129"/>
        <v>0</v>
      </c>
      <c r="M134" s="91" t="s">
        <v>622</v>
      </c>
      <c r="Z134" s="90">
        <f t="shared" si="130"/>
        <v>0</v>
      </c>
      <c r="AB134" s="90">
        <f t="shared" si="131"/>
        <v>0</v>
      </c>
      <c r="AC134" s="90">
        <f t="shared" si="132"/>
        <v>0</v>
      </c>
      <c r="AD134" s="90">
        <f t="shared" si="133"/>
        <v>0</v>
      </c>
      <c r="AE134" s="90">
        <f t="shared" si="134"/>
        <v>0</v>
      </c>
      <c r="AF134" s="90">
        <f t="shared" si="135"/>
        <v>0</v>
      </c>
      <c r="AG134" s="90">
        <f t="shared" si="136"/>
        <v>0</v>
      </c>
      <c r="AH134" s="90">
        <f t="shared" si="137"/>
        <v>0</v>
      </c>
      <c r="AI134" s="154" t="s">
        <v>59</v>
      </c>
      <c r="AJ134" s="90">
        <f t="shared" si="138"/>
        <v>0</v>
      </c>
      <c r="AK134" s="90">
        <f t="shared" si="139"/>
        <v>0</v>
      </c>
      <c r="AL134" s="90">
        <f t="shared" si="140"/>
        <v>0</v>
      </c>
      <c r="AN134" s="90">
        <v>15</v>
      </c>
      <c r="AO134" s="90">
        <f t="shared" si="141"/>
        <v>0</v>
      </c>
      <c r="AP134" s="90">
        <f t="shared" si="142"/>
        <v>500</v>
      </c>
      <c r="AQ134" s="91" t="s">
        <v>85</v>
      </c>
      <c r="AV134" s="90">
        <f t="shared" si="143"/>
        <v>0</v>
      </c>
      <c r="AW134" s="90">
        <f t="shared" si="144"/>
        <v>0</v>
      </c>
      <c r="AX134" s="90">
        <f t="shared" si="145"/>
        <v>0</v>
      </c>
      <c r="AY134" s="91" t="s">
        <v>645</v>
      </c>
      <c r="AZ134" s="91" t="s">
        <v>654</v>
      </c>
      <c r="BA134" s="154" t="s">
        <v>658</v>
      </c>
      <c r="BC134" s="90">
        <f t="shared" si="146"/>
        <v>0</v>
      </c>
      <c r="BD134" s="90">
        <f t="shared" si="147"/>
        <v>500</v>
      </c>
      <c r="BE134" s="90">
        <v>0</v>
      </c>
      <c r="BF134" s="90">
        <f t="shared" si="148"/>
        <v>0</v>
      </c>
      <c r="BH134" s="90">
        <f t="shared" si="149"/>
        <v>0</v>
      </c>
      <c r="BI134" s="90">
        <f t="shared" si="150"/>
        <v>0</v>
      </c>
      <c r="BJ134" s="90">
        <f t="shared" si="151"/>
        <v>0</v>
      </c>
    </row>
    <row r="135" spans="1:62" ht="12.75" hidden="1">
      <c r="A135" s="88" t="s">
        <v>187</v>
      </c>
      <c r="B135" s="88" t="s">
        <v>59</v>
      </c>
      <c r="C135" s="88" t="s">
        <v>358</v>
      </c>
      <c r="D135" s="88" t="s">
        <v>489</v>
      </c>
      <c r="E135" s="88" t="s">
        <v>606</v>
      </c>
      <c r="F135" s="90"/>
      <c r="G135" s="90">
        <v>1000</v>
      </c>
      <c r="H135" s="90">
        <f t="shared" si="126"/>
        <v>0</v>
      </c>
      <c r="I135" s="90">
        <f t="shared" si="127"/>
        <v>0</v>
      </c>
      <c r="J135" s="90">
        <f t="shared" si="128"/>
        <v>0</v>
      </c>
      <c r="K135" s="90">
        <v>0</v>
      </c>
      <c r="L135" s="90">
        <f t="shared" si="129"/>
        <v>0</v>
      </c>
      <c r="M135" s="91" t="s">
        <v>622</v>
      </c>
      <c r="Z135" s="90">
        <f t="shared" si="130"/>
        <v>0</v>
      </c>
      <c r="AB135" s="90">
        <f t="shared" si="131"/>
        <v>0</v>
      </c>
      <c r="AC135" s="90">
        <f t="shared" si="132"/>
        <v>0</v>
      </c>
      <c r="AD135" s="90">
        <f t="shared" si="133"/>
        <v>0</v>
      </c>
      <c r="AE135" s="90">
        <f t="shared" si="134"/>
        <v>0</v>
      </c>
      <c r="AF135" s="90">
        <f t="shared" si="135"/>
        <v>0</v>
      </c>
      <c r="AG135" s="90">
        <f t="shared" si="136"/>
        <v>0</v>
      </c>
      <c r="AH135" s="90">
        <f t="shared" si="137"/>
        <v>0</v>
      </c>
      <c r="AI135" s="154" t="s">
        <v>59</v>
      </c>
      <c r="AJ135" s="90">
        <f t="shared" si="138"/>
        <v>0</v>
      </c>
      <c r="AK135" s="90">
        <f t="shared" si="139"/>
        <v>0</v>
      </c>
      <c r="AL135" s="90">
        <f t="shared" si="140"/>
        <v>0</v>
      </c>
      <c r="AN135" s="90">
        <v>15</v>
      </c>
      <c r="AO135" s="90">
        <f t="shared" si="141"/>
        <v>0</v>
      </c>
      <c r="AP135" s="90">
        <f t="shared" si="142"/>
        <v>1000</v>
      </c>
      <c r="AQ135" s="91" t="s">
        <v>85</v>
      </c>
      <c r="AV135" s="90">
        <f t="shared" si="143"/>
        <v>0</v>
      </c>
      <c r="AW135" s="90">
        <f t="shared" si="144"/>
        <v>0</v>
      </c>
      <c r="AX135" s="90">
        <f t="shared" si="145"/>
        <v>0</v>
      </c>
      <c r="AY135" s="91" t="s">
        <v>645</v>
      </c>
      <c r="AZ135" s="91" t="s">
        <v>654</v>
      </c>
      <c r="BA135" s="154" t="s">
        <v>658</v>
      </c>
      <c r="BC135" s="90">
        <f t="shared" si="146"/>
        <v>0</v>
      </c>
      <c r="BD135" s="90">
        <f t="shared" si="147"/>
        <v>1000</v>
      </c>
      <c r="BE135" s="90">
        <v>0</v>
      </c>
      <c r="BF135" s="90">
        <f t="shared" si="148"/>
        <v>0</v>
      </c>
      <c r="BH135" s="90">
        <f t="shared" si="149"/>
        <v>0</v>
      </c>
      <c r="BI135" s="90">
        <f t="shared" si="150"/>
        <v>0</v>
      </c>
      <c r="BJ135" s="90">
        <f t="shared" si="151"/>
        <v>0</v>
      </c>
    </row>
    <row r="136" spans="1:62" ht="12.75" hidden="1">
      <c r="A136" s="88" t="s">
        <v>188</v>
      </c>
      <c r="B136" s="88" t="s">
        <v>59</v>
      </c>
      <c r="C136" s="88" t="s">
        <v>359</v>
      </c>
      <c r="D136" s="88" t="s">
        <v>492</v>
      </c>
      <c r="E136" s="88" t="s">
        <v>606</v>
      </c>
      <c r="F136" s="90"/>
      <c r="G136" s="90">
        <v>500</v>
      </c>
      <c r="H136" s="90">
        <f t="shared" si="126"/>
        <v>0</v>
      </c>
      <c r="I136" s="90">
        <f t="shared" si="127"/>
        <v>0</v>
      </c>
      <c r="J136" s="90">
        <f t="shared" si="128"/>
        <v>0</v>
      </c>
      <c r="K136" s="90">
        <v>0</v>
      </c>
      <c r="L136" s="90">
        <f t="shared" si="129"/>
        <v>0</v>
      </c>
      <c r="M136" s="91" t="s">
        <v>622</v>
      </c>
      <c r="Z136" s="90">
        <f t="shared" si="130"/>
        <v>0</v>
      </c>
      <c r="AB136" s="90">
        <f t="shared" si="131"/>
        <v>0</v>
      </c>
      <c r="AC136" s="90">
        <f t="shared" si="132"/>
        <v>0</v>
      </c>
      <c r="AD136" s="90">
        <f t="shared" si="133"/>
        <v>0</v>
      </c>
      <c r="AE136" s="90">
        <f t="shared" si="134"/>
        <v>0</v>
      </c>
      <c r="AF136" s="90">
        <f t="shared" si="135"/>
        <v>0</v>
      </c>
      <c r="AG136" s="90">
        <f t="shared" si="136"/>
        <v>0</v>
      </c>
      <c r="AH136" s="90">
        <f t="shared" si="137"/>
        <v>0</v>
      </c>
      <c r="AI136" s="154" t="s">
        <v>59</v>
      </c>
      <c r="AJ136" s="90">
        <f t="shared" si="138"/>
        <v>0</v>
      </c>
      <c r="AK136" s="90">
        <f t="shared" si="139"/>
        <v>0</v>
      </c>
      <c r="AL136" s="90">
        <f t="shared" si="140"/>
        <v>0</v>
      </c>
      <c r="AN136" s="90">
        <v>15</v>
      </c>
      <c r="AO136" s="90">
        <f t="shared" si="141"/>
        <v>0</v>
      </c>
      <c r="AP136" s="90">
        <f t="shared" si="142"/>
        <v>500</v>
      </c>
      <c r="AQ136" s="91" t="s">
        <v>85</v>
      </c>
      <c r="AV136" s="90">
        <f t="shared" si="143"/>
        <v>0</v>
      </c>
      <c r="AW136" s="90">
        <f t="shared" si="144"/>
        <v>0</v>
      </c>
      <c r="AX136" s="90">
        <f t="shared" si="145"/>
        <v>0</v>
      </c>
      <c r="AY136" s="91" t="s">
        <v>645</v>
      </c>
      <c r="AZ136" s="91" t="s">
        <v>654</v>
      </c>
      <c r="BA136" s="154" t="s">
        <v>658</v>
      </c>
      <c r="BC136" s="90">
        <f t="shared" si="146"/>
        <v>0</v>
      </c>
      <c r="BD136" s="90">
        <f t="shared" si="147"/>
        <v>500</v>
      </c>
      <c r="BE136" s="90">
        <v>0</v>
      </c>
      <c r="BF136" s="90">
        <f t="shared" si="148"/>
        <v>0</v>
      </c>
      <c r="BH136" s="90">
        <f t="shared" si="149"/>
        <v>0</v>
      </c>
      <c r="BI136" s="90">
        <f t="shared" si="150"/>
        <v>0</v>
      </c>
      <c r="BJ136" s="90">
        <f t="shared" si="151"/>
        <v>0</v>
      </c>
    </row>
    <row r="137" spans="1:62" ht="12.75" hidden="1">
      <c r="A137" s="88" t="s">
        <v>189</v>
      </c>
      <c r="B137" s="88" t="s">
        <v>59</v>
      </c>
      <c r="C137" s="88" t="s">
        <v>360</v>
      </c>
      <c r="D137" s="88" t="s">
        <v>493</v>
      </c>
      <c r="E137" s="88" t="s">
        <v>606</v>
      </c>
      <c r="F137" s="90"/>
      <c r="G137" s="90">
        <v>1000</v>
      </c>
      <c r="H137" s="90">
        <f t="shared" si="126"/>
        <v>0</v>
      </c>
      <c r="I137" s="90">
        <f t="shared" si="127"/>
        <v>0</v>
      </c>
      <c r="J137" s="90">
        <f t="shared" si="128"/>
        <v>0</v>
      </c>
      <c r="K137" s="90">
        <v>0</v>
      </c>
      <c r="L137" s="90">
        <f t="shared" si="129"/>
        <v>0</v>
      </c>
      <c r="M137" s="91" t="s">
        <v>622</v>
      </c>
      <c r="Z137" s="90">
        <f t="shared" si="130"/>
        <v>0</v>
      </c>
      <c r="AB137" s="90">
        <f t="shared" si="131"/>
        <v>0</v>
      </c>
      <c r="AC137" s="90">
        <f t="shared" si="132"/>
        <v>0</v>
      </c>
      <c r="AD137" s="90">
        <f t="shared" si="133"/>
        <v>0</v>
      </c>
      <c r="AE137" s="90">
        <f t="shared" si="134"/>
        <v>0</v>
      </c>
      <c r="AF137" s="90">
        <f t="shared" si="135"/>
        <v>0</v>
      </c>
      <c r="AG137" s="90">
        <f t="shared" si="136"/>
        <v>0</v>
      </c>
      <c r="AH137" s="90">
        <f t="shared" si="137"/>
        <v>0</v>
      </c>
      <c r="AI137" s="154" t="s">
        <v>59</v>
      </c>
      <c r="AJ137" s="90">
        <f t="shared" si="138"/>
        <v>0</v>
      </c>
      <c r="AK137" s="90">
        <f t="shared" si="139"/>
        <v>0</v>
      </c>
      <c r="AL137" s="90">
        <f t="shared" si="140"/>
        <v>0</v>
      </c>
      <c r="AN137" s="90">
        <v>15</v>
      </c>
      <c r="AO137" s="90">
        <f t="shared" si="141"/>
        <v>0</v>
      </c>
      <c r="AP137" s="90">
        <f t="shared" si="142"/>
        <v>1000</v>
      </c>
      <c r="AQ137" s="91" t="s">
        <v>85</v>
      </c>
      <c r="AV137" s="90">
        <f t="shared" si="143"/>
        <v>0</v>
      </c>
      <c r="AW137" s="90">
        <f t="shared" si="144"/>
        <v>0</v>
      </c>
      <c r="AX137" s="90">
        <f t="shared" si="145"/>
        <v>0</v>
      </c>
      <c r="AY137" s="91" t="s">
        <v>645</v>
      </c>
      <c r="AZ137" s="91" t="s">
        <v>654</v>
      </c>
      <c r="BA137" s="154" t="s">
        <v>658</v>
      </c>
      <c r="BC137" s="90">
        <f t="shared" si="146"/>
        <v>0</v>
      </c>
      <c r="BD137" s="90">
        <f t="shared" si="147"/>
        <v>1000</v>
      </c>
      <c r="BE137" s="90">
        <v>0</v>
      </c>
      <c r="BF137" s="90">
        <f t="shared" si="148"/>
        <v>0</v>
      </c>
      <c r="BH137" s="90">
        <f t="shared" si="149"/>
        <v>0</v>
      </c>
      <c r="BI137" s="90">
        <f t="shared" si="150"/>
        <v>0</v>
      </c>
      <c r="BJ137" s="90">
        <f t="shared" si="151"/>
        <v>0</v>
      </c>
    </row>
    <row r="138" spans="1:47" ht="12.75" hidden="1">
      <c r="A138" s="159"/>
      <c r="B138" s="160" t="s">
        <v>59</v>
      </c>
      <c r="C138" s="160" t="s">
        <v>361</v>
      </c>
      <c r="D138" s="160" t="s">
        <v>544</v>
      </c>
      <c r="E138" s="159" t="s">
        <v>57</v>
      </c>
      <c r="F138" s="159"/>
      <c r="G138" s="159" t="s">
        <v>57</v>
      </c>
      <c r="H138" s="161">
        <f>SUM(H139:H143)</f>
        <v>0</v>
      </c>
      <c r="I138" s="161">
        <f>SUM(I139:I143)</f>
        <v>0</v>
      </c>
      <c r="J138" s="161">
        <f>SUM(J139:J143)</f>
        <v>0</v>
      </c>
      <c r="K138" s="154"/>
      <c r="L138" s="161">
        <f>SUM(L139:L143)</f>
        <v>0</v>
      </c>
      <c r="M138" s="154"/>
      <c r="AI138" s="154" t="s">
        <v>59</v>
      </c>
      <c r="AS138" s="161">
        <f>SUM(AJ139:AJ143)</f>
        <v>0</v>
      </c>
      <c r="AT138" s="161">
        <f>SUM(AK139:AK143)</f>
        <v>0</v>
      </c>
      <c r="AU138" s="161">
        <f>SUM(AL139:AL143)</f>
        <v>0</v>
      </c>
    </row>
    <row r="139" spans="1:62" ht="12.75" hidden="1">
      <c r="A139" s="88" t="s">
        <v>190</v>
      </c>
      <c r="B139" s="88" t="s">
        <v>59</v>
      </c>
      <c r="C139" s="88" t="s">
        <v>362</v>
      </c>
      <c r="D139" s="88" t="s">
        <v>545</v>
      </c>
      <c r="E139" s="88" t="s">
        <v>606</v>
      </c>
      <c r="F139" s="90"/>
      <c r="G139" s="90">
        <v>12500</v>
      </c>
      <c r="H139" s="90">
        <f>F139*AO139</f>
        <v>0</v>
      </c>
      <c r="I139" s="90">
        <f>F139*AP139</f>
        <v>0</v>
      </c>
      <c r="J139" s="90">
        <f>F139*G139</f>
        <v>0</v>
      </c>
      <c r="K139" s="90">
        <v>0.075</v>
      </c>
      <c r="L139" s="90">
        <f>F139*K139</f>
        <v>0</v>
      </c>
      <c r="M139" s="91" t="s">
        <v>622</v>
      </c>
      <c r="Z139" s="90">
        <f>IF(AQ139="5",BJ139,0)</f>
        <v>0</v>
      </c>
      <c r="AB139" s="90">
        <f>IF(AQ139="1",BH139,0)</f>
        <v>0</v>
      </c>
      <c r="AC139" s="90">
        <f>IF(AQ139="1",BI139,0)</f>
        <v>0</v>
      </c>
      <c r="AD139" s="90">
        <f>IF(AQ139="7",BH139,0)</f>
        <v>0</v>
      </c>
      <c r="AE139" s="90">
        <f>IF(AQ139="7",BI139,0)</f>
        <v>0</v>
      </c>
      <c r="AF139" s="90">
        <f>IF(AQ139="2",BH139,0)</f>
        <v>0</v>
      </c>
      <c r="AG139" s="90">
        <f>IF(AQ139="2",BI139,0)</f>
        <v>0</v>
      </c>
      <c r="AH139" s="90">
        <f>IF(AQ139="0",BJ139,0)</f>
        <v>0</v>
      </c>
      <c r="AI139" s="154" t="s">
        <v>59</v>
      </c>
      <c r="AJ139" s="90">
        <f>IF(AN139=0,J139,0)</f>
        <v>0</v>
      </c>
      <c r="AK139" s="90">
        <f>IF(AN139=15,J139,0)</f>
        <v>0</v>
      </c>
      <c r="AL139" s="90">
        <f>IF(AN139=21,J139,0)</f>
        <v>0</v>
      </c>
      <c r="AN139" s="90">
        <v>15</v>
      </c>
      <c r="AO139" s="90">
        <f>G139*0.87</f>
        <v>10875</v>
      </c>
      <c r="AP139" s="90">
        <f>G139*(1-0.87)</f>
        <v>1625</v>
      </c>
      <c r="AQ139" s="91" t="s">
        <v>85</v>
      </c>
      <c r="AV139" s="90">
        <f>AW139+AX139</f>
        <v>0</v>
      </c>
      <c r="AW139" s="90">
        <f>F139*AO139</f>
        <v>0</v>
      </c>
      <c r="AX139" s="90">
        <f>F139*AP139</f>
        <v>0</v>
      </c>
      <c r="AY139" s="91" t="s">
        <v>646</v>
      </c>
      <c r="AZ139" s="91" t="s">
        <v>655</v>
      </c>
      <c r="BA139" s="154" t="s">
        <v>658</v>
      </c>
      <c r="BC139" s="90">
        <f>AW139+AX139</f>
        <v>0</v>
      </c>
      <c r="BD139" s="90">
        <f>G139/(100-BE139)*100</f>
        <v>12500</v>
      </c>
      <c r="BE139" s="90">
        <v>0</v>
      </c>
      <c r="BF139" s="90">
        <f>L139</f>
        <v>0</v>
      </c>
      <c r="BH139" s="90">
        <f>F139*AO139</f>
        <v>0</v>
      </c>
      <c r="BI139" s="90">
        <f>F139*AP139</f>
        <v>0</v>
      </c>
      <c r="BJ139" s="90">
        <f>F139*G139</f>
        <v>0</v>
      </c>
    </row>
    <row r="140" spans="1:62" ht="12.75" hidden="1">
      <c r="A140" s="88" t="s">
        <v>191</v>
      </c>
      <c r="B140" s="88" t="s">
        <v>59</v>
      </c>
      <c r="C140" s="88" t="s">
        <v>363</v>
      </c>
      <c r="D140" s="88" t="s">
        <v>547</v>
      </c>
      <c r="E140" s="88" t="s">
        <v>606</v>
      </c>
      <c r="F140" s="90"/>
      <c r="G140" s="90">
        <v>12800</v>
      </c>
      <c r="H140" s="90">
        <f>F140*AO140</f>
        <v>0</v>
      </c>
      <c r="I140" s="90">
        <f>F140*AP140</f>
        <v>0</v>
      </c>
      <c r="J140" s="90">
        <f>F140*G140</f>
        <v>0</v>
      </c>
      <c r="K140" s="90">
        <v>0.085</v>
      </c>
      <c r="L140" s="90">
        <f>F140*K140</f>
        <v>0</v>
      </c>
      <c r="M140" s="91" t="s">
        <v>622</v>
      </c>
      <c r="Z140" s="90">
        <f>IF(AQ140="5",BJ140,0)</f>
        <v>0</v>
      </c>
      <c r="AB140" s="90">
        <f>IF(AQ140="1",BH140,0)</f>
        <v>0</v>
      </c>
      <c r="AC140" s="90">
        <f>IF(AQ140="1",BI140,0)</f>
        <v>0</v>
      </c>
      <c r="AD140" s="90">
        <f>IF(AQ140="7",BH140,0)</f>
        <v>0</v>
      </c>
      <c r="AE140" s="90">
        <f>IF(AQ140="7",BI140,0)</f>
        <v>0</v>
      </c>
      <c r="AF140" s="90">
        <f>IF(AQ140="2",BH140,0)</f>
        <v>0</v>
      </c>
      <c r="AG140" s="90">
        <f>IF(AQ140="2",BI140,0)</f>
        <v>0</v>
      </c>
      <c r="AH140" s="90">
        <f>IF(AQ140="0",BJ140,0)</f>
        <v>0</v>
      </c>
      <c r="AI140" s="154" t="s">
        <v>59</v>
      </c>
      <c r="AJ140" s="90">
        <f>IF(AN140=0,J140,0)</f>
        <v>0</v>
      </c>
      <c r="AK140" s="90">
        <f>IF(AN140=15,J140,0)</f>
        <v>0</v>
      </c>
      <c r="AL140" s="90">
        <f>IF(AN140=21,J140,0)</f>
        <v>0</v>
      </c>
      <c r="AN140" s="90">
        <v>15</v>
      </c>
      <c r="AO140" s="90">
        <f>G140*0.87</f>
        <v>11136</v>
      </c>
      <c r="AP140" s="90">
        <f>G140*(1-0.87)</f>
        <v>1664</v>
      </c>
      <c r="AQ140" s="91" t="s">
        <v>85</v>
      </c>
      <c r="AV140" s="90">
        <f>AW140+AX140</f>
        <v>0</v>
      </c>
      <c r="AW140" s="90">
        <f>F140*AO140</f>
        <v>0</v>
      </c>
      <c r="AX140" s="90">
        <f>F140*AP140</f>
        <v>0</v>
      </c>
      <c r="AY140" s="91" t="s">
        <v>646</v>
      </c>
      <c r="AZ140" s="91" t="s">
        <v>655</v>
      </c>
      <c r="BA140" s="154" t="s">
        <v>658</v>
      </c>
      <c r="BC140" s="90">
        <f>AW140+AX140</f>
        <v>0</v>
      </c>
      <c r="BD140" s="90">
        <f>G140/(100-BE140)*100</f>
        <v>12800</v>
      </c>
      <c r="BE140" s="90">
        <v>0</v>
      </c>
      <c r="BF140" s="90">
        <f>L140</f>
        <v>0</v>
      </c>
      <c r="BH140" s="90">
        <f>F140*AO140</f>
        <v>0</v>
      </c>
      <c r="BI140" s="90">
        <f>F140*AP140</f>
        <v>0</v>
      </c>
      <c r="BJ140" s="90">
        <f>F140*G140</f>
        <v>0</v>
      </c>
    </row>
    <row r="141" spans="1:62" ht="12.75" hidden="1">
      <c r="A141" s="88" t="s">
        <v>192</v>
      </c>
      <c r="B141" s="88" t="s">
        <v>59</v>
      </c>
      <c r="C141" s="88" t="s">
        <v>364</v>
      </c>
      <c r="D141" s="88" t="s">
        <v>548</v>
      </c>
      <c r="E141" s="88" t="s">
        <v>606</v>
      </c>
      <c r="F141" s="90"/>
      <c r="G141" s="90">
        <v>9200</v>
      </c>
      <c r="H141" s="90">
        <f>F141*AO141</f>
        <v>0</v>
      </c>
      <c r="I141" s="90">
        <f>F141*AP141</f>
        <v>0</v>
      </c>
      <c r="J141" s="90">
        <f>F141*G141</f>
        <v>0</v>
      </c>
      <c r="K141" s="90">
        <v>0.063</v>
      </c>
      <c r="L141" s="90">
        <f>F141*K141</f>
        <v>0</v>
      </c>
      <c r="M141" s="91" t="s">
        <v>622</v>
      </c>
      <c r="Z141" s="90">
        <f>IF(AQ141="5",BJ141,0)</f>
        <v>0</v>
      </c>
      <c r="AB141" s="90">
        <f>IF(AQ141="1",BH141,0)</f>
        <v>0</v>
      </c>
      <c r="AC141" s="90">
        <f>IF(AQ141="1",BI141,0)</f>
        <v>0</v>
      </c>
      <c r="AD141" s="90">
        <f>IF(AQ141="7",BH141,0)</f>
        <v>0</v>
      </c>
      <c r="AE141" s="90">
        <f>IF(AQ141="7",BI141,0)</f>
        <v>0</v>
      </c>
      <c r="AF141" s="90">
        <f>IF(AQ141="2",BH141,0)</f>
        <v>0</v>
      </c>
      <c r="AG141" s="90">
        <f>IF(AQ141="2",BI141,0)</f>
        <v>0</v>
      </c>
      <c r="AH141" s="90">
        <f>IF(AQ141="0",BJ141,0)</f>
        <v>0</v>
      </c>
      <c r="AI141" s="154" t="s">
        <v>59</v>
      </c>
      <c r="AJ141" s="90">
        <f>IF(AN141=0,J141,0)</f>
        <v>0</v>
      </c>
      <c r="AK141" s="90">
        <f>IF(AN141=15,J141,0)</f>
        <v>0</v>
      </c>
      <c r="AL141" s="90">
        <f>IF(AN141=21,J141,0)</f>
        <v>0</v>
      </c>
      <c r="AN141" s="90">
        <v>15</v>
      </c>
      <c r="AO141" s="90">
        <f>G141*0.87</f>
        <v>8004</v>
      </c>
      <c r="AP141" s="90">
        <f>G141*(1-0.87)</f>
        <v>1196</v>
      </c>
      <c r="AQ141" s="91" t="s">
        <v>85</v>
      </c>
      <c r="AV141" s="90">
        <f>AW141+AX141</f>
        <v>0</v>
      </c>
      <c r="AW141" s="90">
        <f>F141*AO141</f>
        <v>0</v>
      </c>
      <c r="AX141" s="90">
        <f>F141*AP141</f>
        <v>0</v>
      </c>
      <c r="AY141" s="91" t="s">
        <v>646</v>
      </c>
      <c r="AZ141" s="91" t="s">
        <v>655</v>
      </c>
      <c r="BA141" s="154" t="s">
        <v>658</v>
      </c>
      <c r="BC141" s="90">
        <f>AW141+AX141</f>
        <v>0</v>
      </c>
      <c r="BD141" s="90">
        <f>G141/(100-BE141)*100</f>
        <v>9200</v>
      </c>
      <c r="BE141" s="90">
        <v>0</v>
      </c>
      <c r="BF141" s="90">
        <f>L141</f>
        <v>0</v>
      </c>
      <c r="BH141" s="90">
        <f>F141*AO141</f>
        <v>0</v>
      </c>
      <c r="BI141" s="90">
        <f>F141*AP141</f>
        <v>0</v>
      </c>
      <c r="BJ141" s="90">
        <f>F141*G141</f>
        <v>0</v>
      </c>
    </row>
    <row r="142" spans="1:62" ht="12.75" hidden="1">
      <c r="A142" s="88" t="s">
        <v>193</v>
      </c>
      <c r="B142" s="88" t="s">
        <v>59</v>
      </c>
      <c r="C142" s="88" t="s">
        <v>365</v>
      </c>
      <c r="D142" s="88" t="s">
        <v>550</v>
      </c>
      <c r="E142" s="88" t="s">
        <v>606</v>
      </c>
      <c r="F142" s="90"/>
      <c r="G142" s="90">
        <v>9800</v>
      </c>
      <c r="H142" s="90">
        <f>F142*AO142</f>
        <v>0</v>
      </c>
      <c r="I142" s="90">
        <f>F142*AP142</f>
        <v>0</v>
      </c>
      <c r="J142" s="90">
        <f>F142*G142</f>
        <v>0</v>
      </c>
      <c r="K142" s="90">
        <v>0.075</v>
      </c>
      <c r="L142" s="90">
        <f>F142*K142</f>
        <v>0</v>
      </c>
      <c r="M142" s="91" t="s">
        <v>622</v>
      </c>
      <c r="Z142" s="90">
        <f>IF(AQ142="5",BJ142,0)</f>
        <v>0</v>
      </c>
      <c r="AB142" s="90">
        <f>IF(AQ142="1",BH142,0)</f>
        <v>0</v>
      </c>
      <c r="AC142" s="90">
        <f>IF(AQ142="1",BI142,0)</f>
        <v>0</v>
      </c>
      <c r="AD142" s="90">
        <f>IF(AQ142="7",BH142,0)</f>
        <v>0</v>
      </c>
      <c r="AE142" s="90">
        <f>IF(AQ142="7",BI142,0)</f>
        <v>0</v>
      </c>
      <c r="AF142" s="90">
        <f>IF(AQ142="2",BH142,0)</f>
        <v>0</v>
      </c>
      <c r="AG142" s="90">
        <f>IF(AQ142="2",BI142,0)</f>
        <v>0</v>
      </c>
      <c r="AH142" s="90">
        <f>IF(AQ142="0",BJ142,0)</f>
        <v>0</v>
      </c>
      <c r="AI142" s="154" t="s">
        <v>59</v>
      </c>
      <c r="AJ142" s="90">
        <f>IF(AN142=0,J142,0)</f>
        <v>0</v>
      </c>
      <c r="AK142" s="90">
        <f>IF(AN142=15,J142,0)</f>
        <v>0</v>
      </c>
      <c r="AL142" s="90">
        <f>IF(AN142=21,J142,0)</f>
        <v>0</v>
      </c>
      <c r="AN142" s="90">
        <v>15</v>
      </c>
      <c r="AO142" s="90">
        <f>G142*0.87</f>
        <v>8526</v>
      </c>
      <c r="AP142" s="90">
        <f>G142*(1-0.87)</f>
        <v>1274</v>
      </c>
      <c r="AQ142" s="91" t="s">
        <v>85</v>
      </c>
      <c r="AV142" s="90">
        <f>AW142+AX142</f>
        <v>0</v>
      </c>
      <c r="AW142" s="90">
        <f>F142*AO142</f>
        <v>0</v>
      </c>
      <c r="AX142" s="90">
        <f>F142*AP142</f>
        <v>0</v>
      </c>
      <c r="AY142" s="91" t="s">
        <v>646</v>
      </c>
      <c r="AZ142" s="91" t="s">
        <v>655</v>
      </c>
      <c r="BA142" s="154" t="s">
        <v>658</v>
      </c>
      <c r="BC142" s="90">
        <f>AW142+AX142</f>
        <v>0</v>
      </c>
      <c r="BD142" s="90">
        <f>G142/(100-BE142)*100</f>
        <v>9800</v>
      </c>
      <c r="BE142" s="90">
        <v>0</v>
      </c>
      <c r="BF142" s="90">
        <f>L142</f>
        <v>0</v>
      </c>
      <c r="BH142" s="90">
        <f>F142*AO142</f>
        <v>0</v>
      </c>
      <c r="BI142" s="90">
        <f>F142*AP142</f>
        <v>0</v>
      </c>
      <c r="BJ142" s="90">
        <f>F142*G142</f>
        <v>0</v>
      </c>
    </row>
    <row r="143" spans="1:62" ht="12.75" hidden="1">
      <c r="A143" s="88" t="s">
        <v>194</v>
      </c>
      <c r="B143" s="88" t="s">
        <v>59</v>
      </c>
      <c r="C143" s="88" t="s">
        <v>366</v>
      </c>
      <c r="D143" s="88" t="s">
        <v>551</v>
      </c>
      <c r="E143" s="88" t="s">
        <v>612</v>
      </c>
      <c r="F143" s="90"/>
      <c r="G143" s="90">
        <v>991</v>
      </c>
      <c r="H143" s="90">
        <f>F143*AO143</f>
        <v>0</v>
      </c>
      <c r="I143" s="90">
        <f>F143*AP143</f>
        <v>0</v>
      </c>
      <c r="J143" s="90">
        <f>F143*G143</f>
        <v>0</v>
      </c>
      <c r="K143" s="90">
        <v>0</v>
      </c>
      <c r="L143" s="90">
        <f>F143*K143</f>
        <v>0</v>
      </c>
      <c r="M143" s="91" t="s">
        <v>622</v>
      </c>
      <c r="Z143" s="90">
        <f>IF(AQ143="5",BJ143,0)</f>
        <v>0</v>
      </c>
      <c r="AB143" s="90">
        <f>IF(AQ143="1",BH143,0)</f>
        <v>0</v>
      </c>
      <c r="AC143" s="90">
        <f>IF(AQ143="1",BI143,0)</f>
        <v>0</v>
      </c>
      <c r="AD143" s="90">
        <f>IF(AQ143="7",BH143,0)</f>
        <v>0</v>
      </c>
      <c r="AE143" s="90">
        <f>IF(AQ143="7",BI143,0)</f>
        <v>0</v>
      </c>
      <c r="AF143" s="90">
        <f>IF(AQ143="2",BH143,0)</f>
        <v>0</v>
      </c>
      <c r="AG143" s="90">
        <f>IF(AQ143="2",BI143,0)</f>
        <v>0</v>
      </c>
      <c r="AH143" s="90">
        <f>IF(AQ143="0",BJ143,0)</f>
        <v>0</v>
      </c>
      <c r="AI143" s="154" t="s">
        <v>59</v>
      </c>
      <c r="AJ143" s="90">
        <f>IF(AN143=0,J143,0)</f>
        <v>0</v>
      </c>
      <c r="AK143" s="90">
        <f>IF(AN143=15,J143,0)</f>
        <v>0</v>
      </c>
      <c r="AL143" s="90">
        <f>IF(AN143=21,J143,0)</f>
        <v>0</v>
      </c>
      <c r="AN143" s="90">
        <v>15</v>
      </c>
      <c r="AO143" s="90">
        <f>G143*0</f>
        <v>0</v>
      </c>
      <c r="AP143" s="90">
        <f>G143*(1-0)</f>
        <v>991</v>
      </c>
      <c r="AQ143" s="91" t="s">
        <v>83</v>
      </c>
      <c r="AV143" s="90">
        <f>AW143+AX143</f>
        <v>0</v>
      </c>
      <c r="AW143" s="90">
        <f>F143*AO143</f>
        <v>0</v>
      </c>
      <c r="AX143" s="90">
        <f>F143*AP143</f>
        <v>0</v>
      </c>
      <c r="AY143" s="91" t="s">
        <v>646</v>
      </c>
      <c r="AZ143" s="91" t="s">
        <v>655</v>
      </c>
      <c r="BA143" s="154" t="s">
        <v>658</v>
      </c>
      <c r="BC143" s="90">
        <f>AW143+AX143</f>
        <v>0</v>
      </c>
      <c r="BD143" s="90">
        <f>G143/(100-BE143)*100</f>
        <v>991</v>
      </c>
      <c r="BE143" s="90">
        <v>0</v>
      </c>
      <c r="BF143" s="90">
        <f>L143</f>
        <v>0</v>
      </c>
      <c r="BH143" s="90">
        <f>F143*AO143</f>
        <v>0</v>
      </c>
      <c r="BI143" s="90">
        <f>F143*AP143</f>
        <v>0</v>
      </c>
      <c r="BJ143" s="90">
        <f>F143*G143</f>
        <v>0</v>
      </c>
    </row>
    <row r="144" spans="1:47" ht="12.75" hidden="1">
      <c r="A144" s="159"/>
      <c r="B144" s="160" t="s">
        <v>59</v>
      </c>
      <c r="C144" s="160" t="s">
        <v>367</v>
      </c>
      <c r="D144" s="160" t="s">
        <v>552</v>
      </c>
      <c r="E144" s="159" t="s">
        <v>57</v>
      </c>
      <c r="F144" s="159"/>
      <c r="G144" s="159" t="s">
        <v>57</v>
      </c>
      <c r="H144" s="161">
        <f>SUM(H145:H155)</f>
        <v>0</v>
      </c>
      <c r="I144" s="161">
        <f>SUM(I145:I155)</f>
        <v>0</v>
      </c>
      <c r="J144" s="161">
        <f>SUM(J145:J155)</f>
        <v>0</v>
      </c>
      <c r="K144" s="154"/>
      <c r="L144" s="161">
        <f>SUM(L145:L155)</f>
        <v>0</v>
      </c>
      <c r="M144" s="154"/>
      <c r="AI144" s="154" t="s">
        <v>59</v>
      </c>
      <c r="AS144" s="161">
        <f>SUM(AJ145:AJ155)</f>
        <v>0</v>
      </c>
      <c r="AT144" s="161">
        <f>SUM(AK145:AK155)</f>
        <v>0</v>
      </c>
      <c r="AU144" s="161">
        <f>SUM(AL145:AL155)</f>
        <v>0</v>
      </c>
    </row>
    <row r="145" spans="1:62" ht="12.75" hidden="1">
      <c r="A145" s="88" t="s">
        <v>195</v>
      </c>
      <c r="B145" s="88" t="s">
        <v>59</v>
      </c>
      <c r="C145" s="88" t="s">
        <v>368</v>
      </c>
      <c r="D145" s="88" t="s">
        <v>553</v>
      </c>
      <c r="E145" s="88" t="s">
        <v>608</v>
      </c>
      <c r="F145" s="90"/>
      <c r="G145" s="90">
        <v>91.9</v>
      </c>
      <c r="H145" s="90">
        <f aca="true" t="shared" si="152" ref="H145:H155">F145*AO145</f>
        <v>0</v>
      </c>
      <c r="I145" s="90">
        <f aca="true" t="shared" si="153" ref="I145:I155">F145*AP145</f>
        <v>0</v>
      </c>
      <c r="J145" s="90">
        <f aca="true" t="shared" si="154" ref="J145:J155">F145*G145</f>
        <v>0</v>
      </c>
      <c r="K145" s="90">
        <v>0.003</v>
      </c>
      <c r="L145" s="90">
        <f aca="true" t="shared" si="155" ref="L145:L155">F145*K145</f>
        <v>0</v>
      </c>
      <c r="M145" s="91" t="s">
        <v>622</v>
      </c>
      <c r="Z145" s="90">
        <f aca="true" t="shared" si="156" ref="Z145:Z155">IF(AQ145="5",BJ145,0)</f>
        <v>0</v>
      </c>
      <c r="AB145" s="90">
        <f aca="true" t="shared" si="157" ref="AB145:AB155">IF(AQ145="1",BH145,0)</f>
        <v>0</v>
      </c>
      <c r="AC145" s="90">
        <f aca="true" t="shared" si="158" ref="AC145:AC155">IF(AQ145="1",BI145,0)</f>
        <v>0</v>
      </c>
      <c r="AD145" s="90">
        <f aca="true" t="shared" si="159" ref="AD145:AD155">IF(AQ145="7",BH145,0)</f>
        <v>0</v>
      </c>
      <c r="AE145" s="90">
        <f aca="true" t="shared" si="160" ref="AE145:AE155">IF(AQ145="7",BI145,0)</f>
        <v>0</v>
      </c>
      <c r="AF145" s="90">
        <f aca="true" t="shared" si="161" ref="AF145:AF155">IF(AQ145="2",BH145,0)</f>
        <v>0</v>
      </c>
      <c r="AG145" s="90">
        <f aca="true" t="shared" si="162" ref="AG145:AG155">IF(AQ145="2",BI145,0)</f>
        <v>0</v>
      </c>
      <c r="AH145" s="90">
        <f aca="true" t="shared" si="163" ref="AH145:AH155">IF(AQ145="0",BJ145,0)</f>
        <v>0</v>
      </c>
      <c r="AI145" s="154" t="s">
        <v>59</v>
      </c>
      <c r="AJ145" s="90">
        <f aca="true" t="shared" si="164" ref="AJ145:AJ155">IF(AN145=0,J145,0)</f>
        <v>0</v>
      </c>
      <c r="AK145" s="90">
        <f aca="true" t="shared" si="165" ref="AK145:AK155">IF(AN145=15,J145,0)</f>
        <v>0</v>
      </c>
      <c r="AL145" s="90">
        <f aca="true" t="shared" si="166" ref="AL145:AL155">IF(AN145=21,J145,0)</f>
        <v>0</v>
      </c>
      <c r="AN145" s="90">
        <v>15</v>
      </c>
      <c r="AO145" s="90">
        <f>G145*0</f>
        <v>0</v>
      </c>
      <c r="AP145" s="90">
        <f>G145*(1-0)</f>
        <v>91.9</v>
      </c>
      <c r="AQ145" s="91" t="s">
        <v>85</v>
      </c>
      <c r="AV145" s="90">
        <f aca="true" t="shared" si="167" ref="AV145:AV155">AW145+AX145</f>
        <v>0</v>
      </c>
      <c r="AW145" s="90">
        <f aca="true" t="shared" si="168" ref="AW145:AW155">F145*AO145</f>
        <v>0</v>
      </c>
      <c r="AX145" s="90">
        <f aca="true" t="shared" si="169" ref="AX145:AX155">F145*AP145</f>
        <v>0</v>
      </c>
      <c r="AY145" s="91" t="s">
        <v>647</v>
      </c>
      <c r="AZ145" s="91" t="s">
        <v>656</v>
      </c>
      <c r="BA145" s="154" t="s">
        <v>658</v>
      </c>
      <c r="BC145" s="90">
        <f aca="true" t="shared" si="170" ref="BC145:BC155">AW145+AX145</f>
        <v>0</v>
      </c>
      <c r="BD145" s="90">
        <f aca="true" t="shared" si="171" ref="BD145:BD155">G145/(100-BE145)*100</f>
        <v>91.9</v>
      </c>
      <c r="BE145" s="90">
        <v>0</v>
      </c>
      <c r="BF145" s="90">
        <f aca="true" t="shared" si="172" ref="BF145:BF155">L145</f>
        <v>0</v>
      </c>
      <c r="BH145" s="90">
        <f aca="true" t="shared" si="173" ref="BH145:BH155">F145*AO145</f>
        <v>0</v>
      </c>
      <c r="BI145" s="90">
        <f aca="true" t="shared" si="174" ref="BI145:BI155">F145*AP145</f>
        <v>0</v>
      </c>
      <c r="BJ145" s="90">
        <f aca="true" t="shared" si="175" ref="BJ145:BJ155">F145*G145</f>
        <v>0</v>
      </c>
    </row>
    <row r="146" spans="1:62" ht="12.75" hidden="1">
      <c r="A146" s="88" t="s">
        <v>196</v>
      </c>
      <c r="B146" s="88" t="s">
        <v>59</v>
      </c>
      <c r="C146" s="88" t="s">
        <v>369</v>
      </c>
      <c r="D146" s="88" t="s">
        <v>554</v>
      </c>
      <c r="E146" s="88" t="s">
        <v>608</v>
      </c>
      <c r="F146" s="90"/>
      <c r="G146" s="90">
        <v>267</v>
      </c>
      <c r="H146" s="90">
        <f t="shared" si="152"/>
        <v>0</v>
      </c>
      <c r="I146" s="90">
        <f t="shared" si="153"/>
        <v>0</v>
      </c>
      <c r="J146" s="90">
        <f t="shared" si="154"/>
        <v>0</v>
      </c>
      <c r="K146" s="90">
        <v>0</v>
      </c>
      <c r="L146" s="90">
        <f t="shared" si="155"/>
        <v>0</v>
      </c>
      <c r="M146" s="91" t="s">
        <v>622</v>
      </c>
      <c r="Z146" s="90">
        <f t="shared" si="156"/>
        <v>0</v>
      </c>
      <c r="AB146" s="90">
        <f t="shared" si="157"/>
        <v>0</v>
      </c>
      <c r="AC146" s="90">
        <f t="shared" si="158"/>
        <v>0</v>
      </c>
      <c r="AD146" s="90">
        <f t="shared" si="159"/>
        <v>0</v>
      </c>
      <c r="AE146" s="90">
        <f t="shared" si="160"/>
        <v>0</v>
      </c>
      <c r="AF146" s="90">
        <f t="shared" si="161"/>
        <v>0</v>
      </c>
      <c r="AG146" s="90">
        <f t="shared" si="162"/>
        <v>0</v>
      </c>
      <c r="AH146" s="90">
        <f t="shared" si="163"/>
        <v>0</v>
      </c>
      <c r="AI146" s="154" t="s">
        <v>59</v>
      </c>
      <c r="AJ146" s="90">
        <f t="shared" si="164"/>
        <v>0</v>
      </c>
      <c r="AK146" s="90">
        <f t="shared" si="165"/>
        <v>0</v>
      </c>
      <c r="AL146" s="90">
        <f t="shared" si="166"/>
        <v>0</v>
      </c>
      <c r="AN146" s="90">
        <v>15</v>
      </c>
      <c r="AO146" s="90">
        <f>G146*0</f>
        <v>0</v>
      </c>
      <c r="AP146" s="90">
        <f>G146*(1-0)</f>
        <v>267</v>
      </c>
      <c r="AQ146" s="91" t="s">
        <v>85</v>
      </c>
      <c r="AV146" s="90">
        <f t="shared" si="167"/>
        <v>0</v>
      </c>
      <c r="AW146" s="90">
        <f t="shared" si="168"/>
        <v>0</v>
      </c>
      <c r="AX146" s="90">
        <f t="shared" si="169"/>
        <v>0</v>
      </c>
      <c r="AY146" s="91" t="s">
        <v>647</v>
      </c>
      <c r="AZ146" s="91" t="s">
        <v>656</v>
      </c>
      <c r="BA146" s="154" t="s">
        <v>658</v>
      </c>
      <c r="BC146" s="90">
        <f t="shared" si="170"/>
        <v>0</v>
      </c>
      <c r="BD146" s="90">
        <f t="shared" si="171"/>
        <v>267</v>
      </c>
      <c r="BE146" s="90">
        <v>0</v>
      </c>
      <c r="BF146" s="90">
        <f t="shared" si="172"/>
        <v>0</v>
      </c>
      <c r="BH146" s="90">
        <f t="shared" si="173"/>
        <v>0</v>
      </c>
      <c r="BI146" s="90">
        <f t="shared" si="174"/>
        <v>0</v>
      </c>
      <c r="BJ146" s="90">
        <f t="shared" si="175"/>
        <v>0</v>
      </c>
    </row>
    <row r="147" spans="1:62" ht="12.75" hidden="1">
      <c r="A147" s="88" t="s">
        <v>197</v>
      </c>
      <c r="B147" s="88" t="s">
        <v>59</v>
      </c>
      <c r="C147" s="88" t="s">
        <v>370</v>
      </c>
      <c r="D147" s="88" t="s">
        <v>555</v>
      </c>
      <c r="E147" s="88" t="s">
        <v>608</v>
      </c>
      <c r="F147" s="90"/>
      <c r="G147" s="90">
        <v>296</v>
      </c>
      <c r="H147" s="90">
        <f t="shared" si="152"/>
        <v>0</v>
      </c>
      <c r="I147" s="90">
        <f t="shared" si="153"/>
        <v>0</v>
      </c>
      <c r="J147" s="90">
        <f t="shared" si="154"/>
        <v>0</v>
      </c>
      <c r="K147" s="90">
        <v>0</v>
      </c>
      <c r="L147" s="90">
        <f t="shared" si="155"/>
        <v>0</v>
      </c>
      <c r="M147" s="91" t="s">
        <v>622</v>
      </c>
      <c r="Z147" s="90">
        <f t="shared" si="156"/>
        <v>0</v>
      </c>
      <c r="AB147" s="90">
        <f t="shared" si="157"/>
        <v>0</v>
      </c>
      <c r="AC147" s="90">
        <f t="shared" si="158"/>
        <v>0</v>
      </c>
      <c r="AD147" s="90">
        <f t="shared" si="159"/>
        <v>0</v>
      </c>
      <c r="AE147" s="90">
        <f t="shared" si="160"/>
        <v>0</v>
      </c>
      <c r="AF147" s="90">
        <f t="shared" si="161"/>
        <v>0</v>
      </c>
      <c r="AG147" s="90">
        <f t="shared" si="162"/>
        <v>0</v>
      </c>
      <c r="AH147" s="90">
        <f t="shared" si="163"/>
        <v>0</v>
      </c>
      <c r="AI147" s="154" t="s">
        <v>59</v>
      </c>
      <c r="AJ147" s="90">
        <f t="shared" si="164"/>
        <v>0</v>
      </c>
      <c r="AK147" s="90">
        <f t="shared" si="165"/>
        <v>0</v>
      </c>
      <c r="AL147" s="90">
        <f t="shared" si="166"/>
        <v>0</v>
      </c>
      <c r="AN147" s="90">
        <v>15</v>
      </c>
      <c r="AO147" s="90">
        <f>G147*0</f>
        <v>0</v>
      </c>
      <c r="AP147" s="90">
        <f>G147*(1-0)</f>
        <v>296</v>
      </c>
      <c r="AQ147" s="91" t="s">
        <v>85</v>
      </c>
      <c r="AV147" s="90">
        <f t="shared" si="167"/>
        <v>0</v>
      </c>
      <c r="AW147" s="90">
        <f t="shared" si="168"/>
        <v>0</v>
      </c>
      <c r="AX147" s="90">
        <f t="shared" si="169"/>
        <v>0</v>
      </c>
      <c r="AY147" s="91" t="s">
        <v>647</v>
      </c>
      <c r="AZ147" s="91" t="s">
        <v>656</v>
      </c>
      <c r="BA147" s="154" t="s">
        <v>658</v>
      </c>
      <c r="BC147" s="90">
        <f t="shared" si="170"/>
        <v>0</v>
      </c>
      <c r="BD147" s="90">
        <f t="shared" si="171"/>
        <v>296</v>
      </c>
      <c r="BE147" s="90">
        <v>0</v>
      </c>
      <c r="BF147" s="90">
        <f t="shared" si="172"/>
        <v>0</v>
      </c>
      <c r="BH147" s="90">
        <f t="shared" si="173"/>
        <v>0</v>
      </c>
      <c r="BI147" s="90">
        <f t="shared" si="174"/>
        <v>0</v>
      </c>
      <c r="BJ147" s="90">
        <f t="shared" si="175"/>
        <v>0</v>
      </c>
    </row>
    <row r="148" spans="1:62" ht="12.75" hidden="1">
      <c r="A148" s="88" t="s">
        <v>198</v>
      </c>
      <c r="B148" s="88" t="s">
        <v>59</v>
      </c>
      <c r="C148" s="88" t="s">
        <v>371</v>
      </c>
      <c r="D148" s="88" t="s">
        <v>556</v>
      </c>
      <c r="E148" s="88" t="s">
        <v>609</v>
      </c>
      <c r="F148" s="90"/>
      <c r="G148" s="90">
        <v>57.3</v>
      </c>
      <c r="H148" s="90">
        <f t="shared" si="152"/>
        <v>0</v>
      </c>
      <c r="I148" s="90">
        <f t="shared" si="153"/>
        <v>0</v>
      </c>
      <c r="J148" s="90">
        <f t="shared" si="154"/>
        <v>0</v>
      </c>
      <c r="K148" s="90">
        <v>0</v>
      </c>
      <c r="L148" s="90">
        <f t="shared" si="155"/>
        <v>0</v>
      </c>
      <c r="M148" s="91" t="s">
        <v>622</v>
      </c>
      <c r="Z148" s="90">
        <f t="shared" si="156"/>
        <v>0</v>
      </c>
      <c r="AB148" s="90">
        <f t="shared" si="157"/>
        <v>0</v>
      </c>
      <c r="AC148" s="90">
        <f t="shared" si="158"/>
        <v>0</v>
      </c>
      <c r="AD148" s="90">
        <f t="shared" si="159"/>
        <v>0</v>
      </c>
      <c r="AE148" s="90">
        <f t="shared" si="160"/>
        <v>0</v>
      </c>
      <c r="AF148" s="90">
        <f t="shared" si="161"/>
        <v>0</v>
      </c>
      <c r="AG148" s="90">
        <f t="shared" si="162"/>
        <v>0</v>
      </c>
      <c r="AH148" s="90">
        <f t="shared" si="163"/>
        <v>0</v>
      </c>
      <c r="AI148" s="154" t="s">
        <v>59</v>
      </c>
      <c r="AJ148" s="90">
        <f t="shared" si="164"/>
        <v>0</v>
      </c>
      <c r="AK148" s="90">
        <f t="shared" si="165"/>
        <v>0</v>
      </c>
      <c r="AL148" s="90">
        <f t="shared" si="166"/>
        <v>0</v>
      </c>
      <c r="AN148" s="90">
        <v>15</v>
      </c>
      <c r="AO148" s="90">
        <f>G148*0</f>
        <v>0</v>
      </c>
      <c r="AP148" s="90">
        <f>G148*(1-0)</f>
        <v>57.3</v>
      </c>
      <c r="AQ148" s="91" t="s">
        <v>85</v>
      </c>
      <c r="AV148" s="90">
        <f t="shared" si="167"/>
        <v>0</v>
      </c>
      <c r="AW148" s="90">
        <f t="shared" si="168"/>
        <v>0</v>
      </c>
      <c r="AX148" s="90">
        <f t="shared" si="169"/>
        <v>0</v>
      </c>
      <c r="AY148" s="91" t="s">
        <v>647</v>
      </c>
      <c r="AZ148" s="91" t="s">
        <v>656</v>
      </c>
      <c r="BA148" s="154" t="s">
        <v>658</v>
      </c>
      <c r="BC148" s="90">
        <f t="shared" si="170"/>
        <v>0</v>
      </c>
      <c r="BD148" s="90">
        <f t="shared" si="171"/>
        <v>57.3</v>
      </c>
      <c r="BE148" s="90">
        <v>0</v>
      </c>
      <c r="BF148" s="90">
        <f t="shared" si="172"/>
        <v>0</v>
      </c>
      <c r="BH148" s="90">
        <f t="shared" si="173"/>
        <v>0</v>
      </c>
      <c r="BI148" s="90">
        <f t="shared" si="174"/>
        <v>0</v>
      </c>
      <c r="BJ148" s="90">
        <f t="shared" si="175"/>
        <v>0</v>
      </c>
    </row>
    <row r="149" spans="1:62" ht="12.75" hidden="1">
      <c r="A149" s="88" t="s">
        <v>199</v>
      </c>
      <c r="B149" s="88" t="s">
        <v>59</v>
      </c>
      <c r="C149" s="88" t="s">
        <v>372</v>
      </c>
      <c r="D149" s="88" t="s">
        <v>557</v>
      </c>
      <c r="E149" s="88" t="s">
        <v>608</v>
      </c>
      <c r="F149" s="90"/>
      <c r="G149" s="90">
        <v>38.6</v>
      </c>
      <c r="H149" s="90">
        <f t="shared" si="152"/>
        <v>0</v>
      </c>
      <c r="I149" s="90">
        <f t="shared" si="153"/>
        <v>0</v>
      </c>
      <c r="J149" s="90">
        <f t="shared" si="154"/>
        <v>0</v>
      </c>
      <c r="K149" s="90">
        <v>0.00021</v>
      </c>
      <c r="L149" s="90">
        <f t="shared" si="155"/>
        <v>0</v>
      </c>
      <c r="M149" s="91" t="s">
        <v>622</v>
      </c>
      <c r="Z149" s="90">
        <f t="shared" si="156"/>
        <v>0</v>
      </c>
      <c r="AB149" s="90">
        <f t="shared" si="157"/>
        <v>0</v>
      </c>
      <c r="AC149" s="90">
        <f t="shared" si="158"/>
        <v>0</v>
      </c>
      <c r="AD149" s="90">
        <f t="shared" si="159"/>
        <v>0</v>
      </c>
      <c r="AE149" s="90">
        <f t="shared" si="160"/>
        <v>0</v>
      </c>
      <c r="AF149" s="90">
        <f t="shared" si="161"/>
        <v>0</v>
      </c>
      <c r="AG149" s="90">
        <f t="shared" si="162"/>
        <v>0</v>
      </c>
      <c r="AH149" s="90">
        <f t="shared" si="163"/>
        <v>0</v>
      </c>
      <c r="AI149" s="154" t="s">
        <v>59</v>
      </c>
      <c r="AJ149" s="90">
        <f t="shared" si="164"/>
        <v>0</v>
      </c>
      <c r="AK149" s="90">
        <f t="shared" si="165"/>
        <v>0</v>
      </c>
      <c r="AL149" s="90">
        <f t="shared" si="166"/>
        <v>0</v>
      </c>
      <c r="AN149" s="90">
        <v>15</v>
      </c>
      <c r="AO149" s="90">
        <f>G149*0.53341982223897</f>
        <v>20.590005138424242</v>
      </c>
      <c r="AP149" s="90">
        <f>G149*(1-0.53341982223897)</f>
        <v>18.00999486157576</v>
      </c>
      <c r="AQ149" s="91" t="s">
        <v>85</v>
      </c>
      <c r="AV149" s="90">
        <f t="shared" si="167"/>
        <v>0</v>
      </c>
      <c r="AW149" s="90">
        <f t="shared" si="168"/>
        <v>0</v>
      </c>
      <c r="AX149" s="90">
        <f t="shared" si="169"/>
        <v>0</v>
      </c>
      <c r="AY149" s="91" t="s">
        <v>647</v>
      </c>
      <c r="AZ149" s="91" t="s">
        <v>656</v>
      </c>
      <c r="BA149" s="154" t="s">
        <v>658</v>
      </c>
      <c r="BC149" s="90">
        <f t="shared" si="170"/>
        <v>0</v>
      </c>
      <c r="BD149" s="90">
        <f t="shared" si="171"/>
        <v>38.6</v>
      </c>
      <c r="BE149" s="90">
        <v>0</v>
      </c>
      <c r="BF149" s="90">
        <f t="shared" si="172"/>
        <v>0</v>
      </c>
      <c r="BH149" s="90">
        <f t="shared" si="173"/>
        <v>0</v>
      </c>
      <c r="BI149" s="90">
        <f t="shared" si="174"/>
        <v>0</v>
      </c>
      <c r="BJ149" s="90">
        <f t="shared" si="175"/>
        <v>0</v>
      </c>
    </row>
    <row r="150" spans="1:62" ht="12.75" hidden="1">
      <c r="A150" s="88" t="s">
        <v>200</v>
      </c>
      <c r="B150" s="88" t="s">
        <v>59</v>
      </c>
      <c r="C150" s="88" t="s">
        <v>373</v>
      </c>
      <c r="D150" s="88" t="s">
        <v>558</v>
      </c>
      <c r="E150" s="88" t="s">
        <v>609</v>
      </c>
      <c r="F150" s="90"/>
      <c r="G150" s="90">
        <v>93</v>
      </c>
      <c r="H150" s="90">
        <f t="shared" si="152"/>
        <v>0</v>
      </c>
      <c r="I150" s="90">
        <f t="shared" si="153"/>
        <v>0</v>
      </c>
      <c r="J150" s="90">
        <f t="shared" si="154"/>
        <v>0</v>
      </c>
      <c r="K150" s="90">
        <v>0.00032</v>
      </c>
      <c r="L150" s="90">
        <f t="shared" si="155"/>
        <v>0</v>
      </c>
      <c r="M150" s="91" t="s">
        <v>622</v>
      </c>
      <c r="Z150" s="90">
        <f t="shared" si="156"/>
        <v>0</v>
      </c>
      <c r="AB150" s="90">
        <f t="shared" si="157"/>
        <v>0</v>
      </c>
      <c r="AC150" s="90">
        <f t="shared" si="158"/>
        <v>0</v>
      </c>
      <c r="AD150" s="90">
        <f t="shared" si="159"/>
        <v>0</v>
      </c>
      <c r="AE150" s="90">
        <f t="shared" si="160"/>
        <v>0</v>
      </c>
      <c r="AF150" s="90">
        <f t="shared" si="161"/>
        <v>0</v>
      </c>
      <c r="AG150" s="90">
        <f t="shared" si="162"/>
        <v>0</v>
      </c>
      <c r="AH150" s="90">
        <f t="shared" si="163"/>
        <v>0</v>
      </c>
      <c r="AI150" s="154" t="s">
        <v>59</v>
      </c>
      <c r="AJ150" s="90">
        <f t="shared" si="164"/>
        <v>0</v>
      </c>
      <c r="AK150" s="90">
        <f t="shared" si="165"/>
        <v>0</v>
      </c>
      <c r="AL150" s="90">
        <f t="shared" si="166"/>
        <v>0</v>
      </c>
      <c r="AN150" s="90">
        <v>15</v>
      </c>
      <c r="AO150" s="90">
        <f>G150*0.0855913978494624</f>
        <v>7.9600000000000035</v>
      </c>
      <c r="AP150" s="90">
        <f>G150*(1-0.0855913978494624)</f>
        <v>85.03999999999999</v>
      </c>
      <c r="AQ150" s="91" t="s">
        <v>85</v>
      </c>
      <c r="AV150" s="90">
        <f t="shared" si="167"/>
        <v>0</v>
      </c>
      <c r="AW150" s="90">
        <f t="shared" si="168"/>
        <v>0</v>
      </c>
      <c r="AX150" s="90">
        <f t="shared" si="169"/>
        <v>0</v>
      </c>
      <c r="AY150" s="91" t="s">
        <v>647</v>
      </c>
      <c r="AZ150" s="91" t="s">
        <v>656</v>
      </c>
      <c r="BA150" s="154" t="s">
        <v>658</v>
      </c>
      <c r="BC150" s="90">
        <f t="shared" si="170"/>
        <v>0</v>
      </c>
      <c r="BD150" s="90">
        <f t="shared" si="171"/>
        <v>93</v>
      </c>
      <c r="BE150" s="90">
        <v>0</v>
      </c>
      <c r="BF150" s="90">
        <f t="shared" si="172"/>
        <v>0</v>
      </c>
      <c r="BH150" s="90">
        <f t="shared" si="173"/>
        <v>0</v>
      </c>
      <c r="BI150" s="90">
        <f t="shared" si="174"/>
        <v>0</v>
      </c>
      <c r="BJ150" s="90">
        <f t="shared" si="175"/>
        <v>0</v>
      </c>
    </row>
    <row r="151" spans="1:62" ht="12.75" hidden="1">
      <c r="A151" s="88" t="s">
        <v>201</v>
      </c>
      <c r="B151" s="88" t="s">
        <v>59</v>
      </c>
      <c r="C151" s="88" t="s">
        <v>374</v>
      </c>
      <c r="D151" s="88" t="s">
        <v>559</v>
      </c>
      <c r="E151" s="88" t="s">
        <v>608</v>
      </c>
      <c r="F151" s="90"/>
      <c r="G151" s="90">
        <v>360</v>
      </c>
      <c r="H151" s="90">
        <f t="shared" si="152"/>
        <v>0</v>
      </c>
      <c r="I151" s="90">
        <f t="shared" si="153"/>
        <v>0</v>
      </c>
      <c r="J151" s="90">
        <f t="shared" si="154"/>
        <v>0</v>
      </c>
      <c r="K151" s="90">
        <v>0.0192</v>
      </c>
      <c r="L151" s="90">
        <f t="shared" si="155"/>
        <v>0</v>
      </c>
      <c r="M151" s="91" t="s">
        <v>622</v>
      </c>
      <c r="Z151" s="90">
        <f t="shared" si="156"/>
        <v>0</v>
      </c>
      <c r="AB151" s="90">
        <f t="shared" si="157"/>
        <v>0</v>
      </c>
      <c r="AC151" s="90">
        <f t="shared" si="158"/>
        <v>0</v>
      </c>
      <c r="AD151" s="90">
        <f t="shared" si="159"/>
        <v>0</v>
      </c>
      <c r="AE151" s="90">
        <f t="shared" si="160"/>
        <v>0</v>
      </c>
      <c r="AF151" s="90">
        <f t="shared" si="161"/>
        <v>0</v>
      </c>
      <c r="AG151" s="90">
        <f t="shared" si="162"/>
        <v>0</v>
      </c>
      <c r="AH151" s="90">
        <f t="shared" si="163"/>
        <v>0</v>
      </c>
      <c r="AI151" s="154" t="s">
        <v>59</v>
      </c>
      <c r="AJ151" s="90">
        <f t="shared" si="164"/>
        <v>0</v>
      </c>
      <c r="AK151" s="90">
        <f t="shared" si="165"/>
        <v>0</v>
      </c>
      <c r="AL151" s="90">
        <f t="shared" si="166"/>
        <v>0</v>
      </c>
      <c r="AN151" s="90">
        <v>15</v>
      </c>
      <c r="AO151" s="90">
        <f>G151*1</f>
        <v>360</v>
      </c>
      <c r="AP151" s="90">
        <f>G151*(1-1)</f>
        <v>0</v>
      </c>
      <c r="AQ151" s="91" t="s">
        <v>85</v>
      </c>
      <c r="AV151" s="90">
        <f t="shared" si="167"/>
        <v>0</v>
      </c>
      <c r="AW151" s="90">
        <f t="shared" si="168"/>
        <v>0</v>
      </c>
      <c r="AX151" s="90">
        <f t="shared" si="169"/>
        <v>0</v>
      </c>
      <c r="AY151" s="91" t="s">
        <v>647</v>
      </c>
      <c r="AZ151" s="91" t="s">
        <v>656</v>
      </c>
      <c r="BA151" s="154" t="s">
        <v>658</v>
      </c>
      <c r="BC151" s="90">
        <f t="shared" si="170"/>
        <v>0</v>
      </c>
      <c r="BD151" s="90">
        <f t="shared" si="171"/>
        <v>360</v>
      </c>
      <c r="BE151" s="90">
        <v>0</v>
      </c>
      <c r="BF151" s="90">
        <f t="shared" si="172"/>
        <v>0</v>
      </c>
      <c r="BH151" s="90">
        <f t="shared" si="173"/>
        <v>0</v>
      </c>
      <c r="BI151" s="90">
        <f t="shared" si="174"/>
        <v>0</v>
      </c>
      <c r="BJ151" s="90">
        <f t="shared" si="175"/>
        <v>0</v>
      </c>
    </row>
    <row r="152" spans="1:62" ht="12.75" hidden="1">
      <c r="A152" s="88" t="s">
        <v>202</v>
      </c>
      <c r="B152" s="88" t="s">
        <v>59</v>
      </c>
      <c r="C152" s="88" t="s">
        <v>375</v>
      </c>
      <c r="D152" s="88" t="s">
        <v>560</v>
      </c>
      <c r="E152" s="88" t="s">
        <v>609</v>
      </c>
      <c r="F152" s="90"/>
      <c r="G152" s="90">
        <v>72.9</v>
      </c>
      <c r="H152" s="90">
        <f t="shared" si="152"/>
        <v>0</v>
      </c>
      <c r="I152" s="90">
        <f t="shared" si="153"/>
        <v>0</v>
      </c>
      <c r="J152" s="90">
        <f t="shared" si="154"/>
        <v>0</v>
      </c>
      <c r="K152" s="90">
        <v>0</v>
      </c>
      <c r="L152" s="90">
        <f t="shared" si="155"/>
        <v>0</v>
      </c>
      <c r="M152" s="91" t="s">
        <v>622</v>
      </c>
      <c r="Z152" s="90">
        <f t="shared" si="156"/>
        <v>0</v>
      </c>
      <c r="AB152" s="90">
        <f t="shared" si="157"/>
        <v>0</v>
      </c>
      <c r="AC152" s="90">
        <f t="shared" si="158"/>
        <v>0</v>
      </c>
      <c r="AD152" s="90">
        <f t="shared" si="159"/>
        <v>0</v>
      </c>
      <c r="AE152" s="90">
        <f t="shared" si="160"/>
        <v>0</v>
      </c>
      <c r="AF152" s="90">
        <f t="shared" si="161"/>
        <v>0</v>
      </c>
      <c r="AG152" s="90">
        <f t="shared" si="162"/>
        <v>0</v>
      </c>
      <c r="AH152" s="90">
        <f t="shared" si="163"/>
        <v>0</v>
      </c>
      <c r="AI152" s="154" t="s">
        <v>59</v>
      </c>
      <c r="AJ152" s="90">
        <f t="shared" si="164"/>
        <v>0</v>
      </c>
      <c r="AK152" s="90">
        <f t="shared" si="165"/>
        <v>0</v>
      </c>
      <c r="AL152" s="90">
        <f t="shared" si="166"/>
        <v>0</v>
      </c>
      <c r="AN152" s="90">
        <v>15</v>
      </c>
      <c r="AO152" s="90">
        <f>G152*0.0743484164158442</f>
        <v>5.419999556715043</v>
      </c>
      <c r="AP152" s="90">
        <f>G152*(1-0.0743484164158442)</f>
        <v>67.48000044328496</v>
      </c>
      <c r="AQ152" s="91" t="s">
        <v>85</v>
      </c>
      <c r="AV152" s="90">
        <f t="shared" si="167"/>
        <v>0</v>
      </c>
      <c r="AW152" s="90">
        <f t="shared" si="168"/>
        <v>0</v>
      </c>
      <c r="AX152" s="90">
        <f t="shared" si="169"/>
        <v>0</v>
      </c>
      <c r="AY152" s="91" t="s">
        <v>647</v>
      </c>
      <c r="AZ152" s="91" t="s">
        <v>656</v>
      </c>
      <c r="BA152" s="154" t="s">
        <v>658</v>
      </c>
      <c r="BC152" s="90">
        <f t="shared" si="170"/>
        <v>0</v>
      </c>
      <c r="BD152" s="90">
        <f t="shared" si="171"/>
        <v>72.9</v>
      </c>
      <c r="BE152" s="90">
        <v>0</v>
      </c>
      <c r="BF152" s="90">
        <f t="shared" si="172"/>
        <v>0</v>
      </c>
      <c r="BH152" s="90">
        <f t="shared" si="173"/>
        <v>0</v>
      </c>
      <c r="BI152" s="90">
        <f t="shared" si="174"/>
        <v>0</v>
      </c>
      <c r="BJ152" s="90">
        <f t="shared" si="175"/>
        <v>0</v>
      </c>
    </row>
    <row r="153" spans="1:62" ht="12.75" hidden="1">
      <c r="A153" s="88" t="s">
        <v>203</v>
      </c>
      <c r="B153" s="88" t="s">
        <v>59</v>
      </c>
      <c r="C153" s="88" t="s">
        <v>376</v>
      </c>
      <c r="D153" s="88" t="s">
        <v>561</v>
      </c>
      <c r="E153" s="88" t="s">
        <v>608</v>
      </c>
      <c r="F153" s="90"/>
      <c r="G153" s="90">
        <v>437</v>
      </c>
      <c r="H153" s="90">
        <f t="shared" si="152"/>
        <v>0</v>
      </c>
      <c r="I153" s="90">
        <f t="shared" si="153"/>
        <v>0</v>
      </c>
      <c r="J153" s="90">
        <f t="shared" si="154"/>
        <v>0</v>
      </c>
      <c r="K153" s="90">
        <v>0.00504</v>
      </c>
      <c r="L153" s="90">
        <f t="shared" si="155"/>
        <v>0</v>
      </c>
      <c r="M153" s="91" t="s">
        <v>622</v>
      </c>
      <c r="Z153" s="90">
        <f t="shared" si="156"/>
        <v>0</v>
      </c>
      <c r="AB153" s="90">
        <f t="shared" si="157"/>
        <v>0</v>
      </c>
      <c r="AC153" s="90">
        <f t="shared" si="158"/>
        <v>0</v>
      </c>
      <c r="AD153" s="90">
        <f t="shared" si="159"/>
        <v>0</v>
      </c>
      <c r="AE153" s="90">
        <f t="shared" si="160"/>
        <v>0</v>
      </c>
      <c r="AF153" s="90">
        <f t="shared" si="161"/>
        <v>0</v>
      </c>
      <c r="AG153" s="90">
        <f t="shared" si="162"/>
        <v>0</v>
      </c>
      <c r="AH153" s="90">
        <f t="shared" si="163"/>
        <v>0</v>
      </c>
      <c r="AI153" s="154" t="s">
        <v>59</v>
      </c>
      <c r="AJ153" s="90">
        <f t="shared" si="164"/>
        <v>0</v>
      </c>
      <c r="AK153" s="90">
        <f t="shared" si="165"/>
        <v>0</v>
      </c>
      <c r="AL153" s="90">
        <f t="shared" si="166"/>
        <v>0</v>
      </c>
      <c r="AN153" s="90">
        <v>15</v>
      </c>
      <c r="AO153" s="90">
        <f>G153*0.1941647597254</f>
        <v>84.84999999999981</v>
      </c>
      <c r="AP153" s="90">
        <f>G153*(1-0.1941647597254)</f>
        <v>352.1500000000002</v>
      </c>
      <c r="AQ153" s="91" t="s">
        <v>85</v>
      </c>
      <c r="AV153" s="90">
        <f t="shared" si="167"/>
        <v>0</v>
      </c>
      <c r="AW153" s="90">
        <f t="shared" si="168"/>
        <v>0</v>
      </c>
      <c r="AX153" s="90">
        <f t="shared" si="169"/>
        <v>0</v>
      </c>
      <c r="AY153" s="91" t="s">
        <v>647</v>
      </c>
      <c r="AZ153" s="91" t="s">
        <v>656</v>
      </c>
      <c r="BA153" s="154" t="s">
        <v>658</v>
      </c>
      <c r="BC153" s="90">
        <f t="shared" si="170"/>
        <v>0</v>
      </c>
      <c r="BD153" s="90">
        <f t="shared" si="171"/>
        <v>437</v>
      </c>
      <c r="BE153" s="90">
        <v>0</v>
      </c>
      <c r="BF153" s="90">
        <f t="shared" si="172"/>
        <v>0</v>
      </c>
      <c r="BH153" s="90">
        <f t="shared" si="173"/>
        <v>0</v>
      </c>
      <c r="BI153" s="90">
        <f t="shared" si="174"/>
        <v>0</v>
      </c>
      <c r="BJ153" s="90">
        <f t="shared" si="175"/>
        <v>0</v>
      </c>
    </row>
    <row r="154" spans="1:62" ht="12.75" hidden="1">
      <c r="A154" s="88" t="s">
        <v>204</v>
      </c>
      <c r="B154" s="88" t="s">
        <v>59</v>
      </c>
      <c r="C154" s="88" t="s">
        <v>374</v>
      </c>
      <c r="D154" s="88" t="s">
        <v>559</v>
      </c>
      <c r="E154" s="88" t="s">
        <v>608</v>
      </c>
      <c r="F154" s="90"/>
      <c r="G154" s="90">
        <v>360</v>
      </c>
      <c r="H154" s="90">
        <f t="shared" si="152"/>
        <v>0</v>
      </c>
      <c r="I154" s="90">
        <f t="shared" si="153"/>
        <v>0</v>
      </c>
      <c r="J154" s="90">
        <f t="shared" si="154"/>
        <v>0</v>
      </c>
      <c r="K154" s="90">
        <v>0.0192</v>
      </c>
      <c r="L154" s="90">
        <f t="shared" si="155"/>
        <v>0</v>
      </c>
      <c r="M154" s="91" t="s">
        <v>622</v>
      </c>
      <c r="Z154" s="90">
        <f t="shared" si="156"/>
        <v>0</v>
      </c>
      <c r="AB154" s="90">
        <f t="shared" si="157"/>
        <v>0</v>
      </c>
      <c r="AC154" s="90">
        <f t="shared" si="158"/>
        <v>0</v>
      </c>
      <c r="AD154" s="90">
        <f t="shared" si="159"/>
        <v>0</v>
      </c>
      <c r="AE154" s="90">
        <f t="shared" si="160"/>
        <v>0</v>
      </c>
      <c r="AF154" s="90">
        <f t="shared" si="161"/>
        <v>0</v>
      </c>
      <c r="AG154" s="90">
        <f t="shared" si="162"/>
        <v>0</v>
      </c>
      <c r="AH154" s="90">
        <f t="shared" si="163"/>
        <v>0</v>
      </c>
      <c r="AI154" s="154" t="s">
        <v>59</v>
      </c>
      <c r="AJ154" s="90">
        <f t="shared" si="164"/>
        <v>0</v>
      </c>
      <c r="AK154" s="90">
        <f t="shared" si="165"/>
        <v>0</v>
      </c>
      <c r="AL154" s="90">
        <f t="shared" si="166"/>
        <v>0</v>
      </c>
      <c r="AN154" s="90">
        <v>15</v>
      </c>
      <c r="AO154" s="90">
        <f>G154*1</f>
        <v>360</v>
      </c>
      <c r="AP154" s="90">
        <f>G154*(1-1)</f>
        <v>0</v>
      </c>
      <c r="AQ154" s="91" t="s">
        <v>85</v>
      </c>
      <c r="AV154" s="90">
        <f t="shared" si="167"/>
        <v>0</v>
      </c>
      <c r="AW154" s="90">
        <f t="shared" si="168"/>
        <v>0</v>
      </c>
      <c r="AX154" s="90">
        <f t="shared" si="169"/>
        <v>0</v>
      </c>
      <c r="AY154" s="91" t="s">
        <v>647</v>
      </c>
      <c r="AZ154" s="91" t="s">
        <v>656</v>
      </c>
      <c r="BA154" s="154" t="s">
        <v>658</v>
      </c>
      <c r="BC154" s="90">
        <f t="shared" si="170"/>
        <v>0</v>
      </c>
      <c r="BD154" s="90">
        <f t="shared" si="171"/>
        <v>360</v>
      </c>
      <c r="BE154" s="90">
        <v>0</v>
      </c>
      <c r="BF154" s="90">
        <f t="shared" si="172"/>
        <v>0</v>
      </c>
      <c r="BH154" s="90">
        <f t="shared" si="173"/>
        <v>0</v>
      </c>
      <c r="BI154" s="90">
        <f t="shared" si="174"/>
        <v>0</v>
      </c>
      <c r="BJ154" s="90">
        <f t="shared" si="175"/>
        <v>0</v>
      </c>
    </row>
    <row r="155" spans="1:62" ht="12.75" hidden="1">
      <c r="A155" s="88" t="s">
        <v>205</v>
      </c>
      <c r="B155" s="88" t="s">
        <v>59</v>
      </c>
      <c r="C155" s="88" t="s">
        <v>377</v>
      </c>
      <c r="D155" s="88" t="s">
        <v>563</v>
      </c>
      <c r="E155" s="88" t="s">
        <v>612</v>
      </c>
      <c r="F155" s="90"/>
      <c r="G155" s="90">
        <v>455.01</v>
      </c>
      <c r="H155" s="90">
        <f t="shared" si="152"/>
        <v>0</v>
      </c>
      <c r="I155" s="90">
        <f t="shared" si="153"/>
        <v>0</v>
      </c>
      <c r="J155" s="90">
        <f t="shared" si="154"/>
        <v>0</v>
      </c>
      <c r="K155" s="90">
        <v>0</v>
      </c>
      <c r="L155" s="90">
        <f t="shared" si="155"/>
        <v>0</v>
      </c>
      <c r="M155" s="91" t="s">
        <v>622</v>
      </c>
      <c r="Z155" s="90">
        <f t="shared" si="156"/>
        <v>0</v>
      </c>
      <c r="AB155" s="90">
        <f t="shared" si="157"/>
        <v>0</v>
      </c>
      <c r="AC155" s="90">
        <f t="shared" si="158"/>
        <v>0</v>
      </c>
      <c r="AD155" s="90">
        <f t="shared" si="159"/>
        <v>0</v>
      </c>
      <c r="AE155" s="90">
        <f t="shared" si="160"/>
        <v>0</v>
      </c>
      <c r="AF155" s="90">
        <f t="shared" si="161"/>
        <v>0</v>
      </c>
      <c r="AG155" s="90">
        <f t="shared" si="162"/>
        <v>0</v>
      </c>
      <c r="AH155" s="90">
        <f t="shared" si="163"/>
        <v>0</v>
      </c>
      <c r="AI155" s="154" t="s">
        <v>59</v>
      </c>
      <c r="AJ155" s="90">
        <f t="shared" si="164"/>
        <v>0</v>
      </c>
      <c r="AK155" s="90">
        <f t="shared" si="165"/>
        <v>0</v>
      </c>
      <c r="AL155" s="90">
        <f t="shared" si="166"/>
        <v>0</v>
      </c>
      <c r="AN155" s="90">
        <v>15</v>
      </c>
      <c r="AO155" s="90">
        <f>G155*0</f>
        <v>0</v>
      </c>
      <c r="AP155" s="90">
        <f>G155*(1-0)</f>
        <v>455.01</v>
      </c>
      <c r="AQ155" s="91" t="s">
        <v>83</v>
      </c>
      <c r="AV155" s="90">
        <f t="shared" si="167"/>
        <v>0</v>
      </c>
      <c r="AW155" s="90">
        <f t="shared" si="168"/>
        <v>0</v>
      </c>
      <c r="AX155" s="90">
        <f t="shared" si="169"/>
        <v>0</v>
      </c>
      <c r="AY155" s="91" t="s">
        <v>647</v>
      </c>
      <c r="AZ155" s="91" t="s">
        <v>656</v>
      </c>
      <c r="BA155" s="154" t="s">
        <v>658</v>
      </c>
      <c r="BC155" s="90">
        <f t="shared" si="170"/>
        <v>0</v>
      </c>
      <c r="BD155" s="90">
        <f t="shared" si="171"/>
        <v>455.00999999999993</v>
      </c>
      <c r="BE155" s="90">
        <v>0</v>
      </c>
      <c r="BF155" s="90">
        <f t="shared" si="172"/>
        <v>0</v>
      </c>
      <c r="BH155" s="90">
        <f t="shared" si="173"/>
        <v>0</v>
      </c>
      <c r="BI155" s="90">
        <f t="shared" si="174"/>
        <v>0</v>
      </c>
      <c r="BJ155" s="90">
        <f t="shared" si="175"/>
        <v>0</v>
      </c>
    </row>
    <row r="156" spans="1:47" ht="12.75" hidden="1">
      <c r="A156" s="159"/>
      <c r="B156" s="160" t="s">
        <v>59</v>
      </c>
      <c r="C156" s="160" t="s">
        <v>378</v>
      </c>
      <c r="D156" s="160" t="s">
        <v>564</v>
      </c>
      <c r="E156" s="159" t="s">
        <v>57</v>
      </c>
      <c r="F156" s="159"/>
      <c r="G156" s="159" t="s">
        <v>57</v>
      </c>
      <c r="H156" s="161">
        <f>SUM(H157:H160)</f>
        <v>0</v>
      </c>
      <c r="I156" s="161">
        <f>SUM(I157:I160)</f>
        <v>0</v>
      </c>
      <c r="J156" s="161">
        <f>SUM(J157:J160)</f>
        <v>0</v>
      </c>
      <c r="K156" s="154"/>
      <c r="L156" s="161">
        <f>SUM(L157:L160)</f>
        <v>0</v>
      </c>
      <c r="M156" s="154"/>
      <c r="AI156" s="154" t="s">
        <v>59</v>
      </c>
      <c r="AS156" s="161">
        <f>SUM(AJ157:AJ160)</f>
        <v>0</v>
      </c>
      <c r="AT156" s="161">
        <f>SUM(AK157:AK160)</f>
        <v>0</v>
      </c>
      <c r="AU156" s="161">
        <f>SUM(AL157:AL160)</f>
        <v>0</v>
      </c>
    </row>
    <row r="157" spans="1:62" ht="12.75" hidden="1">
      <c r="A157" s="88" t="s">
        <v>206</v>
      </c>
      <c r="B157" s="88" t="s">
        <v>59</v>
      </c>
      <c r="C157" s="88" t="s">
        <v>379</v>
      </c>
      <c r="D157" s="88" t="s">
        <v>565</v>
      </c>
      <c r="E157" s="88" t="s">
        <v>608</v>
      </c>
      <c r="F157" s="90"/>
      <c r="G157" s="90">
        <v>20.7</v>
      </c>
      <c r="H157" s="90">
        <f>F157*AO157</f>
        <v>0</v>
      </c>
      <c r="I157" s="90">
        <f>F157*AP157</f>
        <v>0</v>
      </c>
      <c r="J157" s="90">
        <f>F157*G157</f>
        <v>0</v>
      </c>
      <c r="K157" s="90">
        <v>0.0002</v>
      </c>
      <c r="L157" s="90">
        <f>F157*K157</f>
        <v>0</v>
      </c>
      <c r="M157" s="91" t="s">
        <v>622</v>
      </c>
      <c r="Z157" s="90">
        <f>IF(AQ157="5",BJ157,0)</f>
        <v>0</v>
      </c>
      <c r="AB157" s="90">
        <f>IF(AQ157="1",BH157,0)</f>
        <v>0</v>
      </c>
      <c r="AC157" s="90">
        <f>IF(AQ157="1",BI157,0)</f>
        <v>0</v>
      </c>
      <c r="AD157" s="90">
        <f>IF(AQ157="7",BH157,0)</f>
        <v>0</v>
      </c>
      <c r="AE157" s="90">
        <f>IF(AQ157="7",BI157,0)</f>
        <v>0</v>
      </c>
      <c r="AF157" s="90">
        <f>IF(AQ157="2",BH157,0)</f>
        <v>0</v>
      </c>
      <c r="AG157" s="90">
        <f>IF(AQ157="2",BI157,0)</f>
        <v>0</v>
      </c>
      <c r="AH157" s="90">
        <f>IF(AQ157="0",BJ157,0)</f>
        <v>0</v>
      </c>
      <c r="AI157" s="154" t="s">
        <v>59</v>
      </c>
      <c r="AJ157" s="90">
        <f>IF(AN157=0,J157,0)</f>
        <v>0</v>
      </c>
      <c r="AK157" s="90">
        <f>IF(AN157=15,J157,0)</f>
        <v>0</v>
      </c>
      <c r="AL157" s="90">
        <f>IF(AN157=21,J157,0)</f>
        <v>0</v>
      </c>
      <c r="AN157" s="90">
        <v>15</v>
      </c>
      <c r="AO157" s="90">
        <f>G157*0.45362319290492</f>
        <v>9.390000093131844</v>
      </c>
      <c r="AP157" s="90">
        <f>G157*(1-0.45362319290492)</f>
        <v>11.309999906868157</v>
      </c>
      <c r="AQ157" s="91" t="s">
        <v>85</v>
      </c>
      <c r="AV157" s="90">
        <f>AW157+AX157</f>
        <v>0</v>
      </c>
      <c r="AW157" s="90">
        <f>F157*AO157</f>
        <v>0</v>
      </c>
      <c r="AX157" s="90">
        <f>F157*AP157</f>
        <v>0</v>
      </c>
      <c r="AY157" s="91" t="s">
        <v>648</v>
      </c>
      <c r="AZ157" s="91" t="s">
        <v>657</v>
      </c>
      <c r="BA157" s="154" t="s">
        <v>658</v>
      </c>
      <c r="BC157" s="90">
        <f>AW157+AX157</f>
        <v>0</v>
      </c>
      <c r="BD157" s="90">
        <f>G157/(100-BE157)*100</f>
        <v>20.7</v>
      </c>
      <c r="BE157" s="90">
        <v>0</v>
      </c>
      <c r="BF157" s="90">
        <f>L157</f>
        <v>0</v>
      </c>
      <c r="BH157" s="90">
        <f>F157*AO157</f>
        <v>0</v>
      </c>
      <c r="BI157" s="90">
        <f>F157*AP157</f>
        <v>0</v>
      </c>
      <c r="BJ157" s="90">
        <f>F157*G157</f>
        <v>0</v>
      </c>
    </row>
    <row r="158" spans="1:62" ht="12.75" hidden="1">
      <c r="A158" s="88" t="s">
        <v>207</v>
      </c>
      <c r="B158" s="88" t="s">
        <v>59</v>
      </c>
      <c r="C158" s="88" t="s">
        <v>380</v>
      </c>
      <c r="D158" s="88" t="s">
        <v>566</v>
      </c>
      <c r="E158" s="88" t="s">
        <v>608</v>
      </c>
      <c r="F158" s="90"/>
      <c r="G158" s="90">
        <v>39</v>
      </c>
      <c r="H158" s="90">
        <f>F158*AO158</f>
        <v>0</v>
      </c>
      <c r="I158" s="90">
        <f>F158*AP158</f>
        <v>0</v>
      </c>
      <c r="J158" s="90">
        <f>F158*G158</f>
        <v>0</v>
      </c>
      <c r="K158" s="90">
        <v>0.0004</v>
      </c>
      <c r="L158" s="90">
        <f>F158*K158</f>
        <v>0</v>
      </c>
      <c r="M158" s="91" t="s">
        <v>622</v>
      </c>
      <c r="Z158" s="90">
        <f>IF(AQ158="5",BJ158,0)</f>
        <v>0</v>
      </c>
      <c r="AB158" s="90">
        <f>IF(AQ158="1",BH158,0)</f>
        <v>0</v>
      </c>
      <c r="AC158" s="90">
        <f>IF(AQ158="1",BI158,0)</f>
        <v>0</v>
      </c>
      <c r="AD158" s="90">
        <f>IF(AQ158="7",BH158,0)</f>
        <v>0</v>
      </c>
      <c r="AE158" s="90">
        <f>IF(AQ158="7",BI158,0)</f>
        <v>0</v>
      </c>
      <c r="AF158" s="90">
        <f>IF(AQ158="2",BH158,0)</f>
        <v>0</v>
      </c>
      <c r="AG158" s="90">
        <f>IF(AQ158="2",BI158,0)</f>
        <v>0</v>
      </c>
      <c r="AH158" s="90">
        <f>IF(AQ158="0",BJ158,0)</f>
        <v>0</v>
      </c>
      <c r="AI158" s="154" t="s">
        <v>59</v>
      </c>
      <c r="AJ158" s="90">
        <f>IF(AN158=0,J158,0)</f>
        <v>0</v>
      </c>
      <c r="AK158" s="90">
        <f>IF(AN158=15,J158,0)</f>
        <v>0</v>
      </c>
      <c r="AL158" s="90">
        <f>IF(AN158=21,J158,0)</f>
        <v>0</v>
      </c>
      <c r="AN158" s="90">
        <v>15</v>
      </c>
      <c r="AO158" s="90">
        <f>G158*0.476666634246207</f>
        <v>18.589998735602073</v>
      </c>
      <c r="AP158" s="90">
        <f>G158*(1-0.476666634246207)</f>
        <v>20.41000126439793</v>
      </c>
      <c r="AQ158" s="91" t="s">
        <v>85</v>
      </c>
      <c r="AV158" s="90">
        <f>AW158+AX158</f>
        <v>0</v>
      </c>
      <c r="AW158" s="90">
        <f>F158*AO158</f>
        <v>0</v>
      </c>
      <c r="AX158" s="90">
        <f>F158*AP158</f>
        <v>0</v>
      </c>
      <c r="AY158" s="91" t="s">
        <v>648</v>
      </c>
      <c r="AZ158" s="91" t="s">
        <v>657</v>
      </c>
      <c r="BA158" s="154" t="s">
        <v>658</v>
      </c>
      <c r="BC158" s="90">
        <f>AW158+AX158</f>
        <v>0</v>
      </c>
      <c r="BD158" s="90">
        <f>G158/(100-BE158)*100</f>
        <v>39</v>
      </c>
      <c r="BE158" s="90">
        <v>0</v>
      </c>
      <c r="BF158" s="90">
        <f>L158</f>
        <v>0</v>
      </c>
      <c r="BH158" s="90">
        <f>F158*AO158</f>
        <v>0</v>
      </c>
      <c r="BI158" s="90">
        <f>F158*AP158</f>
        <v>0</v>
      </c>
      <c r="BJ158" s="90">
        <f>F158*G158</f>
        <v>0</v>
      </c>
    </row>
    <row r="159" spans="1:62" ht="12.75" hidden="1">
      <c r="A159" s="88" t="s">
        <v>208</v>
      </c>
      <c r="B159" s="88" t="s">
        <v>59</v>
      </c>
      <c r="C159" s="88" t="s">
        <v>381</v>
      </c>
      <c r="D159" s="88" t="s">
        <v>567</v>
      </c>
      <c r="E159" s="88" t="s">
        <v>608</v>
      </c>
      <c r="F159" s="90"/>
      <c r="G159" s="90">
        <v>47.5</v>
      </c>
      <c r="H159" s="90">
        <f>F159*AO159</f>
        <v>0</v>
      </c>
      <c r="I159" s="90">
        <f>F159*AP159</f>
        <v>0</v>
      </c>
      <c r="J159" s="90">
        <f>F159*G159</f>
        <v>0</v>
      </c>
      <c r="K159" s="90">
        <v>0.00024</v>
      </c>
      <c r="L159" s="90">
        <f>F159*K159</f>
        <v>0</v>
      </c>
      <c r="M159" s="91" t="s">
        <v>622</v>
      </c>
      <c r="Z159" s="90">
        <f>IF(AQ159="5",BJ159,0)</f>
        <v>0</v>
      </c>
      <c r="AB159" s="90">
        <f>IF(AQ159="1",BH159,0)</f>
        <v>0</v>
      </c>
      <c r="AC159" s="90">
        <f>IF(AQ159="1",BI159,0)</f>
        <v>0</v>
      </c>
      <c r="AD159" s="90">
        <f>IF(AQ159="7",BH159,0)</f>
        <v>0</v>
      </c>
      <c r="AE159" s="90">
        <f>IF(AQ159="7",BI159,0)</f>
        <v>0</v>
      </c>
      <c r="AF159" s="90">
        <f>IF(AQ159="2",BH159,0)</f>
        <v>0</v>
      </c>
      <c r="AG159" s="90">
        <f>IF(AQ159="2",BI159,0)</f>
        <v>0</v>
      </c>
      <c r="AH159" s="90">
        <f>IF(AQ159="0",BJ159,0)</f>
        <v>0</v>
      </c>
      <c r="AI159" s="154" t="s">
        <v>59</v>
      </c>
      <c r="AJ159" s="90">
        <f>IF(AN159=0,J159,0)</f>
        <v>0</v>
      </c>
      <c r="AK159" s="90">
        <f>IF(AN159=15,J159,0)</f>
        <v>0</v>
      </c>
      <c r="AL159" s="90">
        <f>IF(AN159=21,J159,0)</f>
        <v>0</v>
      </c>
      <c r="AN159" s="90">
        <v>15</v>
      </c>
      <c r="AO159" s="90">
        <f>G159*0.200631571720879</f>
        <v>9.529999656741753</v>
      </c>
      <c r="AP159" s="90">
        <f>G159*(1-0.200631571720879)</f>
        <v>37.97000034325825</v>
      </c>
      <c r="AQ159" s="91" t="s">
        <v>85</v>
      </c>
      <c r="AV159" s="90">
        <f>AW159+AX159</f>
        <v>0</v>
      </c>
      <c r="AW159" s="90">
        <f>F159*AO159</f>
        <v>0</v>
      </c>
      <c r="AX159" s="90">
        <f>F159*AP159</f>
        <v>0</v>
      </c>
      <c r="AY159" s="91" t="s">
        <v>648</v>
      </c>
      <c r="AZ159" s="91" t="s">
        <v>657</v>
      </c>
      <c r="BA159" s="154" t="s">
        <v>658</v>
      </c>
      <c r="BC159" s="90">
        <f>AW159+AX159</f>
        <v>0</v>
      </c>
      <c r="BD159" s="90">
        <f>G159/(100-BE159)*100</f>
        <v>47.5</v>
      </c>
      <c r="BE159" s="90">
        <v>0</v>
      </c>
      <c r="BF159" s="90">
        <f>L159</f>
        <v>0</v>
      </c>
      <c r="BH159" s="90">
        <f>F159*AO159</f>
        <v>0</v>
      </c>
      <c r="BI159" s="90">
        <f>F159*AP159</f>
        <v>0</v>
      </c>
      <c r="BJ159" s="90">
        <f>F159*G159</f>
        <v>0</v>
      </c>
    </row>
    <row r="160" spans="1:62" ht="12.75" hidden="1">
      <c r="A160" s="88" t="s">
        <v>209</v>
      </c>
      <c r="B160" s="88" t="s">
        <v>59</v>
      </c>
      <c r="C160" s="88" t="s">
        <v>382</v>
      </c>
      <c r="D160" s="88" t="s">
        <v>568</v>
      </c>
      <c r="E160" s="88" t="s">
        <v>608</v>
      </c>
      <c r="F160" s="90"/>
      <c r="G160" s="90">
        <v>49.99</v>
      </c>
      <c r="H160" s="90">
        <f>F160*AO160</f>
        <v>0</v>
      </c>
      <c r="I160" s="90">
        <f>F160*AP160</f>
        <v>0</v>
      </c>
      <c r="J160" s="90">
        <f>F160*G160</f>
        <v>0</v>
      </c>
      <c r="K160" s="90">
        <v>0.0003</v>
      </c>
      <c r="L160" s="90">
        <f>F160*K160</f>
        <v>0</v>
      </c>
      <c r="M160" s="91" t="s">
        <v>622</v>
      </c>
      <c r="Z160" s="90">
        <f>IF(AQ160="5",BJ160,0)</f>
        <v>0</v>
      </c>
      <c r="AB160" s="90">
        <f>IF(AQ160="1",BH160,0)</f>
        <v>0</v>
      </c>
      <c r="AC160" s="90">
        <f>IF(AQ160="1",BI160,0)</f>
        <v>0</v>
      </c>
      <c r="AD160" s="90">
        <f>IF(AQ160="7",BH160,0)</f>
        <v>0</v>
      </c>
      <c r="AE160" s="90">
        <f>IF(AQ160="7",BI160,0)</f>
        <v>0</v>
      </c>
      <c r="AF160" s="90">
        <f>IF(AQ160="2",BH160,0)</f>
        <v>0</v>
      </c>
      <c r="AG160" s="90">
        <f>IF(AQ160="2",BI160,0)</f>
        <v>0</v>
      </c>
      <c r="AH160" s="90">
        <f>IF(AQ160="0",BJ160,0)</f>
        <v>0</v>
      </c>
      <c r="AI160" s="154" t="s">
        <v>59</v>
      </c>
      <c r="AJ160" s="90">
        <f>IF(AN160=0,J160,0)</f>
        <v>0</v>
      </c>
      <c r="AK160" s="90">
        <f>IF(AN160=15,J160,0)</f>
        <v>0</v>
      </c>
      <c r="AL160" s="90">
        <f>IF(AN160=21,J160,0)</f>
        <v>0</v>
      </c>
      <c r="AN160" s="90">
        <v>15</v>
      </c>
      <c r="AO160" s="90">
        <f>G160*0.290458093005437</f>
        <v>14.520000069341798</v>
      </c>
      <c r="AP160" s="90">
        <f>G160*(1-0.290458093005437)</f>
        <v>35.469999930658204</v>
      </c>
      <c r="AQ160" s="91" t="s">
        <v>85</v>
      </c>
      <c r="AV160" s="90">
        <f>AW160+AX160</f>
        <v>0</v>
      </c>
      <c r="AW160" s="90">
        <f>F160*AO160</f>
        <v>0</v>
      </c>
      <c r="AX160" s="90">
        <f>F160*AP160</f>
        <v>0</v>
      </c>
      <c r="AY160" s="91" t="s">
        <v>648</v>
      </c>
      <c r="AZ160" s="91" t="s">
        <v>657</v>
      </c>
      <c r="BA160" s="154" t="s">
        <v>658</v>
      </c>
      <c r="BC160" s="90">
        <f>AW160+AX160</f>
        <v>0</v>
      </c>
      <c r="BD160" s="90">
        <f>G160/(100-BE160)*100</f>
        <v>49.99</v>
      </c>
      <c r="BE160" s="90">
        <v>0</v>
      </c>
      <c r="BF160" s="90">
        <f>L160</f>
        <v>0</v>
      </c>
      <c r="BH160" s="90">
        <f>F160*AO160</f>
        <v>0</v>
      </c>
      <c r="BI160" s="90">
        <f>F160*AP160</f>
        <v>0</v>
      </c>
      <c r="BJ160" s="90">
        <f>F160*G160</f>
        <v>0</v>
      </c>
    </row>
    <row r="161" spans="1:47" ht="12.75" hidden="1">
      <c r="A161" s="159"/>
      <c r="B161" s="160" t="s">
        <v>59</v>
      </c>
      <c r="C161" s="160" t="s">
        <v>383</v>
      </c>
      <c r="D161" s="160" t="s">
        <v>569</v>
      </c>
      <c r="E161" s="159" t="s">
        <v>57</v>
      </c>
      <c r="F161" s="159"/>
      <c r="G161" s="159" t="s">
        <v>57</v>
      </c>
      <c r="H161" s="161">
        <f>SUM(H162:H196)</f>
        <v>0</v>
      </c>
      <c r="I161" s="161">
        <f>SUM(I162:I196)</f>
        <v>0</v>
      </c>
      <c r="J161" s="161">
        <f>SUM(J162:J196)</f>
        <v>0</v>
      </c>
      <c r="K161" s="154"/>
      <c r="L161" s="161">
        <f>SUM(L162:L196)</f>
        <v>0</v>
      </c>
      <c r="M161" s="154"/>
      <c r="AI161" s="154" t="s">
        <v>59</v>
      </c>
      <c r="AS161" s="161">
        <f>SUM(AJ162:AJ196)</f>
        <v>0</v>
      </c>
      <c r="AT161" s="161">
        <f>SUM(AK162:AK196)</f>
        <v>0</v>
      </c>
      <c r="AU161" s="161">
        <f>SUM(AL162:AL196)</f>
        <v>0</v>
      </c>
    </row>
    <row r="162" spans="1:62" ht="12.75" hidden="1">
      <c r="A162" s="88" t="s">
        <v>210</v>
      </c>
      <c r="B162" s="88" t="s">
        <v>59</v>
      </c>
      <c r="C162" s="88" t="s">
        <v>384</v>
      </c>
      <c r="D162" s="88" t="s">
        <v>570</v>
      </c>
      <c r="E162" s="88" t="s">
        <v>606</v>
      </c>
      <c r="F162" s="90"/>
      <c r="G162" s="90">
        <v>39</v>
      </c>
      <c r="H162" s="90">
        <f aca="true" t="shared" si="176" ref="H162:H196">F162*AO162</f>
        <v>0</v>
      </c>
      <c r="I162" s="90">
        <f aca="true" t="shared" si="177" ref="I162:I196">F162*AP162</f>
        <v>0</v>
      </c>
      <c r="J162" s="90">
        <f aca="true" t="shared" si="178" ref="J162:J196">F162*G162</f>
        <v>0</v>
      </c>
      <c r="K162" s="90">
        <v>0</v>
      </c>
      <c r="L162" s="90">
        <f aca="true" t="shared" si="179" ref="L162:L196">F162*K162</f>
        <v>0</v>
      </c>
      <c r="M162" s="91" t="s">
        <v>622</v>
      </c>
      <c r="Z162" s="90">
        <f aca="true" t="shared" si="180" ref="Z162:Z196">IF(AQ162="5",BJ162,0)</f>
        <v>0</v>
      </c>
      <c r="AB162" s="90">
        <f aca="true" t="shared" si="181" ref="AB162:AB196">IF(AQ162="1",BH162,0)</f>
        <v>0</v>
      </c>
      <c r="AC162" s="90">
        <f aca="true" t="shared" si="182" ref="AC162:AC196">IF(AQ162="1",BI162,0)</f>
        <v>0</v>
      </c>
      <c r="AD162" s="90">
        <f aca="true" t="shared" si="183" ref="AD162:AD196">IF(AQ162="7",BH162,0)</f>
        <v>0</v>
      </c>
      <c r="AE162" s="90">
        <f aca="true" t="shared" si="184" ref="AE162:AE196">IF(AQ162="7",BI162,0)</f>
        <v>0</v>
      </c>
      <c r="AF162" s="90">
        <f aca="true" t="shared" si="185" ref="AF162:AF196">IF(AQ162="2",BH162,0)</f>
        <v>0</v>
      </c>
      <c r="AG162" s="90">
        <f aca="true" t="shared" si="186" ref="AG162:AG196">IF(AQ162="2",BI162,0)</f>
        <v>0</v>
      </c>
      <c r="AH162" s="90">
        <f aca="true" t="shared" si="187" ref="AH162:AH196">IF(AQ162="0",BJ162,0)</f>
        <v>0</v>
      </c>
      <c r="AI162" s="154" t="s">
        <v>59</v>
      </c>
      <c r="AJ162" s="90">
        <f aca="true" t="shared" si="188" ref="AJ162:AJ196">IF(AN162=0,J162,0)</f>
        <v>0</v>
      </c>
      <c r="AK162" s="90">
        <f aca="true" t="shared" si="189" ref="AK162:AK196">IF(AN162=15,J162,0)</f>
        <v>0</v>
      </c>
      <c r="AL162" s="90">
        <f aca="true" t="shared" si="190" ref="AL162:AL196">IF(AN162=21,J162,0)</f>
        <v>0</v>
      </c>
      <c r="AN162" s="90">
        <v>15</v>
      </c>
      <c r="AO162" s="90">
        <f aca="true" t="shared" si="191" ref="AO162:AO196">G162*0</f>
        <v>0</v>
      </c>
      <c r="AP162" s="90">
        <f aca="true" t="shared" si="192" ref="AP162:AP196">G162*(1-0)</f>
        <v>39</v>
      </c>
      <c r="AQ162" s="91" t="s">
        <v>79</v>
      </c>
      <c r="AV162" s="90">
        <f aca="true" t="shared" si="193" ref="AV162:AV196">AW162+AX162</f>
        <v>0</v>
      </c>
      <c r="AW162" s="90">
        <f aca="true" t="shared" si="194" ref="AW162:AW196">F162*AO162</f>
        <v>0</v>
      </c>
      <c r="AX162" s="90">
        <f aca="true" t="shared" si="195" ref="AX162:AX196">F162*AP162</f>
        <v>0</v>
      </c>
      <c r="AY162" s="91" t="s">
        <v>649</v>
      </c>
      <c r="AZ162" s="91" t="s">
        <v>652</v>
      </c>
      <c r="BA162" s="154" t="s">
        <v>658</v>
      </c>
      <c r="BC162" s="90">
        <f aca="true" t="shared" si="196" ref="BC162:BC196">AW162+AX162</f>
        <v>0</v>
      </c>
      <c r="BD162" s="90">
        <f aca="true" t="shared" si="197" ref="BD162:BD196">G162/(100-BE162)*100</f>
        <v>39</v>
      </c>
      <c r="BE162" s="90">
        <v>0</v>
      </c>
      <c r="BF162" s="90">
        <f aca="true" t="shared" si="198" ref="BF162:BF196">L162</f>
        <v>0</v>
      </c>
      <c r="BH162" s="90">
        <f aca="true" t="shared" si="199" ref="BH162:BH196">F162*AO162</f>
        <v>0</v>
      </c>
      <c r="BI162" s="90">
        <f aca="true" t="shared" si="200" ref="BI162:BI196">F162*AP162</f>
        <v>0</v>
      </c>
      <c r="BJ162" s="90">
        <f aca="true" t="shared" si="201" ref="BJ162:BJ196">F162*G162</f>
        <v>0</v>
      </c>
    </row>
    <row r="163" spans="1:62" ht="12.75" hidden="1">
      <c r="A163" s="88" t="s">
        <v>211</v>
      </c>
      <c r="B163" s="88" t="s">
        <v>59</v>
      </c>
      <c r="C163" s="88" t="s">
        <v>385</v>
      </c>
      <c r="D163" s="88" t="s">
        <v>571</v>
      </c>
      <c r="E163" s="88" t="s">
        <v>606</v>
      </c>
      <c r="F163" s="90"/>
      <c r="G163" s="90">
        <v>32.1</v>
      </c>
      <c r="H163" s="90">
        <f t="shared" si="176"/>
        <v>0</v>
      </c>
      <c r="I163" s="90">
        <f t="shared" si="177"/>
        <v>0</v>
      </c>
      <c r="J163" s="90">
        <f t="shared" si="178"/>
        <v>0</v>
      </c>
      <c r="K163" s="90">
        <v>0</v>
      </c>
      <c r="L163" s="90">
        <f t="shared" si="179"/>
        <v>0</v>
      </c>
      <c r="M163" s="91" t="s">
        <v>622</v>
      </c>
      <c r="Z163" s="90">
        <f t="shared" si="180"/>
        <v>0</v>
      </c>
      <c r="AB163" s="90">
        <f t="shared" si="181"/>
        <v>0</v>
      </c>
      <c r="AC163" s="90">
        <f t="shared" si="182"/>
        <v>0</v>
      </c>
      <c r="AD163" s="90">
        <f t="shared" si="183"/>
        <v>0</v>
      </c>
      <c r="AE163" s="90">
        <f t="shared" si="184"/>
        <v>0</v>
      </c>
      <c r="AF163" s="90">
        <f t="shared" si="185"/>
        <v>0</v>
      </c>
      <c r="AG163" s="90">
        <f t="shared" si="186"/>
        <v>0</v>
      </c>
      <c r="AH163" s="90">
        <f t="shared" si="187"/>
        <v>0</v>
      </c>
      <c r="AI163" s="154" t="s">
        <v>59</v>
      </c>
      <c r="AJ163" s="90">
        <f t="shared" si="188"/>
        <v>0</v>
      </c>
      <c r="AK163" s="90">
        <f t="shared" si="189"/>
        <v>0</v>
      </c>
      <c r="AL163" s="90">
        <f t="shared" si="190"/>
        <v>0</v>
      </c>
      <c r="AN163" s="90">
        <v>15</v>
      </c>
      <c r="AO163" s="90">
        <f t="shared" si="191"/>
        <v>0</v>
      </c>
      <c r="AP163" s="90">
        <f t="shared" si="192"/>
        <v>32.1</v>
      </c>
      <c r="AQ163" s="91" t="s">
        <v>79</v>
      </c>
      <c r="AV163" s="90">
        <f t="shared" si="193"/>
        <v>0</v>
      </c>
      <c r="AW163" s="90">
        <f t="shared" si="194"/>
        <v>0</v>
      </c>
      <c r="AX163" s="90">
        <f t="shared" si="195"/>
        <v>0</v>
      </c>
      <c r="AY163" s="91" t="s">
        <v>649</v>
      </c>
      <c r="AZ163" s="91" t="s">
        <v>652</v>
      </c>
      <c r="BA163" s="154" t="s">
        <v>658</v>
      </c>
      <c r="BC163" s="90">
        <f t="shared" si="196"/>
        <v>0</v>
      </c>
      <c r="BD163" s="90">
        <f t="shared" si="197"/>
        <v>32.1</v>
      </c>
      <c r="BE163" s="90">
        <v>0</v>
      </c>
      <c r="BF163" s="90">
        <f t="shared" si="198"/>
        <v>0</v>
      </c>
      <c r="BH163" s="90">
        <f t="shared" si="199"/>
        <v>0</v>
      </c>
      <c r="BI163" s="90">
        <f t="shared" si="200"/>
        <v>0</v>
      </c>
      <c r="BJ163" s="90">
        <f t="shared" si="201"/>
        <v>0</v>
      </c>
    </row>
    <row r="164" spans="1:62" ht="12.75" hidden="1">
      <c r="A164" s="88" t="s">
        <v>212</v>
      </c>
      <c r="B164" s="88" t="s">
        <v>59</v>
      </c>
      <c r="C164" s="88" t="s">
        <v>386</v>
      </c>
      <c r="D164" s="88" t="s">
        <v>572</v>
      </c>
      <c r="E164" s="88" t="s">
        <v>609</v>
      </c>
      <c r="F164" s="90"/>
      <c r="G164" s="90">
        <v>27.8</v>
      </c>
      <c r="H164" s="90">
        <f t="shared" si="176"/>
        <v>0</v>
      </c>
      <c r="I164" s="90">
        <f t="shared" si="177"/>
        <v>0</v>
      </c>
      <c r="J164" s="90">
        <f t="shared" si="178"/>
        <v>0</v>
      </c>
      <c r="K164" s="90">
        <v>0</v>
      </c>
      <c r="L164" s="90">
        <f t="shared" si="179"/>
        <v>0</v>
      </c>
      <c r="M164" s="91" t="s">
        <v>622</v>
      </c>
      <c r="Z164" s="90">
        <f t="shared" si="180"/>
        <v>0</v>
      </c>
      <c r="AB164" s="90">
        <f t="shared" si="181"/>
        <v>0</v>
      </c>
      <c r="AC164" s="90">
        <f t="shared" si="182"/>
        <v>0</v>
      </c>
      <c r="AD164" s="90">
        <f t="shared" si="183"/>
        <v>0</v>
      </c>
      <c r="AE164" s="90">
        <f t="shared" si="184"/>
        <v>0</v>
      </c>
      <c r="AF164" s="90">
        <f t="shared" si="185"/>
        <v>0</v>
      </c>
      <c r="AG164" s="90">
        <f t="shared" si="186"/>
        <v>0</v>
      </c>
      <c r="AH164" s="90">
        <f t="shared" si="187"/>
        <v>0</v>
      </c>
      <c r="AI164" s="154" t="s">
        <v>59</v>
      </c>
      <c r="AJ164" s="90">
        <f t="shared" si="188"/>
        <v>0</v>
      </c>
      <c r="AK164" s="90">
        <f t="shared" si="189"/>
        <v>0</v>
      </c>
      <c r="AL164" s="90">
        <f t="shared" si="190"/>
        <v>0</v>
      </c>
      <c r="AN164" s="90">
        <v>15</v>
      </c>
      <c r="AO164" s="90">
        <f t="shared" si="191"/>
        <v>0</v>
      </c>
      <c r="AP164" s="90">
        <f t="shared" si="192"/>
        <v>27.8</v>
      </c>
      <c r="AQ164" s="91" t="s">
        <v>79</v>
      </c>
      <c r="AV164" s="90">
        <f t="shared" si="193"/>
        <v>0</v>
      </c>
      <c r="AW164" s="90">
        <f t="shared" si="194"/>
        <v>0</v>
      </c>
      <c r="AX164" s="90">
        <f t="shared" si="195"/>
        <v>0</v>
      </c>
      <c r="AY164" s="91" t="s">
        <v>649</v>
      </c>
      <c r="AZ164" s="91" t="s">
        <v>652</v>
      </c>
      <c r="BA164" s="154" t="s">
        <v>658</v>
      </c>
      <c r="BC164" s="90">
        <f t="shared" si="196"/>
        <v>0</v>
      </c>
      <c r="BD164" s="90">
        <f t="shared" si="197"/>
        <v>27.800000000000004</v>
      </c>
      <c r="BE164" s="90">
        <v>0</v>
      </c>
      <c r="BF164" s="90">
        <f t="shared" si="198"/>
        <v>0</v>
      </c>
      <c r="BH164" s="90">
        <f t="shared" si="199"/>
        <v>0</v>
      </c>
      <c r="BI164" s="90">
        <f t="shared" si="200"/>
        <v>0</v>
      </c>
      <c r="BJ164" s="90">
        <f t="shared" si="201"/>
        <v>0</v>
      </c>
    </row>
    <row r="165" spans="1:62" ht="12.75" hidden="1">
      <c r="A165" s="88" t="s">
        <v>213</v>
      </c>
      <c r="B165" s="88" t="s">
        <v>59</v>
      </c>
      <c r="C165" s="88" t="s">
        <v>387</v>
      </c>
      <c r="D165" s="88" t="s">
        <v>573</v>
      </c>
      <c r="E165" s="88" t="s">
        <v>609</v>
      </c>
      <c r="F165" s="90"/>
      <c r="G165" s="90">
        <v>49.1</v>
      </c>
      <c r="H165" s="90">
        <f t="shared" si="176"/>
        <v>0</v>
      </c>
      <c r="I165" s="90">
        <f t="shared" si="177"/>
        <v>0</v>
      </c>
      <c r="J165" s="90">
        <f t="shared" si="178"/>
        <v>0</v>
      </c>
      <c r="K165" s="90">
        <v>0</v>
      </c>
      <c r="L165" s="90">
        <f t="shared" si="179"/>
        <v>0</v>
      </c>
      <c r="M165" s="91" t="s">
        <v>622</v>
      </c>
      <c r="Z165" s="90">
        <f t="shared" si="180"/>
        <v>0</v>
      </c>
      <c r="AB165" s="90">
        <f t="shared" si="181"/>
        <v>0</v>
      </c>
      <c r="AC165" s="90">
        <f t="shared" si="182"/>
        <v>0</v>
      </c>
      <c r="AD165" s="90">
        <f t="shared" si="183"/>
        <v>0</v>
      </c>
      <c r="AE165" s="90">
        <f t="shared" si="184"/>
        <v>0</v>
      </c>
      <c r="AF165" s="90">
        <f t="shared" si="185"/>
        <v>0</v>
      </c>
      <c r="AG165" s="90">
        <f t="shared" si="186"/>
        <v>0</v>
      </c>
      <c r="AH165" s="90">
        <f t="shared" si="187"/>
        <v>0</v>
      </c>
      <c r="AI165" s="154" t="s">
        <v>59</v>
      </c>
      <c r="AJ165" s="90">
        <f t="shared" si="188"/>
        <v>0</v>
      </c>
      <c r="AK165" s="90">
        <f t="shared" si="189"/>
        <v>0</v>
      </c>
      <c r="AL165" s="90">
        <f t="shared" si="190"/>
        <v>0</v>
      </c>
      <c r="AN165" s="90">
        <v>15</v>
      </c>
      <c r="AO165" s="90">
        <f t="shared" si="191"/>
        <v>0</v>
      </c>
      <c r="AP165" s="90">
        <f t="shared" si="192"/>
        <v>49.1</v>
      </c>
      <c r="AQ165" s="91" t="s">
        <v>79</v>
      </c>
      <c r="AV165" s="90">
        <f t="shared" si="193"/>
        <v>0</v>
      </c>
      <c r="AW165" s="90">
        <f t="shared" si="194"/>
        <v>0</v>
      </c>
      <c r="AX165" s="90">
        <f t="shared" si="195"/>
        <v>0</v>
      </c>
      <c r="AY165" s="91" t="s">
        <v>649</v>
      </c>
      <c r="AZ165" s="91" t="s">
        <v>652</v>
      </c>
      <c r="BA165" s="154" t="s">
        <v>658</v>
      </c>
      <c r="BC165" s="90">
        <f t="shared" si="196"/>
        <v>0</v>
      </c>
      <c r="BD165" s="90">
        <f t="shared" si="197"/>
        <v>49.1</v>
      </c>
      <c r="BE165" s="90">
        <v>0</v>
      </c>
      <c r="BF165" s="90">
        <f t="shared" si="198"/>
        <v>0</v>
      </c>
      <c r="BH165" s="90">
        <f t="shared" si="199"/>
        <v>0</v>
      </c>
      <c r="BI165" s="90">
        <f t="shared" si="200"/>
        <v>0</v>
      </c>
      <c r="BJ165" s="90">
        <f t="shared" si="201"/>
        <v>0</v>
      </c>
    </row>
    <row r="166" spans="1:62" ht="12.75" hidden="1">
      <c r="A166" s="88" t="s">
        <v>214</v>
      </c>
      <c r="B166" s="88" t="s">
        <v>59</v>
      </c>
      <c r="C166" s="88" t="s">
        <v>388</v>
      </c>
      <c r="D166" s="88" t="s">
        <v>574</v>
      </c>
      <c r="E166" s="88" t="s">
        <v>606</v>
      </c>
      <c r="F166" s="90"/>
      <c r="G166" s="90">
        <v>3110</v>
      </c>
      <c r="H166" s="90">
        <f t="shared" si="176"/>
        <v>0</v>
      </c>
      <c r="I166" s="90">
        <f t="shared" si="177"/>
        <v>0</v>
      </c>
      <c r="J166" s="90">
        <f t="shared" si="178"/>
        <v>0</v>
      </c>
      <c r="K166" s="90">
        <v>0</v>
      </c>
      <c r="L166" s="90">
        <f t="shared" si="179"/>
        <v>0</v>
      </c>
      <c r="M166" s="91" t="s">
        <v>622</v>
      </c>
      <c r="Z166" s="90">
        <f t="shared" si="180"/>
        <v>0</v>
      </c>
      <c r="AB166" s="90">
        <f t="shared" si="181"/>
        <v>0</v>
      </c>
      <c r="AC166" s="90">
        <f t="shared" si="182"/>
        <v>0</v>
      </c>
      <c r="AD166" s="90">
        <f t="shared" si="183"/>
        <v>0</v>
      </c>
      <c r="AE166" s="90">
        <f t="shared" si="184"/>
        <v>0</v>
      </c>
      <c r="AF166" s="90">
        <f t="shared" si="185"/>
        <v>0</v>
      </c>
      <c r="AG166" s="90">
        <f t="shared" si="186"/>
        <v>0</v>
      </c>
      <c r="AH166" s="90">
        <f t="shared" si="187"/>
        <v>0</v>
      </c>
      <c r="AI166" s="154" t="s">
        <v>59</v>
      </c>
      <c r="AJ166" s="90">
        <f t="shared" si="188"/>
        <v>0</v>
      </c>
      <c r="AK166" s="90">
        <f t="shared" si="189"/>
        <v>0</v>
      </c>
      <c r="AL166" s="90">
        <f t="shared" si="190"/>
        <v>0</v>
      </c>
      <c r="AN166" s="90">
        <v>15</v>
      </c>
      <c r="AO166" s="90">
        <f t="shared" si="191"/>
        <v>0</v>
      </c>
      <c r="AP166" s="90">
        <f t="shared" si="192"/>
        <v>3110</v>
      </c>
      <c r="AQ166" s="91" t="s">
        <v>79</v>
      </c>
      <c r="AV166" s="90">
        <f t="shared" si="193"/>
        <v>0</v>
      </c>
      <c r="AW166" s="90">
        <f t="shared" si="194"/>
        <v>0</v>
      </c>
      <c r="AX166" s="90">
        <f t="shared" si="195"/>
        <v>0</v>
      </c>
      <c r="AY166" s="91" t="s">
        <v>649</v>
      </c>
      <c r="AZ166" s="91" t="s">
        <v>652</v>
      </c>
      <c r="BA166" s="154" t="s">
        <v>658</v>
      </c>
      <c r="BC166" s="90">
        <f t="shared" si="196"/>
        <v>0</v>
      </c>
      <c r="BD166" s="90">
        <f t="shared" si="197"/>
        <v>3110</v>
      </c>
      <c r="BE166" s="90">
        <v>0</v>
      </c>
      <c r="BF166" s="90">
        <f t="shared" si="198"/>
        <v>0</v>
      </c>
      <c r="BH166" s="90">
        <f t="shared" si="199"/>
        <v>0</v>
      </c>
      <c r="BI166" s="90">
        <f t="shared" si="200"/>
        <v>0</v>
      </c>
      <c r="BJ166" s="90">
        <f t="shared" si="201"/>
        <v>0</v>
      </c>
    </row>
    <row r="167" spans="1:62" ht="12.75" hidden="1">
      <c r="A167" s="88" t="s">
        <v>215</v>
      </c>
      <c r="B167" s="88" t="s">
        <v>59</v>
      </c>
      <c r="C167" s="88" t="s">
        <v>389</v>
      </c>
      <c r="D167" s="88" t="s">
        <v>575</v>
      </c>
      <c r="E167" s="88" t="s">
        <v>611</v>
      </c>
      <c r="F167" s="90"/>
      <c r="G167" s="90">
        <v>450</v>
      </c>
      <c r="H167" s="90">
        <f t="shared" si="176"/>
        <v>0</v>
      </c>
      <c r="I167" s="90">
        <f t="shared" si="177"/>
        <v>0</v>
      </c>
      <c r="J167" s="90">
        <f t="shared" si="178"/>
        <v>0</v>
      </c>
      <c r="K167" s="90">
        <v>0</v>
      </c>
      <c r="L167" s="90">
        <f t="shared" si="179"/>
        <v>0</v>
      </c>
      <c r="M167" s="91" t="s">
        <v>622</v>
      </c>
      <c r="Z167" s="90">
        <f t="shared" si="180"/>
        <v>0</v>
      </c>
      <c r="AB167" s="90">
        <f t="shared" si="181"/>
        <v>0</v>
      </c>
      <c r="AC167" s="90">
        <f t="shared" si="182"/>
        <v>0</v>
      </c>
      <c r="AD167" s="90">
        <f t="shared" si="183"/>
        <v>0</v>
      </c>
      <c r="AE167" s="90">
        <f t="shared" si="184"/>
        <v>0</v>
      </c>
      <c r="AF167" s="90">
        <f t="shared" si="185"/>
        <v>0</v>
      </c>
      <c r="AG167" s="90">
        <f t="shared" si="186"/>
        <v>0</v>
      </c>
      <c r="AH167" s="90">
        <f t="shared" si="187"/>
        <v>0</v>
      </c>
      <c r="AI167" s="154" t="s">
        <v>59</v>
      </c>
      <c r="AJ167" s="90">
        <f t="shared" si="188"/>
        <v>0</v>
      </c>
      <c r="AK167" s="90">
        <f t="shared" si="189"/>
        <v>0</v>
      </c>
      <c r="AL167" s="90">
        <f t="shared" si="190"/>
        <v>0</v>
      </c>
      <c r="AN167" s="90">
        <v>15</v>
      </c>
      <c r="AO167" s="90">
        <f t="shared" si="191"/>
        <v>0</v>
      </c>
      <c r="AP167" s="90">
        <f t="shared" si="192"/>
        <v>450</v>
      </c>
      <c r="AQ167" s="91" t="s">
        <v>79</v>
      </c>
      <c r="AV167" s="90">
        <f t="shared" si="193"/>
        <v>0</v>
      </c>
      <c r="AW167" s="90">
        <f t="shared" si="194"/>
        <v>0</v>
      </c>
      <c r="AX167" s="90">
        <f t="shared" si="195"/>
        <v>0</v>
      </c>
      <c r="AY167" s="91" t="s">
        <v>649</v>
      </c>
      <c r="AZ167" s="91" t="s">
        <v>652</v>
      </c>
      <c r="BA167" s="154" t="s">
        <v>658</v>
      </c>
      <c r="BC167" s="90">
        <f t="shared" si="196"/>
        <v>0</v>
      </c>
      <c r="BD167" s="90">
        <f t="shared" si="197"/>
        <v>450</v>
      </c>
      <c r="BE167" s="90">
        <v>0</v>
      </c>
      <c r="BF167" s="90">
        <f t="shared" si="198"/>
        <v>0</v>
      </c>
      <c r="BH167" s="90">
        <f t="shared" si="199"/>
        <v>0</v>
      </c>
      <c r="BI167" s="90">
        <f t="shared" si="200"/>
        <v>0</v>
      </c>
      <c r="BJ167" s="90">
        <f t="shared" si="201"/>
        <v>0</v>
      </c>
    </row>
    <row r="168" spans="1:62" ht="12.75" hidden="1">
      <c r="A168" s="88" t="s">
        <v>216</v>
      </c>
      <c r="B168" s="88" t="s">
        <v>59</v>
      </c>
      <c r="C168" s="88" t="s">
        <v>390</v>
      </c>
      <c r="D168" s="88" t="s">
        <v>576</v>
      </c>
      <c r="E168" s="88" t="s">
        <v>613</v>
      </c>
      <c r="F168" s="90"/>
      <c r="G168" s="90">
        <v>740</v>
      </c>
      <c r="H168" s="90">
        <f t="shared" si="176"/>
        <v>0</v>
      </c>
      <c r="I168" s="90">
        <f t="shared" si="177"/>
        <v>0</v>
      </c>
      <c r="J168" s="90">
        <f t="shared" si="178"/>
        <v>0</v>
      </c>
      <c r="K168" s="90">
        <v>0</v>
      </c>
      <c r="L168" s="90">
        <f t="shared" si="179"/>
        <v>0</v>
      </c>
      <c r="M168" s="91" t="s">
        <v>622</v>
      </c>
      <c r="Z168" s="90">
        <f t="shared" si="180"/>
        <v>0</v>
      </c>
      <c r="AB168" s="90">
        <f t="shared" si="181"/>
        <v>0</v>
      </c>
      <c r="AC168" s="90">
        <f t="shared" si="182"/>
        <v>0</v>
      </c>
      <c r="AD168" s="90">
        <f t="shared" si="183"/>
        <v>0</v>
      </c>
      <c r="AE168" s="90">
        <f t="shared" si="184"/>
        <v>0</v>
      </c>
      <c r="AF168" s="90">
        <f t="shared" si="185"/>
        <v>0</v>
      </c>
      <c r="AG168" s="90">
        <f t="shared" si="186"/>
        <v>0</v>
      </c>
      <c r="AH168" s="90">
        <f t="shared" si="187"/>
        <v>0</v>
      </c>
      <c r="AI168" s="154" t="s">
        <v>59</v>
      </c>
      <c r="AJ168" s="90">
        <f t="shared" si="188"/>
        <v>0</v>
      </c>
      <c r="AK168" s="90">
        <f t="shared" si="189"/>
        <v>0</v>
      </c>
      <c r="AL168" s="90">
        <f t="shared" si="190"/>
        <v>0</v>
      </c>
      <c r="AN168" s="90">
        <v>15</v>
      </c>
      <c r="AO168" s="90">
        <f t="shared" si="191"/>
        <v>0</v>
      </c>
      <c r="AP168" s="90">
        <f t="shared" si="192"/>
        <v>740</v>
      </c>
      <c r="AQ168" s="91" t="s">
        <v>79</v>
      </c>
      <c r="AV168" s="90">
        <f t="shared" si="193"/>
        <v>0</v>
      </c>
      <c r="AW168" s="90">
        <f t="shared" si="194"/>
        <v>0</v>
      </c>
      <c r="AX168" s="90">
        <f t="shared" si="195"/>
        <v>0</v>
      </c>
      <c r="AY168" s="91" t="s">
        <v>649</v>
      </c>
      <c r="AZ168" s="91" t="s">
        <v>652</v>
      </c>
      <c r="BA168" s="154" t="s">
        <v>658</v>
      </c>
      <c r="BC168" s="90">
        <f t="shared" si="196"/>
        <v>0</v>
      </c>
      <c r="BD168" s="90">
        <f t="shared" si="197"/>
        <v>740</v>
      </c>
      <c r="BE168" s="90">
        <v>0</v>
      </c>
      <c r="BF168" s="90">
        <f t="shared" si="198"/>
        <v>0</v>
      </c>
      <c r="BH168" s="90">
        <f t="shared" si="199"/>
        <v>0</v>
      </c>
      <c r="BI168" s="90">
        <f t="shared" si="200"/>
        <v>0</v>
      </c>
      <c r="BJ168" s="90">
        <f t="shared" si="201"/>
        <v>0</v>
      </c>
    </row>
    <row r="169" spans="1:62" ht="12.75" hidden="1">
      <c r="A169" s="88" t="s">
        <v>217</v>
      </c>
      <c r="B169" s="88" t="s">
        <v>59</v>
      </c>
      <c r="C169" s="88" t="s">
        <v>391</v>
      </c>
      <c r="D169" s="88" t="s">
        <v>577</v>
      </c>
      <c r="E169" s="88" t="s">
        <v>614</v>
      </c>
      <c r="F169" s="90"/>
      <c r="G169" s="90">
        <v>960</v>
      </c>
      <c r="H169" s="90">
        <f t="shared" si="176"/>
        <v>0</v>
      </c>
      <c r="I169" s="90">
        <f t="shared" si="177"/>
        <v>0</v>
      </c>
      <c r="J169" s="90">
        <f t="shared" si="178"/>
        <v>0</v>
      </c>
      <c r="K169" s="90">
        <v>0</v>
      </c>
      <c r="L169" s="90">
        <f t="shared" si="179"/>
        <v>0</v>
      </c>
      <c r="M169" s="91" t="s">
        <v>622</v>
      </c>
      <c r="Z169" s="90">
        <f t="shared" si="180"/>
        <v>0</v>
      </c>
      <c r="AB169" s="90">
        <f t="shared" si="181"/>
        <v>0</v>
      </c>
      <c r="AC169" s="90">
        <f t="shared" si="182"/>
        <v>0</v>
      </c>
      <c r="AD169" s="90">
        <f t="shared" si="183"/>
        <v>0</v>
      </c>
      <c r="AE169" s="90">
        <f t="shared" si="184"/>
        <v>0</v>
      </c>
      <c r="AF169" s="90">
        <f t="shared" si="185"/>
        <v>0</v>
      </c>
      <c r="AG169" s="90">
        <f t="shared" si="186"/>
        <v>0</v>
      </c>
      <c r="AH169" s="90">
        <f t="shared" si="187"/>
        <v>0</v>
      </c>
      <c r="AI169" s="154" t="s">
        <v>59</v>
      </c>
      <c r="AJ169" s="90">
        <f t="shared" si="188"/>
        <v>0</v>
      </c>
      <c r="AK169" s="90">
        <f t="shared" si="189"/>
        <v>0</v>
      </c>
      <c r="AL169" s="90">
        <f t="shared" si="190"/>
        <v>0</v>
      </c>
      <c r="AN169" s="90">
        <v>15</v>
      </c>
      <c r="AO169" s="90">
        <f t="shared" si="191"/>
        <v>0</v>
      </c>
      <c r="AP169" s="90">
        <f t="shared" si="192"/>
        <v>960</v>
      </c>
      <c r="AQ169" s="91" t="s">
        <v>79</v>
      </c>
      <c r="AV169" s="90">
        <f t="shared" si="193"/>
        <v>0</v>
      </c>
      <c r="AW169" s="90">
        <f t="shared" si="194"/>
        <v>0</v>
      </c>
      <c r="AX169" s="90">
        <f t="shared" si="195"/>
        <v>0</v>
      </c>
      <c r="AY169" s="91" t="s">
        <v>649</v>
      </c>
      <c r="AZ169" s="91" t="s">
        <v>652</v>
      </c>
      <c r="BA169" s="154" t="s">
        <v>658</v>
      </c>
      <c r="BC169" s="90">
        <f t="shared" si="196"/>
        <v>0</v>
      </c>
      <c r="BD169" s="90">
        <f t="shared" si="197"/>
        <v>960</v>
      </c>
      <c r="BE169" s="90">
        <v>0</v>
      </c>
      <c r="BF169" s="90">
        <f t="shared" si="198"/>
        <v>0</v>
      </c>
      <c r="BH169" s="90">
        <f t="shared" si="199"/>
        <v>0</v>
      </c>
      <c r="BI169" s="90">
        <f t="shared" si="200"/>
        <v>0</v>
      </c>
      <c r="BJ169" s="90">
        <f t="shared" si="201"/>
        <v>0</v>
      </c>
    </row>
    <row r="170" spans="1:62" ht="12.75" hidden="1">
      <c r="A170" s="88" t="s">
        <v>218</v>
      </c>
      <c r="B170" s="88" t="s">
        <v>59</v>
      </c>
      <c r="C170" s="88" t="s">
        <v>392</v>
      </c>
      <c r="D170" s="88" t="s">
        <v>578</v>
      </c>
      <c r="E170" s="88" t="s">
        <v>611</v>
      </c>
      <c r="F170" s="90"/>
      <c r="G170" s="90">
        <v>350</v>
      </c>
      <c r="H170" s="90">
        <f t="shared" si="176"/>
        <v>0</v>
      </c>
      <c r="I170" s="90">
        <f t="shared" si="177"/>
        <v>0</v>
      </c>
      <c r="J170" s="90">
        <f t="shared" si="178"/>
        <v>0</v>
      </c>
      <c r="K170" s="90">
        <v>0</v>
      </c>
      <c r="L170" s="90">
        <f t="shared" si="179"/>
        <v>0</v>
      </c>
      <c r="M170" s="91" t="s">
        <v>622</v>
      </c>
      <c r="Z170" s="90">
        <f t="shared" si="180"/>
        <v>0</v>
      </c>
      <c r="AB170" s="90">
        <f t="shared" si="181"/>
        <v>0</v>
      </c>
      <c r="AC170" s="90">
        <f t="shared" si="182"/>
        <v>0</v>
      </c>
      <c r="AD170" s="90">
        <f t="shared" si="183"/>
        <v>0</v>
      </c>
      <c r="AE170" s="90">
        <f t="shared" si="184"/>
        <v>0</v>
      </c>
      <c r="AF170" s="90">
        <f t="shared" si="185"/>
        <v>0</v>
      </c>
      <c r="AG170" s="90">
        <f t="shared" si="186"/>
        <v>0</v>
      </c>
      <c r="AH170" s="90">
        <f t="shared" si="187"/>
        <v>0</v>
      </c>
      <c r="AI170" s="154" t="s">
        <v>59</v>
      </c>
      <c r="AJ170" s="90">
        <f t="shared" si="188"/>
        <v>0</v>
      </c>
      <c r="AK170" s="90">
        <f t="shared" si="189"/>
        <v>0</v>
      </c>
      <c r="AL170" s="90">
        <f t="shared" si="190"/>
        <v>0</v>
      </c>
      <c r="AN170" s="90">
        <v>15</v>
      </c>
      <c r="AO170" s="90">
        <f t="shared" si="191"/>
        <v>0</v>
      </c>
      <c r="AP170" s="90">
        <f t="shared" si="192"/>
        <v>350</v>
      </c>
      <c r="AQ170" s="91" t="s">
        <v>79</v>
      </c>
      <c r="AV170" s="90">
        <f t="shared" si="193"/>
        <v>0</v>
      </c>
      <c r="AW170" s="90">
        <f t="shared" si="194"/>
        <v>0</v>
      </c>
      <c r="AX170" s="90">
        <f t="shared" si="195"/>
        <v>0</v>
      </c>
      <c r="AY170" s="91" t="s">
        <v>649</v>
      </c>
      <c r="AZ170" s="91" t="s">
        <v>652</v>
      </c>
      <c r="BA170" s="154" t="s">
        <v>658</v>
      </c>
      <c r="BC170" s="90">
        <f t="shared" si="196"/>
        <v>0</v>
      </c>
      <c r="BD170" s="90">
        <f t="shared" si="197"/>
        <v>350</v>
      </c>
      <c r="BE170" s="90">
        <v>0</v>
      </c>
      <c r="BF170" s="90">
        <f t="shared" si="198"/>
        <v>0</v>
      </c>
      <c r="BH170" s="90">
        <f t="shared" si="199"/>
        <v>0</v>
      </c>
      <c r="BI170" s="90">
        <f t="shared" si="200"/>
        <v>0</v>
      </c>
      <c r="BJ170" s="90">
        <f t="shared" si="201"/>
        <v>0</v>
      </c>
    </row>
    <row r="171" spans="1:62" ht="12.75" hidden="1">
      <c r="A171" s="88" t="s">
        <v>219</v>
      </c>
      <c r="B171" s="88" t="s">
        <v>59</v>
      </c>
      <c r="C171" s="88" t="s">
        <v>393</v>
      </c>
      <c r="D171" s="88" t="s">
        <v>579</v>
      </c>
      <c r="E171" s="88" t="s">
        <v>609</v>
      </c>
      <c r="F171" s="90"/>
      <c r="G171" s="90">
        <v>10.2</v>
      </c>
      <c r="H171" s="90">
        <f t="shared" si="176"/>
        <v>0</v>
      </c>
      <c r="I171" s="90">
        <f t="shared" si="177"/>
        <v>0</v>
      </c>
      <c r="J171" s="90">
        <f t="shared" si="178"/>
        <v>0</v>
      </c>
      <c r="K171" s="90">
        <v>0</v>
      </c>
      <c r="L171" s="90">
        <f t="shared" si="179"/>
        <v>0</v>
      </c>
      <c r="M171" s="91" t="s">
        <v>622</v>
      </c>
      <c r="Z171" s="90">
        <f t="shared" si="180"/>
        <v>0</v>
      </c>
      <c r="AB171" s="90">
        <f t="shared" si="181"/>
        <v>0</v>
      </c>
      <c r="AC171" s="90">
        <f t="shared" si="182"/>
        <v>0</v>
      </c>
      <c r="AD171" s="90">
        <f t="shared" si="183"/>
        <v>0</v>
      </c>
      <c r="AE171" s="90">
        <f t="shared" si="184"/>
        <v>0</v>
      </c>
      <c r="AF171" s="90">
        <f t="shared" si="185"/>
        <v>0</v>
      </c>
      <c r="AG171" s="90">
        <f t="shared" si="186"/>
        <v>0</v>
      </c>
      <c r="AH171" s="90">
        <f t="shared" si="187"/>
        <v>0</v>
      </c>
      <c r="AI171" s="154" t="s">
        <v>59</v>
      </c>
      <c r="AJ171" s="90">
        <f t="shared" si="188"/>
        <v>0</v>
      </c>
      <c r="AK171" s="90">
        <f t="shared" si="189"/>
        <v>0</v>
      </c>
      <c r="AL171" s="90">
        <f t="shared" si="190"/>
        <v>0</v>
      </c>
      <c r="AN171" s="90">
        <v>15</v>
      </c>
      <c r="AO171" s="90">
        <f t="shared" si="191"/>
        <v>0</v>
      </c>
      <c r="AP171" s="90">
        <f t="shared" si="192"/>
        <v>10.2</v>
      </c>
      <c r="AQ171" s="91" t="s">
        <v>79</v>
      </c>
      <c r="AV171" s="90">
        <f t="shared" si="193"/>
        <v>0</v>
      </c>
      <c r="AW171" s="90">
        <f t="shared" si="194"/>
        <v>0</v>
      </c>
      <c r="AX171" s="90">
        <f t="shared" si="195"/>
        <v>0</v>
      </c>
      <c r="AY171" s="91" t="s">
        <v>649</v>
      </c>
      <c r="AZ171" s="91" t="s">
        <v>652</v>
      </c>
      <c r="BA171" s="154" t="s">
        <v>658</v>
      </c>
      <c r="BC171" s="90">
        <f t="shared" si="196"/>
        <v>0</v>
      </c>
      <c r="BD171" s="90">
        <f t="shared" si="197"/>
        <v>10.2</v>
      </c>
      <c r="BE171" s="90">
        <v>0</v>
      </c>
      <c r="BF171" s="90">
        <f t="shared" si="198"/>
        <v>0</v>
      </c>
      <c r="BH171" s="90">
        <f t="shared" si="199"/>
        <v>0</v>
      </c>
      <c r="BI171" s="90">
        <f t="shared" si="200"/>
        <v>0</v>
      </c>
      <c r="BJ171" s="90">
        <f t="shared" si="201"/>
        <v>0</v>
      </c>
    </row>
    <row r="172" spans="1:62" ht="12.75" hidden="1">
      <c r="A172" s="88" t="s">
        <v>220</v>
      </c>
      <c r="B172" s="88" t="s">
        <v>59</v>
      </c>
      <c r="C172" s="88" t="s">
        <v>394</v>
      </c>
      <c r="D172" s="88" t="s">
        <v>580</v>
      </c>
      <c r="E172" s="88" t="s">
        <v>609</v>
      </c>
      <c r="F172" s="90"/>
      <c r="G172" s="90">
        <v>12.3</v>
      </c>
      <c r="H172" s="90">
        <f t="shared" si="176"/>
        <v>0</v>
      </c>
      <c r="I172" s="90">
        <f t="shared" si="177"/>
        <v>0</v>
      </c>
      <c r="J172" s="90">
        <f t="shared" si="178"/>
        <v>0</v>
      </c>
      <c r="K172" s="90">
        <v>0</v>
      </c>
      <c r="L172" s="90">
        <f t="shared" si="179"/>
        <v>0</v>
      </c>
      <c r="M172" s="91" t="s">
        <v>622</v>
      </c>
      <c r="Z172" s="90">
        <f t="shared" si="180"/>
        <v>0</v>
      </c>
      <c r="AB172" s="90">
        <f t="shared" si="181"/>
        <v>0</v>
      </c>
      <c r="AC172" s="90">
        <f t="shared" si="182"/>
        <v>0</v>
      </c>
      <c r="AD172" s="90">
        <f t="shared" si="183"/>
        <v>0</v>
      </c>
      <c r="AE172" s="90">
        <f t="shared" si="184"/>
        <v>0</v>
      </c>
      <c r="AF172" s="90">
        <f t="shared" si="185"/>
        <v>0</v>
      </c>
      <c r="AG172" s="90">
        <f t="shared" si="186"/>
        <v>0</v>
      </c>
      <c r="AH172" s="90">
        <f t="shared" si="187"/>
        <v>0</v>
      </c>
      <c r="AI172" s="154" t="s">
        <v>59</v>
      </c>
      <c r="AJ172" s="90">
        <f t="shared" si="188"/>
        <v>0</v>
      </c>
      <c r="AK172" s="90">
        <f t="shared" si="189"/>
        <v>0</v>
      </c>
      <c r="AL172" s="90">
        <f t="shared" si="190"/>
        <v>0</v>
      </c>
      <c r="AN172" s="90">
        <v>15</v>
      </c>
      <c r="AO172" s="90">
        <f t="shared" si="191"/>
        <v>0</v>
      </c>
      <c r="AP172" s="90">
        <f t="shared" si="192"/>
        <v>12.3</v>
      </c>
      <c r="AQ172" s="91" t="s">
        <v>79</v>
      </c>
      <c r="AV172" s="90">
        <f t="shared" si="193"/>
        <v>0</v>
      </c>
      <c r="AW172" s="90">
        <f t="shared" si="194"/>
        <v>0</v>
      </c>
      <c r="AX172" s="90">
        <f t="shared" si="195"/>
        <v>0</v>
      </c>
      <c r="AY172" s="91" t="s">
        <v>649</v>
      </c>
      <c r="AZ172" s="91" t="s">
        <v>652</v>
      </c>
      <c r="BA172" s="154" t="s">
        <v>658</v>
      </c>
      <c r="BC172" s="90">
        <f t="shared" si="196"/>
        <v>0</v>
      </c>
      <c r="BD172" s="90">
        <f t="shared" si="197"/>
        <v>12.3</v>
      </c>
      <c r="BE172" s="90">
        <v>0</v>
      </c>
      <c r="BF172" s="90">
        <f t="shared" si="198"/>
        <v>0</v>
      </c>
      <c r="BH172" s="90">
        <f t="shared" si="199"/>
        <v>0</v>
      </c>
      <c r="BI172" s="90">
        <f t="shared" si="200"/>
        <v>0</v>
      </c>
      <c r="BJ172" s="90">
        <f t="shared" si="201"/>
        <v>0</v>
      </c>
    </row>
    <row r="173" spans="1:62" ht="12.75" hidden="1">
      <c r="A173" s="88" t="s">
        <v>221</v>
      </c>
      <c r="B173" s="88" t="s">
        <v>59</v>
      </c>
      <c r="C173" s="88" t="s">
        <v>395</v>
      </c>
      <c r="D173" s="88" t="s">
        <v>581</v>
      </c>
      <c r="E173" s="88" t="s">
        <v>613</v>
      </c>
      <c r="F173" s="90"/>
      <c r="G173" s="90">
        <v>55.9</v>
      </c>
      <c r="H173" s="90">
        <f t="shared" si="176"/>
        <v>0</v>
      </c>
      <c r="I173" s="90">
        <f t="shared" si="177"/>
        <v>0</v>
      </c>
      <c r="J173" s="90">
        <f t="shared" si="178"/>
        <v>0</v>
      </c>
      <c r="K173" s="90">
        <v>0</v>
      </c>
      <c r="L173" s="90">
        <f t="shared" si="179"/>
        <v>0</v>
      </c>
      <c r="M173" s="91" t="s">
        <v>622</v>
      </c>
      <c r="Z173" s="90">
        <f t="shared" si="180"/>
        <v>0</v>
      </c>
      <c r="AB173" s="90">
        <f t="shared" si="181"/>
        <v>0</v>
      </c>
      <c r="AC173" s="90">
        <f t="shared" si="182"/>
        <v>0</v>
      </c>
      <c r="AD173" s="90">
        <f t="shared" si="183"/>
        <v>0</v>
      </c>
      <c r="AE173" s="90">
        <f t="shared" si="184"/>
        <v>0</v>
      </c>
      <c r="AF173" s="90">
        <f t="shared" si="185"/>
        <v>0</v>
      </c>
      <c r="AG173" s="90">
        <f t="shared" si="186"/>
        <v>0</v>
      </c>
      <c r="AH173" s="90">
        <f t="shared" si="187"/>
        <v>0</v>
      </c>
      <c r="AI173" s="154" t="s">
        <v>59</v>
      </c>
      <c r="AJ173" s="90">
        <f t="shared" si="188"/>
        <v>0</v>
      </c>
      <c r="AK173" s="90">
        <f t="shared" si="189"/>
        <v>0</v>
      </c>
      <c r="AL173" s="90">
        <f t="shared" si="190"/>
        <v>0</v>
      </c>
      <c r="AN173" s="90">
        <v>15</v>
      </c>
      <c r="AO173" s="90">
        <f t="shared" si="191"/>
        <v>0</v>
      </c>
      <c r="AP173" s="90">
        <f t="shared" si="192"/>
        <v>55.9</v>
      </c>
      <c r="AQ173" s="91" t="s">
        <v>79</v>
      </c>
      <c r="AV173" s="90">
        <f t="shared" si="193"/>
        <v>0</v>
      </c>
      <c r="AW173" s="90">
        <f t="shared" si="194"/>
        <v>0</v>
      </c>
      <c r="AX173" s="90">
        <f t="shared" si="195"/>
        <v>0</v>
      </c>
      <c r="AY173" s="91" t="s">
        <v>649</v>
      </c>
      <c r="AZ173" s="91" t="s">
        <v>652</v>
      </c>
      <c r="BA173" s="154" t="s">
        <v>658</v>
      </c>
      <c r="BC173" s="90">
        <f t="shared" si="196"/>
        <v>0</v>
      </c>
      <c r="BD173" s="90">
        <f t="shared" si="197"/>
        <v>55.89999999999999</v>
      </c>
      <c r="BE173" s="90">
        <v>0</v>
      </c>
      <c r="BF173" s="90">
        <f t="shared" si="198"/>
        <v>0</v>
      </c>
      <c r="BH173" s="90">
        <f t="shared" si="199"/>
        <v>0</v>
      </c>
      <c r="BI173" s="90">
        <f t="shared" si="200"/>
        <v>0</v>
      </c>
      <c r="BJ173" s="90">
        <f t="shared" si="201"/>
        <v>0</v>
      </c>
    </row>
    <row r="174" spans="1:62" ht="12.75" hidden="1">
      <c r="A174" s="88" t="s">
        <v>222</v>
      </c>
      <c r="B174" s="88" t="s">
        <v>59</v>
      </c>
      <c r="C174" s="88" t="s">
        <v>396</v>
      </c>
      <c r="D174" s="88" t="s">
        <v>582</v>
      </c>
      <c r="E174" s="88" t="s">
        <v>606</v>
      </c>
      <c r="F174" s="90"/>
      <c r="G174" s="90">
        <v>26.3</v>
      </c>
      <c r="H174" s="90">
        <f t="shared" si="176"/>
        <v>0</v>
      </c>
      <c r="I174" s="90">
        <f t="shared" si="177"/>
        <v>0</v>
      </c>
      <c r="J174" s="90">
        <f t="shared" si="178"/>
        <v>0</v>
      </c>
      <c r="K174" s="90">
        <v>0</v>
      </c>
      <c r="L174" s="90">
        <f t="shared" si="179"/>
        <v>0</v>
      </c>
      <c r="M174" s="91" t="s">
        <v>622</v>
      </c>
      <c r="Z174" s="90">
        <f t="shared" si="180"/>
        <v>0</v>
      </c>
      <c r="AB174" s="90">
        <f t="shared" si="181"/>
        <v>0</v>
      </c>
      <c r="AC174" s="90">
        <f t="shared" si="182"/>
        <v>0</v>
      </c>
      <c r="AD174" s="90">
        <f t="shared" si="183"/>
        <v>0</v>
      </c>
      <c r="AE174" s="90">
        <f t="shared" si="184"/>
        <v>0</v>
      </c>
      <c r="AF174" s="90">
        <f t="shared" si="185"/>
        <v>0</v>
      </c>
      <c r="AG174" s="90">
        <f t="shared" si="186"/>
        <v>0</v>
      </c>
      <c r="AH174" s="90">
        <f t="shared" si="187"/>
        <v>0</v>
      </c>
      <c r="AI174" s="154" t="s">
        <v>59</v>
      </c>
      <c r="AJ174" s="90">
        <f t="shared" si="188"/>
        <v>0</v>
      </c>
      <c r="AK174" s="90">
        <f t="shared" si="189"/>
        <v>0</v>
      </c>
      <c r="AL174" s="90">
        <f t="shared" si="190"/>
        <v>0</v>
      </c>
      <c r="AN174" s="90">
        <v>15</v>
      </c>
      <c r="AO174" s="90">
        <f t="shared" si="191"/>
        <v>0</v>
      </c>
      <c r="AP174" s="90">
        <f t="shared" si="192"/>
        <v>26.3</v>
      </c>
      <c r="AQ174" s="91" t="s">
        <v>79</v>
      </c>
      <c r="AV174" s="90">
        <f t="shared" si="193"/>
        <v>0</v>
      </c>
      <c r="AW174" s="90">
        <f t="shared" si="194"/>
        <v>0</v>
      </c>
      <c r="AX174" s="90">
        <f t="shared" si="195"/>
        <v>0</v>
      </c>
      <c r="AY174" s="91" t="s">
        <v>649</v>
      </c>
      <c r="AZ174" s="91" t="s">
        <v>652</v>
      </c>
      <c r="BA174" s="154" t="s">
        <v>658</v>
      </c>
      <c r="BC174" s="90">
        <f t="shared" si="196"/>
        <v>0</v>
      </c>
      <c r="BD174" s="90">
        <f t="shared" si="197"/>
        <v>26.3</v>
      </c>
      <c r="BE174" s="90">
        <v>0</v>
      </c>
      <c r="BF174" s="90">
        <f t="shared" si="198"/>
        <v>0</v>
      </c>
      <c r="BH174" s="90">
        <f t="shared" si="199"/>
        <v>0</v>
      </c>
      <c r="BI174" s="90">
        <f t="shared" si="200"/>
        <v>0</v>
      </c>
      <c r="BJ174" s="90">
        <f t="shared" si="201"/>
        <v>0</v>
      </c>
    </row>
    <row r="175" spans="1:62" ht="12.75" hidden="1">
      <c r="A175" s="88" t="s">
        <v>223</v>
      </c>
      <c r="B175" s="88" t="s">
        <v>59</v>
      </c>
      <c r="C175" s="88" t="s">
        <v>397</v>
      </c>
      <c r="D175" s="88" t="s">
        <v>583</v>
      </c>
      <c r="E175" s="88" t="s">
        <v>609</v>
      </c>
      <c r="F175" s="90"/>
      <c r="G175" s="90">
        <v>17.9</v>
      </c>
      <c r="H175" s="90">
        <f t="shared" si="176"/>
        <v>0</v>
      </c>
      <c r="I175" s="90">
        <f t="shared" si="177"/>
        <v>0</v>
      </c>
      <c r="J175" s="90">
        <f t="shared" si="178"/>
        <v>0</v>
      </c>
      <c r="K175" s="90">
        <v>0</v>
      </c>
      <c r="L175" s="90">
        <f t="shared" si="179"/>
        <v>0</v>
      </c>
      <c r="M175" s="91" t="s">
        <v>622</v>
      </c>
      <c r="Z175" s="90">
        <f t="shared" si="180"/>
        <v>0</v>
      </c>
      <c r="AB175" s="90">
        <f t="shared" si="181"/>
        <v>0</v>
      </c>
      <c r="AC175" s="90">
        <f t="shared" si="182"/>
        <v>0</v>
      </c>
      <c r="AD175" s="90">
        <f t="shared" si="183"/>
        <v>0</v>
      </c>
      <c r="AE175" s="90">
        <f t="shared" si="184"/>
        <v>0</v>
      </c>
      <c r="AF175" s="90">
        <f t="shared" si="185"/>
        <v>0</v>
      </c>
      <c r="AG175" s="90">
        <f t="shared" si="186"/>
        <v>0</v>
      </c>
      <c r="AH175" s="90">
        <f t="shared" si="187"/>
        <v>0</v>
      </c>
      <c r="AI175" s="154" t="s">
        <v>59</v>
      </c>
      <c r="AJ175" s="90">
        <f t="shared" si="188"/>
        <v>0</v>
      </c>
      <c r="AK175" s="90">
        <f t="shared" si="189"/>
        <v>0</v>
      </c>
      <c r="AL175" s="90">
        <f t="shared" si="190"/>
        <v>0</v>
      </c>
      <c r="AN175" s="90">
        <v>15</v>
      </c>
      <c r="AO175" s="90">
        <f t="shared" si="191"/>
        <v>0</v>
      </c>
      <c r="AP175" s="90">
        <f t="shared" si="192"/>
        <v>17.9</v>
      </c>
      <c r="AQ175" s="91" t="s">
        <v>79</v>
      </c>
      <c r="AV175" s="90">
        <f t="shared" si="193"/>
        <v>0</v>
      </c>
      <c r="AW175" s="90">
        <f t="shared" si="194"/>
        <v>0</v>
      </c>
      <c r="AX175" s="90">
        <f t="shared" si="195"/>
        <v>0</v>
      </c>
      <c r="AY175" s="91" t="s">
        <v>649</v>
      </c>
      <c r="AZ175" s="91" t="s">
        <v>652</v>
      </c>
      <c r="BA175" s="154" t="s">
        <v>658</v>
      </c>
      <c r="BC175" s="90">
        <f t="shared" si="196"/>
        <v>0</v>
      </c>
      <c r="BD175" s="90">
        <f t="shared" si="197"/>
        <v>17.9</v>
      </c>
      <c r="BE175" s="90">
        <v>0</v>
      </c>
      <c r="BF175" s="90">
        <f t="shared" si="198"/>
        <v>0</v>
      </c>
      <c r="BH175" s="90">
        <f t="shared" si="199"/>
        <v>0</v>
      </c>
      <c r="BI175" s="90">
        <f t="shared" si="200"/>
        <v>0</v>
      </c>
      <c r="BJ175" s="90">
        <f t="shared" si="201"/>
        <v>0</v>
      </c>
    </row>
    <row r="176" spans="1:62" ht="12.75" hidden="1">
      <c r="A176" s="88" t="s">
        <v>224</v>
      </c>
      <c r="B176" s="88" t="s">
        <v>59</v>
      </c>
      <c r="C176" s="88" t="s">
        <v>398</v>
      </c>
      <c r="D176" s="88" t="s">
        <v>584</v>
      </c>
      <c r="E176" s="88" t="s">
        <v>609</v>
      </c>
      <c r="F176" s="90"/>
      <c r="G176" s="90">
        <v>15.9</v>
      </c>
      <c r="H176" s="90">
        <f t="shared" si="176"/>
        <v>0</v>
      </c>
      <c r="I176" s="90">
        <f t="shared" si="177"/>
        <v>0</v>
      </c>
      <c r="J176" s="90">
        <f t="shared" si="178"/>
        <v>0</v>
      </c>
      <c r="K176" s="90">
        <v>0</v>
      </c>
      <c r="L176" s="90">
        <f t="shared" si="179"/>
        <v>0</v>
      </c>
      <c r="M176" s="91" t="s">
        <v>622</v>
      </c>
      <c r="Z176" s="90">
        <f t="shared" si="180"/>
        <v>0</v>
      </c>
      <c r="AB176" s="90">
        <f t="shared" si="181"/>
        <v>0</v>
      </c>
      <c r="AC176" s="90">
        <f t="shared" si="182"/>
        <v>0</v>
      </c>
      <c r="AD176" s="90">
        <f t="shared" si="183"/>
        <v>0</v>
      </c>
      <c r="AE176" s="90">
        <f t="shared" si="184"/>
        <v>0</v>
      </c>
      <c r="AF176" s="90">
        <f t="shared" si="185"/>
        <v>0</v>
      </c>
      <c r="AG176" s="90">
        <f t="shared" si="186"/>
        <v>0</v>
      </c>
      <c r="AH176" s="90">
        <f t="shared" si="187"/>
        <v>0</v>
      </c>
      <c r="AI176" s="154" t="s">
        <v>59</v>
      </c>
      <c r="AJ176" s="90">
        <f t="shared" si="188"/>
        <v>0</v>
      </c>
      <c r="AK176" s="90">
        <f t="shared" si="189"/>
        <v>0</v>
      </c>
      <c r="AL176" s="90">
        <f t="shared" si="190"/>
        <v>0</v>
      </c>
      <c r="AN176" s="90">
        <v>15</v>
      </c>
      <c r="AO176" s="90">
        <f t="shared" si="191"/>
        <v>0</v>
      </c>
      <c r="AP176" s="90">
        <f t="shared" si="192"/>
        <v>15.9</v>
      </c>
      <c r="AQ176" s="91" t="s">
        <v>79</v>
      </c>
      <c r="AV176" s="90">
        <f t="shared" si="193"/>
        <v>0</v>
      </c>
      <c r="AW176" s="90">
        <f t="shared" si="194"/>
        <v>0</v>
      </c>
      <c r="AX176" s="90">
        <f t="shared" si="195"/>
        <v>0</v>
      </c>
      <c r="AY176" s="91" t="s">
        <v>649</v>
      </c>
      <c r="AZ176" s="91" t="s">
        <v>652</v>
      </c>
      <c r="BA176" s="154" t="s">
        <v>658</v>
      </c>
      <c r="BC176" s="90">
        <f t="shared" si="196"/>
        <v>0</v>
      </c>
      <c r="BD176" s="90">
        <f t="shared" si="197"/>
        <v>15.9</v>
      </c>
      <c r="BE176" s="90">
        <v>0</v>
      </c>
      <c r="BF176" s="90">
        <f t="shared" si="198"/>
        <v>0</v>
      </c>
      <c r="BH176" s="90">
        <f t="shared" si="199"/>
        <v>0</v>
      </c>
      <c r="BI176" s="90">
        <f t="shared" si="200"/>
        <v>0</v>
      </c>
      <c r="BJ176" s="90">
        <f t="shared" si="201"/>
        <v>0</v>
      </c>
    </row>
    <row r="177" spans="1:62" ht="12.75" hidden="1">
      <c r="A177" s="88" t="s">
        <v>225</v>
      </c>
      <c r="B177" s="88" t="s">
        <v>59</v>
      </c>
      <c r="C177" s="88" t="s">
        <v>399</v>
      </c>
      <c r="D177" s="88" t="s">
        <v>585</v>
      </c>
      <c r="E177" s="88" t="s">
        <v>606</v>
      </c>
      <c r="F177" s="90"/>
      <c r="G177" s="90">
        <v>16</v>
      </c>
      <c r="H177" s="90">
        <f t="shared" si="176"/>
        <v>0</v>
      </c>
      <c r="I177" s="90">
        <f t="shared" si="177"/>
        <v>0</v>
      </c>
      <c r="J177" s="90">
        <f t="shared" si="178"/>
        <v>0</v>
      </c>
      <c r="K177" s="90">
        <v>0</v>
      </c>
      <c r="L177" s="90">
        <f t="shared" si="179"/>
        <v>0</v>
      </c>
      <c r="M177" s="91" t="s">
        <v>622</v>
      </c>
      <c r="Z177" s="90">
        <f t="shared" si="180"/>
        <v>0</v>
      </c>
      <c r="AB177" s="90">
        <f t="shared" si="181"/>
        <v>0</v>
      </c>
      <c r="AC177" s="90">
        <f t="shared" si="182"/>
        <v>0</v>
      </c>
      <c r="AD177" s="90">
        <f t="shared" si="183"/>
        <v>0</v>
      </c>
      <c r="AE177" s="90">
        <f t="shared" si="184"/>
        <v>0</v>
      </c>
      <c r="AF177" s="90">
        <f t="shared" si="185"/>
        <v>0</v>
      </c>
      <c r="AG177" s="90">
        <f t="shared" si="186"/>
        <v>0</v>
      </c>
      <c r="AH177" s="90">
        <f t="shared" si="187"/>
        <v>0</v>
      </c>
      <c r="AI177" s="154" t="s">
        <v>59</v>
      </c>
      <c r="AJ177" s="90">
        <f t="shared" si="188"/>
        <v>0</v>
      </c>
      <c r="AK177" s="90">
        <f t="shared" si="189"/>
        <v>0</v>
      </c>
      <c r="AL177" s="90">
        <f t="shared" si="190"/>
        <v>0</v>
      </c>
      <c r="AN177" s="90">
        <v>15</v>
      </c>
      <c r="AO177" s="90">
        <f t="shared" si="191"/>
        <v>0</v>
      </c>
      <c r="AP177" s="90">
        <f t="shared" si="192"/>
        <v>16</v>
      </c>
      <c r="AQ177" s="91" t="s">
        <v>79</v>
      </c>
      <c r="AV177" s="90">
        <f t="shared" si="193"/>
        <v>0</v>
      </c>
      <c r="AW177" s="90">
        <f t="shared" si="194"/>
        <v>0</v>
      </c>
      <c r="AX177" s="90">
        <f t="shared" si="195"/>
        <v>0</v>
      </c>
      <c r="AY177" s="91" t="s">
        <v>649</v>
      </c>
      <c r="AZ177" s="91" t="s">
        <v>652</v>
      </c>
      <c r="BA177" s="154" t="s">
        <v>658</v>
      </c>
      <c r="BC177" s="90">
        <f t="shared" si="196"/>
        <v>0</v>
      </c>
      <c r="BD177" s="90">
        <f t="shared" si="197"/>
        <v>16</v>
      </c>
      <c r="BE177" s="90">
        <v>0</v>
      </c>
      <c r="BF177" s="90">
        <f t="shared" si="198"/>
        <v>0</v>
      </c>
      <c r="BH177" s="90">
        <f t="shared" si="199"/>
        <v>0</v>
      </c>
      <c r="BI177" s="90">
        <f t="shared" si="200"/>
        <v>0</v>
      </c>
      <c r="BJ177" s="90">
        <f t="shared" si="201"/>
        <v>0</v>
      </c>
    </row>
    <row r="178" spans="1:62" ht="12.75" hidden="1">
      <c r="A178" s="88" t="s">
        <v>226</v>
      </c>
      <c r="B178" s="88" t="s">
        <v>59</v>
      </c>
      <c r="C178" s="88" t="s">
        <v>400</v>
      </c>
      <c r="D178" s="88" t="s">
        <v>586</v>
      </c>
      <c r="E178" s="88" t="s">
        <v>613</v>
      </c>
      <c r="F178" s="90"/>
      <c r="G178" s="90">
        <v>9.5</v>
      </c>
      <c r="H178" s="90">
        <f t="shared" si="176"/>
        <v>0</v>
      </c>
      <c r="I178" s="90">
        <f t="shared" si="177"/>
        <v>0</v>
      </c>
      <c r="J178" s="90">
        <f t="shared" si="178"/>
        <v>0</v>
      </c>
      <c r="K178" s="90">
        <v>0</v>
      </c>
      <c r="L178" s="90">
        <f t="shared" si="179"/>
        <v>0</v>
      </c>
      <c r="M178" s="91" t="s">
        <v>622</v>
      </c>
      <c r="Z178" s="90">
        <f t="shared" si="180"/>
        <v>0</v>
      </c>
      <c r="AB178" s="90">
        <f t="shared" si="181"/>
        <v>0</v>
      </c>
      <c r="AC178" s="90">
        <f t="shared" si="182"/>
        <v>0</v>
      </c>
      <c r="AD178" s="90">
        <f t="shared" si="183"/>
        <v>0</v>
      </c>
      <c r="AE178" s="90">
        <f t="shared" si="184"/>
        <v>0</v>
      </c>
      <c r="AF178" s="90">
        <f t="shared" si="185"/>
        <v>0</v>
      </c>
      <c r="AG178" s="90">
        <f t="shared" si="186"/>
        <v>0</v>
      </c>
      <c r="AH178" s="90">
        <f t="shared" si="187"/>
        <v>0</v>
      </c>
      <c r="AI178" s="154" t="s">
        <v>59</v>
      </c>
      <c r="AJ178" s="90">
        <f t="shared" si="188"/>
        <v>0</v>
      </c>
      <c r="AK178" s="90">
        <f t="shared" si="189"/>
        <v>0</v>
      </c>
      <c r="AL178" s="90">
        <f t="shared" si="190"/>
        <v>0</v>
      </c>
      <c r="AN178" s="90">
        <v>15</v>
      </c>
      <c r="AO178" s="90">
        <f t="shared" si="191"/>
        <v>0</v>
      </c>
      <c r="AP178" s="90">
        <f t="shared" si="192"/>
        <v>9.5</v>
      </c>
      <c r="AQ178" s="91" t="s">
        <v>79</v>
      </c>
      <c r="AV178" s="90">
        <f t="shared" si="193"/>
        <v>0</v>
      </c>
      <c r="AW178" s="90">
        <f t="shared" si="194"/>
        <v>0</v>
      </c>
      <c r="AX178" s="90">
        <f t="shared" si="195"/>
        <v>0</v>
      </c>
      <c r="AY178" s="91" t="s">
        <v>649</v>
      </c>
      <c r="AZ178" s="91" t="s">
        <v>652</v>
      </c>
      <c r="BA178" s="154" t="s">
        <v>658</v>
      </c>
      <c r="BC178" s="90">
        <f t="shared" si="196"/>
        <v>0</v>
      </c>
      <c r="BD178" s="90">
        <f t="shared" si="197"/>
        <v>9.5</v>
      </c>
      <c r="BE178" s="90">
        <v>0</v>
      </c>
      <c r="BF178" s="90">
        <f t="shared" si="198"/>
        <v>0</v>
      </c>
      <c r="BH178" s="90">
        <f t="shared" si="199"/>
        <v>0</v>
      </c>
      <c r="BI178" s="90">
        <f t="shared" si="200"/>
        <v>0</v>
      </c>
      <c r="BJ178" s="90">
        <f t="shared" si="201"/>
        <v>0</v>
      </c>
    </row>
    <row r="179" spans="1:62" ht="12.75" hidden="1">
      <c r="A179" s="88" t="s">
        <v>227</v>
      </c>
      <c r="B179" s="88" t="s">
        <v>59</v>
      </c>
      <c r="C179" s="88" t="s">
        <v>401</v>
      </c>
      <c r="D179" s="88" t="s">
        <v>587</v>
      </c>
      <c r="E179" s="88" t="s">
        <v>613</v>
      </c>
      <c r="F179" s="90"/>
      <c r="G179" s="90">
        <v>6.5</v>
      </c>
      <c r="H179" s="90">
        <f t="shared" si="176"/>
        <v>0</v>
      </c>
      <c r="I179" s="90">
        <f t="shared" si="177"/>
        <v>0</v>
      </c>
      <c r="J179" s="90">
        <f t="shared" si="178"/>
        <v>0</v>
      </c>
      <c r="K179" s="90">
        <v>0</v>
      </c>
      <c r="L179" s="90">
        <f t="shared" si="179"/>
        <v>0</v>
      </c>
      <c r="M179" s="91" t="s">
        <v>622</v>
      </c>
      <c r="Z179" s="90">
        <f t="shared" si="180"/>
        <v>0</v>
      </c>
      <c r="AB179" s="90">
        <f t="shared" si="181"/>
        <v>0</v>
      </c>
      <c r="AC179" s="90">
        <f t="shared" si="182"/>
        <v>0</v>
      </c>
      <c r="AD179" s="90">
        <f t="shared" si="183"/>
        <v>0</v>
      </c>
      <c r="AE179" s="90">
        <f t="shared" si="184"/>
        <v>0</v>
      </c>
      <c r="AF179" s="90">
        <f t="shared" si="185"/>
        <v>0</v>
      </c>
      <c r="AG179" s="90">
        <f t="shared" si="186"/>
        <v>0</v>
      </c>
      <c r="AH179" s="90">
        <f t="shared" si="187"/>
        <v>0</v>
      </c>
      <c r="AI179" s="154" t="s">
        <v>59</v>
      </c>
      <c r="AJ179" s="90">
        <f t="shared" si="188"/>
        <v>0</v>
      </c>
      <c r="AK179" s="90">
        <f t="shared" si="189"/>
        <v>0</v>
      </c>
      <c r="AL179" s="90">
        <f t="shared" si="190"/>
        <v>0</v>
      </c>
      <c r="AN179" s="90">
        <v>15</v>
      </c>
      <c r="AO179" s="90">
        <f t="shared" si="191"/>
        <v>0</v>
      </c>
      <c r="AP179" s="90">
        <f t="shared" si="192"/>
        <v>6.5</v>
      </c>
      <c r="AQ179" s="91" t="s">
        <v>79</v>
      </c>
      <c r="AV179" s="90">
        <f t="shared" si="193"/>
        <v>0</v>
      </c>
      <c r="AW179" s="90">
        <f t="shared" si="194"/>
        <v>0</v>
      </c>
      <c r="AX179" s="90">
        <f t="shared" si="195"/>
        <v>0</v>
      </c>
      <c r="AY179" s="91" t="s">
        <v>649</v>
      </c>
      <c r="AZ179" s="91" t="s">
        <v>652</v>
      </c>
      <c r="BA179" s="154" t="s">
        <v>658</v>
      </c>
      <c r="BC179" s="90">
        <f t="shared" si="196"/>
        <v>0</v>
      </c>
      <c r="BD179" s="90">
        <f t="shared" si="197"/>
        <v>6.5</v>
      </c>
      <c r="BE179" s="90">
        <v>0</v>
      </c>
      <c r="BF179" s="90">
        <f t="shared" si="198"/>
        <v>0</v>
      </c>
      <c r="BH179" s="90">
        <f t="shared" si="199"/>
        <v>0</v>
      </c>
      <c r="BI179" s="90">
        <f t="shared" si="200"/>
        <v>0</v>
      </c>
      <c r="BJ179" s="90">
        <f t="shared" si="201"/>
        <v>0</v>
      </c>
    </row>
    <row r="180" spans="1:62" ht="12.75" hidden="1">
      <c r="A180" s="88" t="s">
        <v>228</v>
      </c>
      <c r="B180" s="88" t="s">
        <v>59</v>
      </c>
      <c r="C180" s="88" t="s">
        <v>402</v>
      </c>
      <c r="D180" s="88" t="s">
        <v>588</v>
      </c>
      <c r="E180" s="88" t="s">
        <v>615</v>
      </c>
      <c r="F180" s="90"/>
      <c r="G180" s="90">
        <v>52</v>
      </c>
      <c r="H180" s="90">
        <f t="shared" si="176"/>
        <v>0</v>
      </c>
      <c r="I180" s="90">
        <f t="shared" si="177"/>
        <v>0</v>
      </c>
      <c r="J180" s="90">
        <f t="shared" si="178"/>
        <v>0</v>
      </c>
      <c r="K180" s="90">
        <v>0</v>
      </c>
      <c r="L180" s="90">
        <f t="shared" si="179"/>
        <v>0</v>
      </c>
      <c r="M180" s="91" t="s">
        <v>622</v>
      </c>
      <c r="Z180" s="90">
        <f t="shared" si="180"/>
        <v>0</v>
      </c>
      <c r="AB180" s="90">
        <f t="shared" si="181"/>
        <v>0</v>
      </c>
      <c r="AC180" s="90">
        <f t="shared" si="182"/>
        <v>0</v>
      </c>
      <c r="AD180" s="90">
        <f t="shared" si="183"/>
        <v>0</v>
      </c>
      <c r="AE180" s="90">
        <f t="shared" si="184"/>
        <v>0</v>
      </c>
      <c r="AF180" s="90">
        <f t="shared" si="185"/>
        <v>0</v>
      </c>
      <c r="AG180" s="90">
        <f t="shared" si="186"/>
        <v>0</v>
      </c>
      <c r="AH180" s="90">
        <f t="shared" si="187"/>
        <v>0</v>
      </c>
      <c r="AI180" s="154" t="s">
        <v>59</v>
      </c>
      <c r="AJ180" s="90">
        <f t="shared" si="188"/>
        <v>0</v>
      </c>
      <c r="AK180" s="90">
        <f t="shared" si="189"/>
        <v>0</v>
      </c>
      <c r="AL180" s="90">
        <f t="shared" si="190"/>
        <v>0</v>
      </c>
      <c r="AN180" s="90">
        <v>15</v>
      </c>
      <c r="AO180" s="90">
        <f t="shared" si="191"/>
        <v>0</v>
      </c>
      <c r="AP180" s="90">
        <f t="shared" si="192"/>
        <v>52</v>
      </c>
      <c r="AQ180" s="91" t="s">
        <v>79</v>
      </c>
      <c r="AV180" s="90">
        <f t="shared" si="193"/>
        <v>0</v>
      </c>
      <c r="AW180" s="90">
        <f t="shared" si="194"/>
        <v>0</v>
      </c>
      <c r="AX180" s="90">
        <f t="shared" si="195"/>
        <v>0</v>
      </c>
      <c r="AY180" s="91" t="s">
        <v>649</v>
      </c>
      <c r="AZ180" s="91" t="s">
        <v>652</v>
      </c>
      <c r="BA180" s="154" t="s">
        <v>658</v>
      </c>
      <c r="BC180" s="90">
        <f t="shared" si="196"/>
        <v>0</v>
      </c>
      <c r="BD180" s="90">
        <f t="shared" si="197"/>
        <v>52</v>
      </c>
      <c r="BE180" s="90">
        <v>0</v>
      </c>
      <c r="BF180" s="90">
        <f t="shared" si="198"/>
        <v>0</v>
      </c>
      <c r="BH180" s="90">
        <f t="shared" si="199"/>
        <v>0</v>
      </c>
      <c r="BI180" s="90">
        <f t="shared" si="200"/>
        <v>0</v>
      </c>
      <c r="BJ180" s="90">
        <f t="shared" si="201"/>
        <v>0</v>
      </c>
    </row>
    <row r="181" spans="1:62" ht="12.75" hidden="1">
      <c r="A181" s="88" t="s">
        <v>229</v>
      </c>
      <c r="B181" s="88" t="s">
        <v>59</v>
      </c>
      <c r="C181" s="88" t="s">
        <v>403</v>
      </c>
      <c r="D181" s="88" t="s">
        <v>589</v>
      </c>
      <c r="E181" s="88" t="s">
        <v>606</v>
      </c>
      <c r="F181" s="90"/>
      <c r="G181" s="90">
        <v>600</v>
      </c>
      <c r="H181" s="90">
        <f t="shared" si="176"/>
        <v>0</v>
      </c>
      <c r="I181" s="90">
        <f t="shared" si="177"/>
        <v>0</v>
      </c>
      <c r="J181" s="90">
        <f t="shared" si="178"/>
        <v>0</v>
      </c>
      <c r="K181" s="90">
        <v>0</v>
      </c>
      <c r="L181" s="90">
        <f t="shared" si="179"/>
        <v>0</v>
      </c>
      <c r="M181" s="91" t="s">
        <v>622</v>
      </c>
      <c r="Z181" s="90">
        <f t="shared" si="180"/>
        <v>0</v>
      </c>
      <c r="AB181" s="90">
        <f t="shared" si="181"/>
        <v>0</v>
      </c>
      <c r="AC181" s="90">
        <f t="shared" si="182"/>
        <v>0</v>
      </c>
      <c r="AD181" s="90">
        <f t="shared" si="183"/>
        <v>0</v>
      </c>
      <c r="AE181" s="90">
        <f t="shared" si="184"/>
        <v>0</v>
      </c>
      <c r="AF181" s="90">
        <f t="shared" si="185"/>
        <v>0</v>
      </c>
      <c r="AG181" s="90">
        <f t="shared" si="186"/>
        <v>0</v>
      </c>
      <c r="AH181" s="90">
        <f t="shared" si="187"/>
        <v>0</v>
      </c>
      <c r="AI181" s="154" t="s">
        <v>59</v>
      </c>
      <c r="AJ181" s="90">
        <f t="shared" si="188"/>
        <v>0</v>
      </c>
      <c r="AK181" s="90">
        <f t="shared" si="189"/>
        <v>0</v>
      </c>
      <c r="AL181" s="90">
        <f t="shared" si="190"/>
        <v>0</v>
      </c>
      <c r="AN181" s="90">
        <v>15</v>
      </c>
      <c r="AO181" s="90">
        <f t="shared" si="191"/>
        <v>0</v>
      </c>
      <c r="AP181" s="90">
        <f t="shared" si="192"/>
        <v>600</v>
      </c>
      <c r="AQ181" s="91" t="s">
        <v>79</v>
      </c>
      <c r="AV181" s="90">
        <f t="shared" si="193"/>
        <v>0</v>
      </c>
      <c r="AW181" s="90">
        <f t="shared" si="194"/>
        <v>0</v>
      </c>
      <c r="AX181" s="90">
        <f t="shared" si="195"/>
        <v>0</v>
      </c>
      <c r="AY181" s="91" t="s">
        <v>649</v>
      </c>
      <c r="AZ181" s="91" t="s">
        <v>652</v>
      </c>
      <c r="BA181" s="154" t="s">
        <v>658</v>
      </c>
      <c r="BC181" s="90">
        <f t="shared" si="196"/>
        <v>0</v>
      </c>
      <c r="BD181" s="90">
        <f t="shared" si="197"/>
        <v>600</v>
      </c>
      <c r="BE181" s="90">
        <v>0</v>
      </c>
      <c r="BF181" s="90">
        <f t="shared" si="198"/>
        <v>0</v>
      </c>
      <c r="BH181" s="90">
        <f t="shared" si="199"/>
        <v>0</v>
      </c>
      <c r="BI181" s="90">
        <f t="shared" si="200"/>
        <v>0</v>
      </c>
      <c r="BJ181" s="90">
        <f t="shared" si="201"/>
        <v>0</v>
      </c>
    </row>
    <row r="182" spans="1:62" ht="12.75" hidden="1">
      <c r="A182" s="88" t="s">
        <v>230</v>
      </c>
      <c r="B182" s="88" t="s">
        <v>59</v>
      </c>
      <c r="C182" s="88" t="s">
        <v>404</v>
      </c>
      <c r="D182" s="88" t="s">
        <v>590</v>
      </c>
      <c r="E182" s="88" t="s">
        <v>606</v>
      </c>
      <c r="F182" s="90"/>
      <c r="G182" s="90">
        <v>274</v>
      </c>
      <c r="H182" s="90">
        <f t="shared" si="176"/>
        <v>0</v>
      </c>
      <c r="I182" s="90">
        <f t="shared" si="177"/>
        <v>0</v>
      </c>
      <c r="J182" s="90">
        <f t="shared" si="178"/>
        <v>0</v>
      </c>
      <c r="K182" s="90">
        <v>0</v>
      </c>
      <c r="L182" s="90">
        <f t="shared" si="179"/>
        <v>0</v>
      </c>
      <c r="M182" s="91" t="s">
        <v>622</v>
      </c>
      <c r="Z182" s="90">
        <f t="shared" si="180"/>
        <v>0</v>
      </c>
      <c r="AB182" s="90">
        <f t="shared" si="181"/>
        <v>0</v>
      </c>
      <c r="AC182" s="90">
        <f t="shared" si="182"/>
        <v>0</v>
      </c>
      <c r="AD182" s="90">
        <f t="shared" si="183"/>
        <v>0</v>
      </c>
      <c r="AE182" s="90">
        <f t="shared" si="184"/>
        <v>0</v>
      </c>
      <c r="AF182" s="90">
        <f t="shared" si="185"/>
        <v>0</v>
      </c>
      <c r="AG182" s="90">
        <f t="shared" si="186"/>
        <v>0</v>
      </c>
      <c r="AH182" s="90">
        <f t="shared" si="187"/>
        <v>0</v>
      </c>
      <c r="AI182" s="154" t="s">
        <v>59</v>
      </c>
      <c r="AJ182" s="90">
        <f t="shared" si="188"/>
        <v>0</v>
      </c>
      <c r="AK182" s="90">
        <f t="shared" si="189"/>
        <v>0</v>
      </c>
      <c r="AL182" s="90">
        <f t="shared" si="190"/>
        <v>0</v>
      </c>
      <c r="AN182" s="90">
        <v>15</v>
      </c>
      <c r="AO182" s="90">
        <f t="shared" si="191"/>
        <v>0</v>
      </c>
      <c r="AP182" s="90">
        <f t="shared" si="192"/>
        <v>274</v>
      </c>
      <c r="AQ182" s="91" t="s">
        <v>79</v>
      </c>
      <c r="AV182" s="90">
        <f t="shared" si="193"/>
        <v>0</v>
      </c>
      <c r="AW182" s="90">
        <f t="shared" si="194"/>
        <v>0</v>
      </c>
      <c r="AX182" s="90">
        <f t="shared" si="195"/>
        <v>0</v>
      </c>
      <c r="AY182" s="91" t="s">
        <v>649</v>
      </c>
      <c r="AZ182" s="91" t="s">
        <v>652</v>
      </c>
      <c r="BA182" s="154" t="s">
        <v>658</v>
      </c>
      <c r="BC182" s="90">
        <f t="shared" si="196"/>
        <v>0</v>
      </c>
      <c r="BD182" s="90">
        <f t="shared" si="197"/>
        <v>274</v>
      </c>
      <c r="BE182" s="90">
        <v>0</v>
      </c>
      <c r="BF182" s="90">
        <f t="shared" si="198"/>
        <v>0</v>
      </c>
      <c r="BH182" s="90">
        <f t="shared" si="199"/>
        <v>0</v>
      </c>
      <c r="BI182" s="90">
        <f t="shared" si="200"/>
        <v>0</v>
      </c>
      <c r="BJ182" s="90">
        <f t="shared" si="201"/>
        <v>0</v>
      </c>
    </row>
    <row r="183" spans="1:62" ht="12.75" hidden="1">
      <c r="A183" s="88" t="s">
        <v>231</v>
      </c>
      <c r="B183" s="88" t="s">
        <v>59</v>
      </c>
      <c r="C183" s="88" t="s">
        <v>405</v>
      </c>
      <c r="D183" s="88" t="s">
        <v>591</v>
      </c>
      <c r="E183" s="88" t="s">
        <v>606</v>
      </c>
      <c r="F183" s="90"/>
      <c r="G183" s="90">
        <v>1652</v>
      </c>
      <c r="H183" s="90">
        <f t="shared" si="176"/>
        <v>0</v>
      </c>
      <c r="I183" s="90">
        <f t="shared" si="177"/>
        <v>0</v>
      </c>
      <c r="J183" s="90">
        <f t="shared" si="178"/>
        <v>0</v>
      </c>
      <c r="K183" s="90">
        <v>0</v>
      </c>
      <c r="L183" s="90">
        <f t="shared" si="179"/>
        <v>0</v>
      </c>
      <c r="M183" s="91" t="s">
        <v>622</v>
      </c>
      <c r="Z183" s="90">
        <f t="shared" si="180"/>
        <v>0</v>
      </c>
      <c r="AB183" s="90">
        <f t="shared" si="181"/>
        <v>0</v>
      </c>
      <c r="AC183" s="90">
        <f t="shared" si="182"/>
        <v>0</v>
      </c>
      <c r="AD183" s="90">
        <f t="shared" si="183"/>
        <v>0</v>
      </c>
      <c r="AE183" s="90">
        <f t="shared" si="184"/>
        <v>0</v>
      </c>
      <c r="AF183" s="90">
        <f t="shared" si="185"/>
        <v>0</v>
      </c>
      <c r="AG183" s="90">
        <f t="shared" si="186"/>
        <v>0</v>
      </c>
      <c r="AH183" s="90">
        <f t="shared" si="187"/>
        <v>0</v>
      </c>
      <c r="AI183" s="154" t="s">
        <v>59</v>
      </c>
      <c r="AJ183" s="90">
        <f t="shared" si="188"/>
        <v>0</v>
      </c>
      <c r="AK183" s="90">
        <f t="shared" si="189"/>
        <v>0</v>
      </c>
      <c r="AL183" s="90">
        <f t="shared" si="190"/>
        <v>0</v>
      </c>
      <c r="AN183" s="90">
        <v>15</v>
      </c>
      <c r="AO183" s="90">
        <f t="shared" si="191"/>
        <v>0</v>
      </c>
      <c r="AP183" s="90">
        <f t="shared" si="192"/>
        <v>1652</v>
      </c>
      <c r="AQ183" s="91" t="s">
        <v>79</v>
      </c>
      <c r="AV183" s="90">
        <f t="shared" si="193"/>
        <v>0</v>
      </c>
      <c r="AW183" s="90">
        <f t="shared" si="194"/>
        <v>0</v>
      </c>
      <c r="AX183" s="90">
        <f t="shared" si="195"/>
        <v>0</v>
      </c>
      <c r="AY183" s="91" t="s">
        <v>649</v>
      </c>
      <c r="AZ183" s="91" t="s">
        <v>652</v>
      </c>
      <c r="BA183" s="154" t="s">
        <v>658</v>
      </c>
      <c r="BC183" s="90">
        <f t="shared" si="196"/>
        <v>0</v>
      </c>
      <c r="BD183" s="90">
        <f t="shared" si="197"/>
        <v>1652</v>
      </c>
      <c r="BE183" s="90">
        <v>0</v>
      </c>
      <c r="BF183" s="90">
        <f t="shared" si="198"/>
        <v>0</v>
      </c>
      <c r="BH183" s="90">
        <f t="shared" si="199"/>
        <v>0</v>
      </c>
      <c r="BI183" s="90">
        <f t="shared" si="200"/>
        <v>0</v>
      </c>
      <c r="BJ183" s="90">
        <f t="shared" si="201"/>
        <v>0</v>
      </c>
    </row>
    <row r="184" spans="1:62" ht="12.75" hidden="1">
      <c r="A184" s="88" t="s">
        <v>232</v>
      </c>
      <c r="B184" s="88" t="s">
        <v>59</v>
      </c>
      <c r="C184" s="88" t="s">
        <v>406</v>
      </c>
      <c r="D184" s="88" t="s">
        <v>592</v>
      </c>
      <c r="E184" s="88" t="s">
        <v>606</v>
      </c>
      <c r="F184" s="90"/>
      <c r="G184" s="90">
        <v>1760</v>
      </c>
      <c r="H184" s="90">
        <f t="shared" si="176"/>
        <v>0</v>
      </c>
      <c r="I184" s="90">
        <f t="shared" si="177"/>
        <v>0</v>
      </c>
      <c r="J184" s="90">
        <f t="shared" si="178"/>
        <v>0</v>
      </c>
      <c r="K184" s="90">
        <v>0</v>
      </c>
      <c r="L184" s="90">
        <f t="shared" si="179"/>
        <v>0</v>
      </c>
      <c r="M184" s="91" t="s">
        <v>622</v>
      </c>
      <c r="Z184" s="90">
        <f t="shared" si="180"/>
        <v>0</v>
      </c>
      <c r="AB184" s="90">
        <f t="shared" si="181"/>
        <v>0</v>
      </c>
      <c r="AC184" s="90">
        <f t="shared" si="182"/>
        <v>0</v>
      </c>
      <c r="AD184" s="90">
        <f t="shared" si="183"/>
        <v>0</v>
      </c>
      <c r="AE184" s="90">
        <f t="shared" si="184"/>
        <v>0</v>
      </c>
      <c r="AF184" s="90">
        <f t="shared" si="185"/>
        <v>0</v>
      </c>
      <c r="AG184" s="90">
        <f t="shared" si="186"/>
        <v>0</v>
      </c>
      <c r="AH184" s="90">
        <f t="shared" si="187"/>
        <v>0</v>
      </c>
      <c r="AI184" s="154" t="s">
        <v>59</v>
      </c>
      <c r="AJ184" s="90">
        <f t="shared" si="188"/>
        <v>0</v>
      </c>
      <c r="AK184" s="90">
        <f t="shared" si="189"/>
        <v>0</v>
      </c>
      <c r="AL184" s="90">
        <f t="shared" si="190"/>
        <v>0</v>
      </c>
      <c r="AN184" s="90">
        <v>15</v>
      </c>
      <c r="AO184" s="90">
        <f t="shared" si="191"/>
        <v>0</v>
      </c>
      <c r="AP184" s="90">
        <f t="shared" si="192"/>
        <v>1760</v>
      </c>
      <c r="AQ184" s="91" t="s">
        <v>79</v>
      </c>
      <c r="AV184" s="90">
        <f t="shared" si="193"/>
        <v>0</v>
      </c>
      <c r="AW184" s="90">
        <f t="shared" si="194"/>
        <v>0</v>
      </c>
      <c r="AX184" s="90">
        <f t="shared" si="195"/>
        <v>0</v>
      </c>
      <c r="AY184" s="91" t="s">
        <v>649</v>
      </c>
      <c r="AZ184" s="91" t="s">
        <v>652</v>
      </c>
      <c r="BA184" s="154" t="s">
        <v>658</v>
      </c>
      <c r="BC184" s="90">
        <f t="shared" si="196"/>
        <v>0</v>
      </c>
      <c r="BD184" s="90">
        <f t="shared" si="197"/>
        <v>1760.0000000000002</v>
      </c>
      <c r="BE184" s="90">
        <v>0</v>
      </c>
      <c r="BF184" s="90">
        <f t="shared" si="198"/>
        <v>0</v>
      </c>
      <c r="BH184" s="90">
        <f t="shared" si="199"/>
        <v>0</v>
      </c>
      <c r="BI184" s="90">
        <f t="shared" si="200"/>
        <v>0</v>
      </c>
      <c r="BJ184" s="90">
        <f t="shared" si="201"/>
        <v>0</v>
      </c>
    </row>
    <row r="185" spans="1:62" ht="12.75" hidden="1">
      <c r="A185" s="88" t="s">
        <v>233</v>
      </c>
      <c r="B185" s="88" t="s">
        <v>59</v>
      </c>
      <c r="C185" s="88" t="s">
        <v>407</v>
      </c>
      <c r="D185" s="88" t="s">
        <v>593</v>
      </c>
      <c r="E185" s="88" t="s">
        <v>606</v>
      </c>
      <c r="F185" s="90"/>
      <c r="G185" s="90">
        <v>1412</v>
      </c>
      <c r="H185" s="90">
        <f t="shared" si="176"/>
        <v>0</v>
      </c>
      <c r="I185" s="90">
        <f t="shared" si="177"/>
        <v>0</v>
      </c>
      <c r="J185" s="90">
        <f t="shared" si="178"/>
        <v>0</v>
      </c>
      <c r="K185" s="90">
        <v>0</v>
      </c>
      <c r="L185" s="90">
        <f t="shared" si="179"/>
        <v>0</v>
      </c>
      <c r="M185" s="91" t="s">
        <v>622</v>
      </c>
      <c r="Z185" s="90">
        <f t="shared" si="180"/>
        <v>0</v>
      </c>
      <c r="AB185" s="90">
        <f t="shared" si="181"/>
        <v>0</v>
      </c>
      <c r="AC185" s="90">
        <f t="shared" si="182"/>
        <v>0</v>
      </c>
      <c r="AD185" s="90">
        <f t="shared" si="183"/>
        <v>0</v>
      </c>
      <c r="AE185" s="90">
        <f t="shared" si="184"/>
        <v>0</v>
      </c>
      <c r="AF185" s="90">
        <f t="shared" si="185"/>
        <v>0</v>
      </c>
      <c r="AG185" s="90">
        <f t="shared" si="186"/>
        <v>0</v>
      </c>
      <c r="AH185" s="90">
        <f t="shared" si="187"/>
        <v>0</v>
      </c>
      <c r="AI185" s="154" t="s">
        <v>59</v>
      </c>
      <c r="AJ185" s="90">
        <f t="shared" si="188"/>
        <v>0</v>
      </c>
      <c r="AK185" s="90">
        <f t="shared" si="189"/>
        <v>0</v>
      </c>
      <c r="AL185" s="90">
        <f t="shared" si="190"/>
        <v>0</v>
      </c>
      <c r="AN185" s="90">
        <v>15</v>
      </c>
      <c r="AO185" s="90">
        <f t="shared" si="191"/>
        <v>0</v>
      </c>
      <c r="AP185" s="90">
        <f t="shared" si="192"/>
        <v>1412</v>
      </c>
      <c r="AQ185" s="91" t="s">
        <v>79</v>
      </c>
      <c r="AV185" s="90">
        <f t="shared" si="193"/>
        <v>0</v>
      </c>
      <c r="AW185" s="90">
        <f t="shared" si="194"/>
        <v>0</v>
      </c>
      <c r="AX185" s="90">
        <f t="shared" si="195"/>
        <v>0</v>
      </c>
      <c r="AY185" s="91" t="s">
        <v>649</v>
      </c>
      <c r="AZ185" s="91" t="s">
        <v>652</v>
      </c>
      <c r="BA185" s="154" t="s">
        <v>658</v>
      </c>
      <c r="BC185" s="90">
        <f t="shared" si="196"/>
        <v>0</v>
      </c>
      <c r="BD185" s="90">
        <f t="shared" si="197"/>
        <v>1412</v>
      </c>
      <c r="BE185" s="90">
        <v>0</v>
      </c>
      <c r="BF185" s="90">
        <f t="shared" si="198"/>
        <v>0</v>
      </c>
      <c r="BH185" s="90">
        <f t="shared" si="199"/>
        <v>0</v>
      </c>
      <c r="BI185" s="90">
        <f t="shared" si="200"/>
        <v>0</v>
      </c>
      <c r="BJ185" s="90">
        <f t="shared" si="201"/>
        <v>0</v>
      </c>
    </row>
    <row r="186" spans="1:62" ht="12.75" hidden="1">
      <c r="A186" s="88" t="s">
        <v>234</v>
      </c>
      <c r="B186" s="88" t="s">
        <v>59</v>
      </c>
      <c r="C186" s="88" t="s">
        <v>408</v>
      </c>
      <c r="D186" s="88" t="s">
        <v>594</v>
      </c>
      <c r="E186" s="88" t="s">
        <v>606</v>
      </c>
      <c r="F186" s="90"/>
      <c r="G186" s="90">
        <v>215</v>
      </c>
      <c r="H186" s="90">
        <f t="shared" si="176"/>
        <v>0</v>
      </c>
      <c r="I186" s="90">
        <f t="shared" si="177"/>
        <v>0</v>
      </c>
      <c r="J186" s="90">
        <f t="shared" si="178"/>
        <v>0</v>
      </c>
      <c r="K186" s="90">
        <v>0</v>
      </c>
      <c r="L186" s="90">
        <f t="shared" si="179"/>
        <v>0</v>
      </c>
      <c r="M186" s="91" t="s">
        <v>622</v>
      </c>
      <c r="Z186" s="90">
        <f t="shared" si="180"/>
        <v>0</v>
      </c>
      <c r="AB186" s="90">
        <f t="shared" si="181"/>
        <v>0</v>
      </c>
      <c r="AC186" s="90">
        <f t="shared" si="182"/>
        <v>0</v>
      </c>
      <c r="AD186" s="90">
        <f t="shared" si="183"/>
        <v>0</v>
      </c>
      <c r="AE186" s="90">
        <f t="shared" si="184"/>
        <v>0</v>
      </c>
      <c r="AF186" s="90">
        <f t="shared" si="185"/>
        <v>0</v>
      </c>
      <c r="AG186" s="90">
        <f t="shared" si="186"/>
        <v>0</v>
      </c>
      <c r="AH186" s="90">
        <f t="shared" si="187"/>
        <v>0</v>
      </c>
      <c r="AI186" s="154" t="s">
        <v>59</v>
      </c>
      <c r="AJ186" s="90">
        <f t="shared" si="188"/>
        <v>0</v>
      </c>
      <c r="AK186" s="90">
        <f t="shared" si="189"/>
        <v>0</v>
      </c>
      <c r="AL186" s="90">
        <f t="shared" si="190"/>
        <v>0</v>
      </c>
      <c r="AN186" s="90">
        <v>15</v>
      </c>
      <c r="AO186" s="90">
        <f t="shared" si="191"/>
        <v>0</v>
      </c>
      <c r="AP186" s="90">
        <f t="shared" si="192"/>
        <v>215</v>
      </c>
      <c r="AQ186" s="91" t="s">
        <v>79</v>
      </c>
      <c r="AV186" s="90">
        <f t="shared" si="193"/>
        <v>0</v>
      </c>
      <c r="AW186" s="90">
        <f t="shared" si="194"/>
        <v>0</v>
      </c>
      <c r="AX186" s="90">
        <f t="shared" si="195"/>
        <v>0</v>
      </c>
      <c r="AY186" s="91" t="s">
        <v>649</v>
      </c>
      <c r="AZ186" s="91" t="s">
        <v>652</v>
      </c>
      <c r="BA186" s="154" t="s">
        <v>658</v>
      </c>
      <c r="BC186" s="90">
        <f t="shared" si="196"/>
        <v>0</v>
      </c>
      <c r="BD186" s="90">
        <f t="shared" si="197"/>
        <v>215</v>
      </c>
      <c r="BE186" s="90">
        <v>0</v>
      </c>
      <c r="BF186" s="90">
        <f t="shared" si="198"/>
        <v>0</v>
      </c>
      <c r="BH186" s="90">
        <f t="shared" si="199"/>
        <v>0</v>
      </c>
      <c r="BI186" s="90">
        <f t="shared" si="200"/>
        <v>0</v>
      </c>
      <c r="BJ186" s="90">
        <f t="shared" si="201"/>
        <v>0</v>
      </c>
    </row>
    <row r="187" spans="1:62" ht="12.75" hidden="1">
      <c r="A187" s="88" t="s">
        <v>235</v>
      </c>
      <c r="B187" s="88" t="s">
        <v>59</v>
      </c>
      <c r="C187" s="88" t="s">
        <v>409</v>
      </c>
      <c r="D187" s="88" t="s">
        <v>595</v>
      </c>
      <c r="E187" s="88" t="s">
        <v>606</v>
      </c>
      <c r="F187" s="90"/>
      <c r="G187" s="90">
        <v>2110</v>
      </c>
      <c r="H187" s="90">
        <f t="shared" si="176"/>
        <v>0</v>
      </c>
      <c r="I187" s="90">
        <f t="shared" si="177"/>
        <v>0</v>
      </c>
      <c r="J187" s="90">
        <f t="shared" si="178"/>
        <v>0</v>
      </c>
      <c r="K187" s="90">
        <v>0</v>
      </c>
      <c r="L187" s="90">
        <f t="shared" si="179"/>
        <v>0</v>
      </c>
      <c r="M187" s="91" t="s">
        <v>622</v>
      </c>
      <c r="Z187" s="90">
        <f t="shared" si="180"/>
        <v>0</v>
      </c>
      <c r="AB187" s="90">
        <f t="shared" si="181"/>
        <v>0</v>
      </c>
      <c r="AC187" s="90">
        <f t="shared" si="182"/>
        <v>0</v>
      </c>
      <c r="AD187" s="90">
        <f t="shared" si="183"/>
        <v>0</v>
      </c>
      <c r="AE187" s="90">
        <f t="shared" si="184"/>
        <v>0</v>
      </c>
      <c r="AF187" s="90">
        <f t="shared" si="185"/>
        <v>0</v>
      </c>
      <c r="AG187" s="90">
        <f t="shared" si="186"/>
        <v>0</v>
      </c>
      <c r="AH187" s="90">
        <f t="shared" si="187"/>
        <v>0</v>
      </c>
      <c r="AI187" s="154" t="s">
        <v>59</v>
      </c>
      <c r="AJ187" s="90">
        <f t="shared" si="188"/>
        <v>0</v>
      </c>
      <c r="AK187" s="90">
        <f t="shared" si="189"/>
        <v>0</v>
      </c>
      <c r="AL187" s="90">
        <f t="shared" si="190"/>
        <v>0</v>
      </c>
      <c r="AN187" s="90">
        <v>15</v>
      </c>
      <c r="AO187" s="90">
        <f t="shared" si="191"/>
        <v>0</v>
      </c>
      <c r="AP187" s="90">
        <f t="shared" si="192"/>
        <v>2110</v>
      </c>
      <c r="AQ187" s="91" t="s">
        <v>79</v>
      </c>
      <c r="AV187" s="90">
        <f t="shared" si="193"/>
        <v>0</v>
      </c>
      <c r="AW187" s="90">
        <f t="shared" si="194"/>
        <v>0</v>
      </c>
      <c r="AX187" s="90">
        <f t="shared" si="195"/>
        <v>0</v>
      </c>
      <c r="AY187" s="91" t="s">
        <v>649</v>
      </c>
      <c r="AZ187" s="91" t="s">
        <v>652</v>
      </c>
      <c r="BA187" s="154" t="s">
        <v>658</v>
      </c>
      <c r="BC187" s="90">
        <f t="shared" si="196"/>
        <v>0</v>
      </c>
      <c r="BD187" s="90">
        <f t="shared" si="197"/>
        <v>2110</v>
      </c>
      <c r="BE187" s="90">
        <v>0</v>
      </c>
      <c r="BF187" s="90">
        <f t="shared" si="198"/>
        <v>0</v>
      </c>
      <c r="BH187" s="90">
        <f t="shared" si="199"/>
        <v>0</v>
      </c>
      <c r="BI187" s="90">
        <f t="shared" si="200"/>
        <v>0</v>
      </c>
      <c r="BJ187" s="90">
        <f t="shared" si="201"/>
        <v>0</v>
      </c>
    </row>
    <row r="188" spans="1:62" ht="12.75" hidden="1">
      <c r="A188" s="88" t="s">
        <v>236</v>
      </c>
      <c r="B188" s="88" t="s">
        <v>59</v>
      </c>
      <c r="C188" s="88" t="s">
        <v>410</v>
      </c>
      <c r="D188" s="88" t="s">
        <v>596</v>
      </c>
      <c r="E188" s="88" t="s">
        <v>611</v>
      </c>
      <c r="F188" s="90"/>
      <c r="G188" s="90">
        <v>400</v>
      </c>
      <c r="H188" s="90">
        <f t="shared" si="176"/>
        <v>0</v>
      </c>
      <c r="I188" s="90">
        <f t="shared" si="177"/>
        <v>0</v>
      </c>
      <c r="J188" s="90">
        <f t="shared" si="178"/>
        <v>0</v>
      </c>
      <c r="K188" s="90">
        <v>0</v>
      </c>
      <c r="L188" s="90">
        <f t="shared" si="179"/>
        <v>0</v>
      </c>
      <c r="M188" s="91" t="s">
        <v>622</v>
      </c>
      <c r="Z188" s="90">
        <f t="shared" si="180"/>
        <v>0</v>
      </c>
      <c r="AB188" s="90">
        <f t="shared" si="181"/>
        <v>0</v>
      </c>
      <c r="AC188" s="90">
        <f t="shared" si="182"/>
        <v>0</v>
      </c>
      <c r="AD188" s="90">
        <f t="shared" si="183"/>
        <v>0</v>
      </c>
      <c r="AE188" s="90">
        <f t="shared" si="184"/>
        <v>0</v>
      </c>
      <c r="AF188" s="90">
        <f t="shared" si="185"/>
        <v>0</v>
      </c>
      <c r="AG188" s="90">
        <f t="shared" si="186"/>
        <v>0</v>
      </c>
      <c r="AH188" s="90">
        <f t="shared" si="187"/>
        <v>0</v>
      </c>
      <c r="AI188" s="154" t="s">
        <v>59</v>
      </c>
      <c r="AJ188" s="90">
        <f t="shared" si="188"/>
        <v>0</v>
      </c>
      <c r="AK188" s="90">
        <f t="shared" si="189"/>
        <v>0</v>
      </c>
      <c r="AL188" s="90">
        <f t="shared" si="190"/>
        <v>0</v>
      </c>
      <c r="AN188" s="90">
        <v>15</v>
      </c>
      <c r="AO188" s="90">
        <f t="shared" si="191"/>
        <v>0</v>
      </c>
      <c r="AP188" s="90">
        <f t="shared" si="192"/>
        <v>400</v>
      </c>
      <c r="AQ188" s="91" t="s">
        <v>79</v>
      </c>
      <c r="AV188" s="90">
        <f t="shared" si="193"/>
        <v>0</v>
      </c>
      <c r="AW188" s="90">
        <f t="shared" si="194"/>
        <v>0</v>
      </c>
      <c r="AX188" s="90">
        <f t="shared" si="195"/>
        <v>0</v>
      </c>
      <c r="AY188" s="91" t="s">
        <v>649</v>
      </c>
      <c r="AZ188" s="91" t="s">
        <v>652</v>
      </c>
      <c r="BA188" s="154" t="s">
        <v>658</v>
      </c>
      <c r="BC188" s="90">
        <f t="shared" si="196"/>
        <v>0</v>
      </c>
      <c r="BD188" s="90">
        <f t="shared" si="197"/>
        <v>400</v>
      </c>
      <c r="BE188" s="90">
        <v>0</v>
      </c>
      <c r="BF188" s="90">
        <f t="shared" si="198"/>
        <v>0</v>
      </c>
      <c r="BH188" s="90">
        <f t="shared" si="199"/>
        <v>0</v>
      </c>
      <c r="BI188" s="90">
        <f t="shared" si="200"/>
        <v>0</v>
      </c>
      <c r="BJ188" s="90">
        <f t="shared" si="201"/>
        <v>0</v>
      </c>
    </row>
    <row r="189" spans="1:62" ht="12.75" hidden="1">
      <c r="A189" s="88" t="s">
        <v>237</v>
      </c>
      <c r="B189" s="88" t="s">
        <v>59</v>
      </c>
      <c r="C189" s="88" t="s">
        <v>411</v>
      </c>
      <c r="D189" s="88" t="s">
        <v>597</v>
      </c>
      <c r="E189" s="88" t="s">
        <v>614</v>
      </c>
      <c r="F189" s="90"/>
      <c r="G189" s="90">
        <v>1050</v>
      </c>
      <c r="H189" s="90">
        <f t="shared" si="176"/>
        <v>0</v>
      </c>
      <c r="I189" s="90">
        <f t="shared" si="177"/>
        <v>0</v>
      </c>
      <c r="J189" s="90">
        <f t="shared" si="178"/>
        <v>0</v>
      </c>
      <c r="K189" s="90">
        <v>0</v>
      </c>
      <c r="L189" s="90">
        <f t="shared" si="179"/>
        <v>0</v>
      </c>
      <c r="M189" s="91" t="s">
        <v>622</v>
      </c>
      <c r="Z189" s="90">
        <f t="shared" si="180"/>
        <v>0</v>
      </c>
      <c r="AB189" s="90">
        <f t="shared" si="181"/>
        <v>0</v>
      </c>
      <c r="AC189" s="90">
        <f t="shared" si="182"/>
        <v>0</v>
      </c>
      <c r="AD189" s="90">
        <f t="shared" si="183"/>
        <v>0</v>
      </c>
      <c r="AE189" s="90">
        <f t="shared" si="184"/>
        <v>0</v>
      </c>
      <c r="AF189" s="90">
        <f t="shared" si="185"/>
        <v>0</v>
      </c>
      <c r="AG189" s="90">
        <f t="shared" si="186"/>
        <v>0</v>
      </c>
      <c r="AH189" s="90">
        <f t="shared" si="187"/>
        <v>0</v>
      </c>
      <c r="AI189" s="154" t="s">
        <v>59</v>
      </c>
      <c r="AJ189" s="90">
        <f t="shared" si="188"/>
        <v>0</v>
      </c>
      <c r="AK189" s="90">
        <f t="shared" si="189"/>
        <v>0</v>
      </c>
      <c r="AL189" s="90">
        <f t="shared" si="190"/>
        <v>0</v>
      </c>
      <c r="AN189" s="90">
        <v>15</v>
      </c>
      <c r="AO189" s="90">
        <f t="shared" si="191"/>
        <v>0</v>
      </c>
      <c r="AP189" s="90">
        <f t="shared" si="192"/>
        <v>1050</v>
      </c>
      <c r="AQ189" s="91" t="s">
        <v>79</v>
      </c>
      <c r="AV189" s="90">
        <f t="shared" si="193"/>
        <v>0</v>
      </c>
      <c r="AW189" s="90">
        <f t="shared" si="194"/>
        <v>0</v>
      </c>
      <c r="AX189" s="90">
        <f t="shared" si="195"/>
        <v>0</v>
      </c>
      <c r="AY189" s="91" t="s">
        <v>649</v>
      </c>
      <c r="AZ189" s="91" t="s">
        <v>652</v>
      </c>
      <c r="BA189" s="154" t="s">
        <v>658</v>
      </c>
      <c r="BC189" s="90">
        <f t="shared" si="196"/>
        <v>0</v>
      </c>
      <c r="BD189" s="90">
        <f t="shared" si="197"/>
        <v>1050</v>
      </c>
      <c r="BE189" s="90">
        <v>0</v>
      </c>
      <c r="BF189" s="90">
        <f t="shared" si="198"/>
        <v>0</v>
      </c>
      <c r="BH189" s="90">
        <f t="shared" si="199"/>
        <v>0</v>
      </c>
      <c r="BI189" s="90">
        <f t="shared" si="200"/>
        <v>0</v>
      </c>
      <c r="BJ189" s="90">
        <f t="shared" si="201"/>
        <v>0</v>
      </c>
    </row>
    <row r="190" spans="1:62" ht="12.75" hidden="1">
      <c r="A190" s="88" t="s">
        <v>238</v>
      </c>
      <c r="B190" s="88" t="s">
        <v>59</v>
      </c>
      <c r="C190" s="88" t="s">
        <v>412</v>
      </c>
      <c r="D190" s="88" t="s">
        <v>598</v>
      </c>
      <c r="E190" s="88" t="s">
        <v>606</v>
      </c>
      <c r="F190" s="90"/>
      <c r="G190" s="90">
        <v>1000</v>
      </c>
      <c r="H190" s="90">
        <f t="shared" si="176"/>
        <v>0</v>
      </c>
      <c r="I190" s="90">
        <f t="shared" si="177"/>
        <v>0</v>
      </c>
      <c r="J190" s="90">
        <f t="shared" si="178"/>
        <v>0</v>
      </c>
      <c r="K190" s="90">
        <v>0</v>
      </c>
      <c r="L190" s="90">
        <f t="shared" si="179"/>
        <v>0</v>
      </c>
      <c r="M190" s="91" t="s">
        <v>622</v>
      </c>
      <c r="Z190" s="90">
        <f t="shared" si="180"/>
        <v>0</v>
      </c>
      <c r="AB190" s="90">
        <f t="shared" si="181"/>
        <v>0</v>
      </c>
      <c r="AC190" s="90">
        <f t="shared" si="182"/>
        <v>0</v>
      </c>
      <c r="AD190" s="90">
        <f t="shared" si="183"/>
        <v>0</v>
      </c>
      <c r="AE190" s="90">
        <f t="shared" si="184"/>
        <v>0</v>
      </c>
      <c r="AF190" s="90">
        <f t="shared" si="185"/>
        <v>0</v>
      </c>
      <c r="AG190" s="90">
        <f t="shared" si="186"/>
        <v>0</v>
      </c>
      <c r="AH190" s="90">
        <f t="shared" si="187"/>
        <v>0</v>
      </c>
      <c r="AI190" s="154" t="s">
        <v>59</v>
      </c>
      <c r="AJ190" s="90">
        <f t="shared" si="188"/>
        <v>0</v>
      </c>
      <c r="AK190" s="90">
        <f t="shared" si="189"/>
        <v>0</v>
      </c>
      <c r="AL190" s="90">
        <f t="shared" si="190"/>
        <v>0</v>
      </c>
      <c r="AN190" s="90">
        <v>15</v>
      </c>
      <c r="AO190" s="90">
        <f t="shared" si="191"/>
        <v>0</v>
      </c>
      <c r="AP190" s="90">
        <f t="shared" si="192"/>
        <v>1000</v>
      </c>
      <c r="AQ190" s="91" t="s">
        <v>79</v>
      </c>
      <c r="AV190" s="90">
        <f t="shared" si="193"/>
        <v>0</v>
      </c>
      <c r="AW190" s="90">
        <f t="shared" si="194"/>
        <v>0</v>
      </c>
      <c r="AX190" s="90">
        <f t="shared" si="195"/>
        <v>0</v>
      </c>
      <c r="AY190" s="91" t="s">
        <v>649</v>
      </c>
      <c r="AZ190" s="91" t="s">
        <v>652</v>
      </c>
      <c r="BA190" s="154" t="s">
        <v>658</v>
      </c>
      <c r="BC190" s="90">
        <f t="shared" si="196"/>
        <v>0</v>
      </c>
      <c r="BD190" s="90">
        <f t="shared" si="197"/>
        <v>1000</v>
      </c>
      <c r="BE190" s="90">
        <v>0</v>
      </c>
      <c r="BF190" s="90">
        <f t="shared" si="198"/>
        <v>0</v>
      </c>
      <c r="BH190" s="90">
        <f t="shared" si="199"/>
        <v>0</v>
      </c>
      <c r="BI190" s="90">
        <f t="shared" si="200"/>
        <v>0</v>
      </c>
      <c r="BJ190" s="90">
        <f t="shared" si="201"/>
        <v>0</v>
      </c>
    </row>
    <row r="191" spans="1:62" ht="12.75" hidden="1">
      <c r="A191" s="88" t="s">
        <v>239</v>
      </c>
      <c r="B191" s="88" t="s">
        <v>59</v>
      </c>
      <c r="C191" s="88" t="s">
        <v>413</v>
      </c>
      <c r="D191" s="88" t="s">
        <v>599</v>
      </c>
      <c r="E191" s="88" t="s">
        <v>613</v>
      </c>
      <c r="F191" s="90"/>
      <c r="G191" s="90">
        <v>1200</v>
      </c>
      <c r="H191" s="90">
        <f t="shared" si="176"/>
        <v>0</v>
      </c>
      <c r="I191" s="90">
        <f t="shared" si="177"/>
        <v>0</v>
      </c>
      <c r="J191" s="90">
        <f t="shared" si="178"/>
        <v>0</v>
      </c>
      <c r="K191" s="90">
        <v>0</v>
      </c>
      <c r="L191" s="90">
        <f t="shared" si="179"/>
        <v>0</v>
      </c>
      <c r="M191" s="91" t="s">
        <v>622</v>
      </c>
      <c r="Z191" s="90">
        <f t="shared" si="180"/>
        <v>0</v>
      </c>
      <c r="AB191" s="90">
        <f t="shared" si="181"/>
        <v>0</v>
      </c>
      <c r="AC191" s="90">
        <f t="shared" si="182"/>
        <v>0</v>
      </c>
      <c r="AD191" s="90">
        <f t="shared" si="183"/>
        <v>0</v>
      </c>
      <c r="AE191" s="90">
        <f t="shared" si="184"/>
        <v>0</v>
      </c>
      <c r="AF191" s="90">
        <f t="shared" si="185"/>
        <v>0</v>
      </c>
      <c r="AG191" s="90">
        <f t="shared" si="186"/>
        <v>0</v>
      </c>
      <c r="AH191" s="90">
        <f t="shared" si="187"/>
        <v>0</v>
      </c>
      <c r="AI191" s="154" t="s">
        <v>59</v>
      </c>
      <c r="AJ191" s="90">
        <f t="shared" si="188"/>
        <v>0</v>
      </c>
      <c r="AK191" s="90">
        <f t="shared" si="189"/>
        <v>0</v>
      </c>
      <c r="AL191" s="90">
        <f t="shared" si="190"/>
        <v>0</v>
      </c>
      <c r="AN191" s="90">
        <v>15</v>
      </c>
      <c r="AO191" s="90">
        <f t="shared" si="191"/>
        <v>0</v>
      </c>
      <c r="AP191" s="90">
        <f t="shared" si="192"/>
        <v>1200</v>
      </c>
      <c r="AQ191" s="91" t="s">
        <v>79</v>
      </c>
      <c r="AV191" s="90">
        <f t="shared" si="193"/>
        <v>0</v>
      </c>
      <c r="AW191" s="90">
        <f t="shared" si="194"/>
        <v>0</v>
      </c>
      <c r="AX191" s="90">
        <f t="shared" si="195"/>
        <v>0</v>
      </c>
      <c r="AY191" s="91" t="s">
        <v>649</v>
      </c>
      <c r="AZ191" s="91" t="s">
        <v>652</v>
      </c>
      <c r="BA191" s="154" t="s">
        <v>658</v>
      </c>
      <c r="BC191" s="90">
        <f t="shared" si="196"/>
        <v>0</v>
      </c>
      <c r="BD191" s="90">
        <f t="shared" si="197"/>
        <v>1200</v>
      </c>
      <c r="BE191" s="90">
        <v>0</v>
      </c>
      <c r="BF191" s="90">
        <f t="shared" si="198"/>
        <v>0</v>
      </c>
      <c r="BH191" s="90">
        <f t="shared" si="199"/>
        <v>0</v>
      </c>
      <c r="BI191" s="90">
        <f t="shared" si="200"/>
        <v>0</v>
      </c>
      <c r="BJ191" s="90">
        <f t="shared" si="201"/>
        <v>0</v>
      </c>
    </row>
    <row r="192" spans="1:62" ht="12.75" hidden="1">
      <c r="A192" s="88" t="s">
        <v>240</v>
      </c>
      <c r="B192" s="88" t="s">
        <v>59</v>
      </c>
      <c r="C192" s="88" t="s">
        <v>414</v>
      </c>
      <c r="D192" s="88" t="s">
        <v>600</v>
      </c>
      <c r="E192" s="88" t="s">
        <v>611</v>
      </c>
      <c r="F192" s="90"/>
      <c r="G192" s="90">
        <v>410</v>
      </c>
      <c r="H192" s="90">
        <f t="shared" si="176"/>
        <v>0</v>
      </c>
      <c r="I192" s="90">
        <f t="shared" si="177"/>
        <v>0</v>
      </c>
      <c r="J192" s="90">
        <f t="shared" si="178"/>
        <v>0</v>
      </c>
      <c r="K192" s="90">
        <v>0</v>
      </c>
      <c r="L192" s="90">
        <f t="shared" si="179"/>
        <v>0</v>
      </c>
      <c r="M192" s="91" t="s">
        <v>622</v>
      </c>
      <c r="Z192" s="90">
        <f t="shared" si="180"/>
        <v>0</v>
      </c>
      <c r="AB192" s="90">
        <f t="shared" si="181"/>
        <v>0</v>
      </c>
      <c r="AC192" s="90">
        <f t="shared" si="182"/>
        <v>0</v>
      </c>
      <c r="AD192" s="90">
        <f t="shared" si="183"/>
        <v>0</v>
      </c>
      <c r="AE192" s="90">
        <f t="shared" si="184"/>
        <v>0</v>
      </c>
      <c r="AF192" s="90">
        <f t="shared" si="185"/>
        <v>0</v>
      </c>
      <c r="AG192" s="90">
        <f t="shared" si="186"/>
        <v>0</v>
      </c>
      <c r="AH192" s="90">
        <f t="shared" si="187"/>
        <v>0</v>
      </c>
      <c r="AI192" s="154" t="s">
        <v>59</v>
      </c>
      <c r="AJ192" s="90">
        <f t="shared" si="188"/>
        <v>0</v>
      </c>
      <c r="AK192" s="90">
        <f t="shared" si="189"/>
        <v>0</v>
      </c>
      <c r="AL192" s="90">
        <f t="shared" si="190"/>
        <v>0</v>
      </c>
      <c r="AN192" s="90">
        <v>15</v>
      </c>
      <c r="AO192" s="90">
        <f t="shared" si="191"/>
        <v>0</v>
      </c>
      <c r="AP192" s="90">
        <f t="shared" si="192"/>
        <v>410</v>
      </c>
      <c r="AQ192" s="91" t="s">
        <v>79</v>
      </c>
      <c r="AV192" s="90">
        <f t="shared" si="193"/>
        <v>0</v>
      </c>
      <c r="AW192" s="90">
        <f t="shared" si="194"/>
        <v>0</v>
      </c>
      <c r="AX192" s="90">
        <f t="shared" si="195"/>
        <v>0</v>
      </c>
      <c r="AY192" s="91" t="s">
        <v>649</v>
      </c>
      <c r="AZ192" s="91" t="s">
        <v>652</v>
      </c>
      <c r="BA192" s="154" t="s">
        <v>658</v>
      </c>
      <c r="BC192" s="90">
        <f t="shared" si="196"/>
        <v>0</v>
      </c>
      <c r="BD192" s="90">
        <f t="shared" si="197"/>
        <v>409.99999999999994</v>
      </c>
      <c r="BE192" s="90">
        <v>0</v>
      </c>
      <c r="BF192" s="90">
        <f t="shared" si="198"/>
        <v>0</v>
      </c>
      <c r="BH192" s="90">
        <f t="shared" si="199"/>
        <v>0</v>
      </c>
      <c r="BI192" s="90">
        <f t="shared" si="200"/>
        <v>0</v>
      </c>
      <c r="BJ192" s="90">
        <f t="shared" si="201"/>
        <v>0</v>
      </c>
    </row>
    <row r="193" spans="1:62" ht="12.75" hidden="1">
      <c r="A193" s="88" t="s">
        <v>241</v>
      </c>
      <c r="B193" s="88" t="s">
        <v>59</v>
      </c>
      <c r="C193" s="88" t="s">
        <v>415</v>
      </c>
      <c r="D193" s="88" t="s">
        <v>601</v>
      </c>
      <c r="E193" s="88" t="s">
        <v>611</v>
      </c>
      <c r="F193" s="90"/>
      <c r="G193" s="90">
        <v>150</v>
      </c>
      <c r="H193" s="90">
        <f t="shared" si="176"/>
        <v>0</v>
      </c>
      <c r="I193" s="90">
        <f t="shared" si="177"/>
        <v>0</v>
      </c>
      <c r="J193" s="90">
        <f t="shared" si="178"/>
        <v>0</v>
      </c>
      <c r="K193" s="90">
        <v>0</v>
      </c>
      <c r="L193" s="90">
        <f t="shared" si="179"/>
        <v>0</v>
      </c>
      <c r="M193" s="91" t="s">
        <v>622</v>
      </c>
      <c r="Z193" s="90">
        <f t="shared" si="180"/>
        <v>0</v>
      </c>
      <c r="AB193" s="90">
        <f t="shared" si="181"/>
        <v>0</v>
      </c>
      <c r="AC193" s="90">
        <f t="shared" si="182"/>
        <v>0</v>
      </c>
      <c r="AD193" s="90">
        <f t="shared" si="183"/>
        <v>0</v>
      </c>
      <c r="AE193" s="90">
        <f t="shared" si="184"/>
        <v>0</v>
      </c>
      <c r="AF193" s="90">
        <f t="shared" si="185"/>
        <v>0</v>
      </c>
      <c r="AG193" s="90">
        <f t="shared" si="186"/>
        <v>0</v>
      </c>
      <c r="AH193" s="90">
        <f t="shared" si="187"/>
        <v>0</v>
      </c>
      <c r="AI193" s="154" t="s">
        <v>59</v>
      </c>
      <c r="AJ193" s="90">
        <f t="shared" si="188"/>
        <v>0</v>
      </c>
      <c r="AK193" s="90">
        <f t="shared" si="189"/>
        <v>0</v>
      </c>
      <c r="AL193" s="90">
        <f t="shared" si="190"/>
        <v>0</v>
      </c>
      <c r="AN193" s="90">
        <v>15</v>
      </c>
      <c r="AO193" s="90">
        <f t="shared" si="191"/>
        <v>0</v>
      </c>
      <c r="AP193" s="90">
        <f t="shared" si="192"/>
        <v>150</v>
      </c>
      <c r="AQ193" s="91" t="s">
        <v>79</v>
      </c>
      <c r="AV193" s="90">
        <f t="shared" si="193"/>
        <v>0</v>
      </c>
      <c r="AW193" s="90">
        <f t="shared" si="194"/>
        <v>0</v>
      </c>
      <c r="AX193" s="90">
        <f t="shared" si="195"/>
        <v>0</v>
      </c>
      <c r="AY193" s="91" t="s">
        <v>649</v>
      </c>
      <c r="AZ193" s="91" t="s">
        <v>652</v>
      </c>
      <c r="BA193" s="154" t="s">
        <v>658</v>
      </c>
      <c r="BC193" s="90">
        <f t="shared" si="196"/>
        <v>0</v>
      </c>
      <c r="BD193" s="90">
        <f t="shared" si="197"/>
        <v>150</v>
      </c>
      <c r="BE193" s="90">
        <v>0</v>
      </c>
      <c r="BF193" s="90">
        <f t="shared" si="198"/>
        <v>0</v>
      </c>
      <c r="BH193" s="90">
        <f t="shared" si="199"/>
        <v>0</v>
      </c>
      <c r="BI193" s="90">
        <f t="shared" si="200"/>
        <v>0</v>
      </c>
      <c r="BJ193" s="90">
        <f t="shared" si="201"/>
        <v>0</v>
      </c>
    </row>
    <row r="194" spans="1:62" ht="12.75" hidden="1">
      <c r="A194" s="88" t="s">
        <v>242</v>
      </c>
      <c r="B194" s="88" t="s">
        <v>59</v>
      </c>
      <c r="C194" s="88" t="s">
        <v>416</v>
      </c>
      <c r="D194" s="88" t="s">
        <v>602</v>
      </c>
      <c r="E194" s="88" t="s">
        <v>611</v>
      </c>
      <c r="F194" s="90"/>
      <c r="G194" s="90">
        <v>150</v>
      </c>
      <c r="H194" s="90">
        <f t="shared" si="176"/>
        <v>0</v>
      </c>
      <c r="I194" s="90">
        <f t="shared" si="177"/>
        <v>0</v>
      </c>
      <c r="J194" s="90">
        <f t="shared" si="178"/>
        <v>0</v>
      </c>
      <c r="K194" s="90">
        <v>0</v>
      </c>
      <c r="L194" s="90">
        <f t="shared" si="179"/>
        <v>0</v>
      </c>
      <c r="M194" s="91" t="s">
        <v>622</v>
      </c>
      <c r="Z194" s="90">
        <f t="shared" si="180"/>
        <v>0</v>
      </c>
      <c r="AB194" s="90">
        <f t="shared" si="181"/>
        <v>0</v>
      </c>
      <c r="AC194" s="90">
        <f t="shared" si="182"/>
        <v>0</v>
      </c>
      <c r="AD194" s="90">
        <f t="shared" si="183"/>
        <v>0</v>
      </c>
      <c r="AE194" s="90">
        <f t="shared" si="184"/>
        <v>0</v>
      </c>
      <c r="AF194" s="90">
        <f t="shared" si="185"/>
        <v>0</v>
      </c>
      <c r="AG194" s="90">
        <f t="shared" si="186"/>
        <v>0</v>
      </c>
      <c r="AH194" s="90">
        <f t="shared" si="187"/>
        <v>0</v>
      </c>
      <c r="AI194" s="154" t="s">
        <v>59</v>
      </c>
      <c r="AJ194" s="90">
        <f t="shared" si="188"/>
        <v>0</v>
      </c>
      <c r="AK194" s="90">
        <f t="shared" si="189"/>
        <v>0</v>
      </c>
      <c r="AL194" s="90">
        <f t="shared" si="190"/>
        <v>0</v>
      </c>
      <c r="AN194" s="90">
        <v>15</v>
      </c>
      <c r="AO194" s="90">
        <f t="shared" si="191"/>
        <v>0</v>
      </c>
      <c r="AP194" s="90">
        <f t="shared" si="192"/>
        <v>150</v>
      </c>
      <c r="AQ194" s="91" t="s">
        <v>79</v>
      </c>
      <c r="AV194" s="90">
        <f t="shared" si="193"/>
        <v>0</v>
      </c>
      <c r="AW194" s="90">
        <f t="shared" si="194"/>
        <v>0</v>
      </c>
      <c r="AX194" s="90">
        <f t="shared" si="195"/>
        <v>0</v>
      </c>
      <c r="AY194" s="91" t="s">
        <v>649</v>
      </c>
      <c r="AZ194" s="91" t="s">
        <v>652</v>
      </c>
      <c r="BA194" s="154" t="s">
        <v>658</v>
      </c>
      <c r="BC194" s="90">
        <f t="shared" si="196"/>
        <v>0</v>
      </c>
      <c r="BD194" s="90">
        <f t="shared" si="197"/>
        <v>150</v>
      </c>
      <c r="BE194" s="90">
        <v>0</v>
      </c>
      <c r="BF194" s="90">
        <f t="shared" si="198"/>
        <v>0</v>
      </c>
      <c r="BH194" s="90">
        <f t="shared" si="199"/>
        <v>0</v>
      </c>
      <c r="BI194" s="90">
        <f t="shared" si="200"/>
        <v>0</v>
      </c>
      <c r="BJ194" s="90">
        <f t="shared" si="201"/>
        <v>0</v>
      </c>
    </row>
    <row r="195" spans="1:62" ht="12.75" hidden="1">
      <c r="A195" s="88" t="s">
        <v>243</v>
      </c>
      <c r="B195" s="88" t="s">
        <v>59</v>
      </c>
      <c r="C195" s="88" t="s">
        <v>416</v>
      </c>
      <c r="D195" s="88" t="s">
        <v>603</v>
      </c>
      <c r="E195" s="88" t="s">
        <v>616</v>
      </c>
      <c r="F195" s="90"/>
      <c r="G195" s="90">
        <v>7650</v>
      </c>
      <c r="H195" s="90">
        <f t="shared" si="176"/>
        <v>0</v>
      </c>
      <c r="I195" s="90">
        <f t="shared" si="177"/>
        <v>0</v>
      </c>
      <c r="J195" s="90">
        <f t="shared" si="178"/>
        <v>0</v>
      </c>
      <c r="K195" s="90">
        <v>0</v>
      </c>
      <c r="L195" s="90">
        <f t="shared" si="179"/>
        <v>0</v>
      </c>
      <c r="M195" s="91" t="s">
        <v>622</v>
      </c>
      <c r="Z195" s="90">
        <f t="shared" si="180"/>
        <v>0</v>
      </c>
      <c r="AB195" s="90">
        <f t="shared" si="181"/>
        <v>0</v>
      </c>
      <c r="AC195" s="90">
        <f t="shared" si="182"/>
        <v>0</v>
      </c>
      <c r="AD195" s="90">
        <f t="shared" si="183"/>
        <v>0</v>
      </c>
      <c r="AE195" s="90">
        <f t="shared" si="184"/>
        <v>0</v>
      </c>
      <c r="AF195" s="90">
        <f t="shared" si="185"/>
        <v>0</v>
      </c>
      <c r="AG195" s="90">
        <f t="shared" si="186"/>
        <v>0</v>
      </c>
      <c r="AH195" s="90">
        <f t="shared" si="187"/>
        <v>0</v>
      </c>
      <c r="AI195" s="154" t="s">
        <v>59</v>
      </c>
      <c r="AJ195" s="90">
        <f t="shared" si="188"/>
        <v>0</v>
      </c>
      <c r="AK195" s="90">
        <f t="shared" si="189"/>
        <v>0</v>
      </c>
      <c r="AL195" s="90">
        <f t="shared" si="190"/>
        <v>0</v>
      </c>
      <c r="AN195" s="90">
        <v>15</v>
      </c>
      <c r="AO195" s="90">
        <f t="shared" si="191"/>
        <v>0</v>
      </c>
      <c r="AP195" s="90">
        <f t="shared" si="192"/>
        <v>7650</v>
      </c>
      <c r="AQ195" s="91" t="s">
        <v>79</v>
      </c>
      <c r="AV195" s="90">
        <f t="shared" si="193"/>
        <v>0</v>
      </c>
      <c r="AW195" s="90">
        <f t="shared" si="194"/>
        <v>0</v>
      </c>
      <c r="AX195" s="90">
        <f t="shared" si="195"/>
        <v>0</v>
      </c>
      <c r="AY195" s="91" t="s">
        <v>649</v>
      </c>
      <c r="AZ195" s="91" t="s">
        <v>652</v>
      </c>
      <c r="BA195" s="154" t="s">
        <v>658</v>
      </c>
      <c r="BC195" s="90">
        <f t="shared" si="196"/>
        <v>0</v>
      </c>
      <c r="BD195" s="90">
        <f t="shared" si="197"/>
        <v>7650</v>
      </c>
      <c r="BE195" s="90">
        <v>0</v>
      </c>
      <c r="BF195" s="90">
        <f t="shared" si="198"/>
        <v>0</v>
      </c>
      <c r="BH195" s="90">
        <f t="shared" si="199"/>
        <v>0</v>
      </c>
      <c r="BI195" s="90">
        <f t="shared" si="200"/>
        <v>0</v>
      </c>
      <c r="BJ195" s="90">
        <f t="shared" si="201"/>
        <v>0</v>
      </c>
    </row>
    <row r="196" spans="1:62" ht="12.75" hidden="1">
      <c r="A196" s="88" t="s">
        <v>244</v>
      </c>
      <c r="B196" s="88" t="s">
        <v>59</v>
      </c>
      <c r="C196" s="88" t="s">
        <v>417</v>
      </c>
      <c r="D196" s="88" t="s">
        <v>604</v>
      </c>
      <c r="E196" s="88" t="s">
        <v>611</v>
      </c>
      <c r="F196" s="90"/>
      <c r="G196" s="90">
        <v>270</v>
      </c>
      <c r="H196" s="90">
        <f t="shared" si="176"/>
        <v>0</v>
      </c>
      <c r="I196" s="90">
        <f t="shared" si="177"/>
        <v>0</v>
      </c>
      <c r="J196" s="90">
        <f t="shared" si="178"/>
        <v>0</v>
      </c>
      <c r="K196" s="90">
        <v>0</v>
      </c>
      <c r="L196" s="90">
        <f t="shared" si="179"/>
        <v>0</v>
      </c>
      <c r="M196" s="91" t="s">
        <v>622</v>
      </c>
      <c r="Z196" s="90">
        <f t="shared" si="180"/>
        <v>0</v>
      </c>
      <c r="AB196" s="90">
        <f t="shared" si="181"/>
        <v>0</v>
      </c>
      <c r="AC196" s="90">
        <f t="shared" si="182"/>
        <v>0</v>
      </c>
      <c r="AD196" s="90">
        <f t="shared" si="183"/>
        <v>0</v>
      </c>
      <c r="AE196" s="90">
        <f t="shared" si="184"/>
        <v>0</v>
      </c>
      <c r="AF196" s="90">
        <f t="shared" si="185"/>
        <v>0</v>
      </c>
      <c r="AG196" s="90">
        <f t="shared" si="186"/>
        <v>0</v>
      </c>
      <c r="AH196" s="90">
        <f t="shared" si="187"/>
        <v>0</v>
      </c>
      <c r="AI196" s="154" t="s">
        <v>59</v>
      </c>
      <c r="AJ196" s="90">
        <f t="shared" si="188"/>
        <v>0</v>
      </c>
      <c r="AK196" s="90">
        <f t="shared" si="189"/>
        <v>0</v>
      </c>
      <c r="AL196" s="90">
        <f t="shared" si="190"/>
        <v>0</v>
      </c>
      <c r="AN196" s="90">
        <v>15</v>
      </c>
      <c r="AO196" s="90">
        <f t="shared" si="191"/>
        <v>0</v>
      </c>
      <c r="AP196" s="90">
        <f t="shared" si="192"/>
        <v>270</v>
      </c>
      <c r="AQ196" s="91" t="s">
        <v>79</v>
      </c>
      <c r="AV196" s="90">
        <f t="shared" si="193"/>
        <v>0</v>
      </c>
      <c r="AW196" s="90">
        <f t="shared" si="194"/>
        <v>0</v>
      </c>
      <c r="AX196" s="90">
        <f t="shared" si="195"/>
        <v>0</v>
      </c>
      <c r="AY196" s="91" t="s">
        <v>649</v>
      </c>
      <c r="AZ196" s="91" t="s">
        <v>652</v>
      </c>
      <c r="BA196" s="154" t="s">
        <v>658</v>
      </c>
      <c r="BC196" s="90">
        <f t="shared" si="196"/>
        <v>0</v>
      </c>
      <c r="BD196" s="90">
        <f t="shared" si="197"/>
        <v>270</v>
      </c>
      <c r="BE196" s="90">
        <v>0</v>
      </c>
      <c r="BF196" s="90">
        <f t="shared" si="198"/>
        <v>0</v>
      </c>
      <c r="BH196" s="90">
        <f t="shared" si="199"/>
        <v>0</v>
      </c>
      <c r="BI196" s="90">
        <f t="shared" si="200"/>
        <v>0</v>
      </c>
      <c r="BJ196" s="90">
        <f t="shared" si="201"/>
        <v>0</v>
      </c>
    </row>
    <row r="197" spans="1:13" ht="12.75">
      <c r="A197" s="162"/>
      <c r="B197" s="163" t="s">
        <v>60</v>
      </c>
      <c r="C197" s="163"/>
      <c r="D197" s="163" t="s">
        <v>66</v>
      </c>
      <c r="E197" s="162" t="s">
        <v>57</v>
      </c>
      <c r="F197" s="162" t="s">
        <v>57</v>
      </c>
      <c r="G197" s="162" t="s">
        <v>57</v>
      </c>
      <c r="H197" s="164">
        <f>H198+H203+H213+H216+H225+H229+H231+H236+H241+H250+H257+H259+H319+H367+H417+H482+H490+H495+H509+H518+H538+H543</f>
        <v>0</v>
      </c>
      <c r="I197" s="164">
        <f>I198+I203+I213+I216+I225+I229+I231+I236+I241+I250+I257+I259+I319+I367+I417+I482+I490+I495+I509+I518+I538+I543</f>
        <v>0</v>
      </c>
      <c r="J197" s="164">
        <f>J198+J203+J213+J216+J225+J229+J231+J236+J241+J250+J257+J259+J319+J367+J417+J482+J490+J495+J509+J518+J538+J543</f>
        <v>0</v>
      </c>
      <c r="K197" s="165"/>
      <c r="L197" s="164">
        <f>L198+L203+L213+L216+L225+L229+L231+L236+L241+L250+L257+L259+L319+L367+L417+L482+L490+L495+L509+L518+L538+L543</f>
        <v>340.71488860000005</v>
      </c>
      <c r="M197" s="165"/>
    </row>
    <row r="198" spans="1:47" ht="12.75">
      <c r="A198" s="159"/>
      <c r="B198" s="160" t="s">
        <v>60</v>
      </c>
      <c r="C198" s="160" t="s">
        <v>109</v>
      </c>
      <c r="D198" s="160" t="s">
        <v>420</v>
      </c>
      <c r="E198" s="159" t="s">
        <v>57</v>
      </c>
      <c r="F198" s="159" t="s">
        <v>57</v>
      </c>
      <c r="G198" s="159" t="s">
        <v>57</v>
      </c>
      <c r="H198" s="161">
        <f>SUM(H199:H202)</f>
        <v>0</v>
      </c>
      <c r="I198" s="161">
        <f>SUM(I199:I202)</f>
        <v>0</v>
      </c>
      <c r="J198" s="161">
        <f>SUM(J199:J202)</f>
        <v>0</v>
      </c>
      <c r="K198" s="154"/>
      <c r="L198" s="161">
        <f>SUM(L199:L202)</f>
        <v>1.05887</v>
      </c>
      <c r="M198" s="154"/>
      <c r="AI198" s="154" t="s">
        <v>60</v>
      </c>
      <c r="AS198" s="161">
        <f>SUM(AJ199:AJ202)</f>
        <v>0</v>
      </c>
      <c r="AT198" s="161">
        <f>SUM(AK199:AK202)</f>
        <v>0</v>
      </c>
      <c r="AU198" s="161">
        <f>SUM(AL199:AL202)</f>
        <v>0</v>
      </c>
    </row>
    <row r="199" spans="1:62" ht="12.75">
      <c r="A199" s="88" t="s">
        <v>664</v>
      </c>
      <c r="B199" s="88" t="s">
        <v>60</v>
      </c>
      <c r="C199" s="88" t="s">
        <v>944</v>
      </c>
      <c r="D199" s="88" t="s">
        <v>1225</v>
      </c>
      <c r="E199" s="88" t="s">
        <v>606</v>
      </c>
      <c r="F199" s="90">
        <v>14</v>
      </c>
      <c r="G199" s="90">
        <f>'Stavební rozpočet (SO 13)'!G14</f>
        <v>0</v>
      </c>
      <c r="H199" s="90">
        <f>F199*AO199</f>
        <v>0</v>
      </c>
      <c r="I199" s="90">
        <f>F199*AP199</f>
        <v>0</v>
      </c>
      <c r="J199" s="90">
        <f>F199*G199</f>
        <v>0</v>
      </c>
      <c r="K199" s="90">
        <v>0.03637</v>
      </c>
      <c r="L199" s="90">
        <f>F199*K199</f>
        <v>0.50918</v>
      </c>
      <c r="M199" s="91" t="s">
        <v>622</v>
      </c>
      <c r="O199" s="90"/>
      <c r="P199" s="90"/>
      <c r="Z199" s="90">
        <f>IF(AQ199="5",BJ199,0)</f>
        <v>0</v>
      </c>
      <c r="AB199" s="90">
        <f>IF(AQ199="1",BH199,0)</f>
        <v>0</v>
      </c>
      <c r="AC199" s="90">
        <f>IF(AQ199="1",BI199,0)</f>
        <v>0</v>
      </c>
      <c r="AD199" s="90">
        <f>IF(AQ199="7",BH199,0)</f>
        <v>0</v>
      </c>
      <c r="AE199" s="90">
        <f>IF(AQ199="7",BI199,0)</f>
        <v>0</v>
      </c>
      <c r="AF199" s="90">
        <f>IF(AQ199="2",BH199,0)</f>
        <v>0</v>
      </c>
      <c r="AG199" s="90">
        <f>IF(AQ199="2",BI199,0)</f>
        <v>0</v>
      </c>
      <c r="AH199" s="90">
        <f>IF(AQ199="0",BJ199,0)</f>
        <v>0</v>
      </c>
      <c r="AI199" s="154" t="s">
        <v>60</v>
      </c>
      <c r="AJ199" s="90">
        <f>IF(AN199=0,J199,0)</f>
        <v>0</v>
      </c>
      <c r="AK199" s="90">
        <f>IF(AN199=15,J199,0)</f>
        <v>0</v>
      </c>
      <c r="AL199" s="90">
        <f>IF(AN199=21,J199,0)</f>
        <v>0</v>
      </c>
      <c r="AN199" s="90">
        <v>21</v>
      </c>
      <c r="AO199" s="90">
        <f>G199*0.695173674588665</f>
        <v>0</v>
      </c>
      <c r="AP199" s="90">
        <f>G199*(1-0.695173674588665)</f>
        <v>0</v>
      </c>
      <c r="AQ199" s="91" t="s">
        <v>79</v>
      </c>
      <c r="AV199" s="90">
        <f>AW199+AX199</f>
        <v>0</v>
      </c>
      <c r="AW199" s="90">
        <f>F199*AO199</f>
        <v>0</v>
      </c>
      <c r="AX199" s="90">
        <f>F199*AP199</f>
        <v>0</v>
      </c>
      <c r="AY199" s="91" t="s">
        <v>632</v>
      </c>
      <c r="AZ199" s="91" t="s">
        <v>1533</v>
      </c>
      <c r="BA199" s="154" t="s">
        <v>1542</v>
      </c>
      <c r="BC199" s="90">
        <f>AW199+AX199</f>
        <v>0</v>
      </c>
      <c r="BD199" s="90">
        <f>G199/(100-BE199)*100</f>
        <v>0</v>
      </c>
      <c r="BE199" s="90">
        <v>0</v>
      </c>
      <c r="BF199" s="90">
        <f>L199</f>
        <v>0.50918</v>
      </c>
      <c r="BH199" s="90">
        <f>F199*AO199</f>
        <v>0</v>
      </c>
      <c r="BI199" s="90">
        <f>F199*AP199</f>
        <v>0</v>
      </c>
      <c r="BJ199" s="90">
        <f>F199*G199</f>
        <v>0</v>
      </c>
    </row>
    <row r="200" spans="1:62" ht="12.75">
      <c r="A200" s="88" t="s">
        <v>665</v>
      </c>
      <c r="B200" s="88" t="s">
        <v>60</v>
      </c>
      <c r="C200" s="88" t="s">
        <v>246</v>
      </c>
      <c r="D200" s="88" t="s">
        <v>421</v>
      </c>
      <c r="E200" s="88" t="s">
        <v>606</v>
      </c>
      <c r="F200" s="90">
        <v>12</v>
      </c>
      <c r="G200" s="90">
        <f>'Stavební rozpočet (SO 13)'!G15</f>
        <v>0</v>
      </c>
      <c r="H200" s="90">
        <f>F200*AO200</f>
        <v>0</v>
      </c>
      <c r="I200" s="90">
        <f>F200*AP200</f>
        <v>0</v>
      </c>
      <c r="J200" s="90">
        <f>F200*G200</f>
        <v>0</v>
      </c>
      <c r="K200" s="90">
        <v>0.04529</v>
      </c>
      <c r="L200" s="90">
        <f>F200*K200</f>
        <v>0.54348</v>
      </c>
      <c r="M200" s="91" t="s">
        <v>622</v>
      </c>
      <c r="O200" s="90"/>
      <c r="P200" s="90"/>
      <c r="Z200" s="90">
        <f>IF(AQ200="5",BJ200,0)</f>
        <v>0</v>
      </c>
      <c r="AB200" s="90">
        <f>IF(AQ200="1",BH200,0)</f>
        <v>0</v>
      </c>
      <c r="AC200" s="90">
        <f>IF(AQ200="1",BI200,0)</f>
        <v>0</v>
      </c>
      <c r="AD200" s="90">
        <f>IF(AQ200="7",BH200,0)</f>
        <v>0</v>
      </c>
      <c r="AE200" s="90">
        <f>IF(AQ200="7",BI200,0)</f>
        <v>0</v>
      </c>
      <c r="AF200" s="90">
        <f>IF(AQ200="2",BH200,0)</f>
        <v>0</v>
      </c>
      <c r="AG200" s="90">
        <f>IF(AQ200="2",BI200,0)</f>
        <v>0</v>
      </c>
      <c r="AH200" s="90">
        <f>IF(AQ200="0",BJ200,0)</f>
        <v>0</v>
      </c>
      <c r="AI200" s="154" t="s">
        <v>60</v>
      </c>
      <c r="AJ200" s="90">
        <f>IF(AN200=0,J200,0)</f>
        <v>0</v>
      </c>
      <c r="AK200" s="90">
        <f>IF(AN200=15,J200,0)</f>
        <v>0</v>
      </c>
      <c r="AL200" s="90">
        <f>IF(AN200=21,J200,0)</f>
        <v>0</v>
      </c>
      <c r="AN200" s="90">
        <v>21</v>
      </c>
      <c r="AO200" s="90">
        <f>G200*0.746607669616519</f>
        <v>0</v>
      </c>
      <c r="AP200" s="90">
        <f>G200*(1-0.746607669616519)</f>
        <v>0</v>
      </c>
      <c r="AQ200" s="91" t="s">
        <v>79</v>
      </c>
      <c r="AV200" s="90">
        <f>AW200+AX200</f>
        <v>0</v>
      </c>
      <c r="AW200" s="90">
        <f>F200*AO200</f>
        <v>0</v>
      </c>
      <c r="AX200" s="90">
        <f>F200*AP200</f>
        <v>0</v>
      </c>
      <c r="AY200" s="91" t="s">
        <v>632</v>
      </c>
      <c r="AZ200" s="91" t="s">
        <v>1533</v>
      </c>
      <c r="BA200" s="154" t="s">
        <v>1542</v>
      </c>
      <c r="BC200" s="90">
        <f>AW200+AX200</f>
        <v>0</v>
      </c>
      <c r="BD200" s="90">
        <f>G200/(100-BE200)*100</f>
        <v>0</v>
      </c>
      <c r="BE200" s="90">
        <v>0</v>
      </c>
      <c r="BF200" s="90">
        <f>L200</f>
        <v>0.54348</v>
      </c>
      <c r="BH200" s="90">
        <f>F200*AO200</f>
        <v>0</v>
      </c>
      <c r="BI200" s="90">
        <f>F200*AP200</f>
        <v>0</v>
      </c>
      <c r="BJ200" s="90">
        <f>F200*G200</f>
        <v>0</v>
      </c>
    </row>
    <row r="201" spans="1:62" ht="12.75">
      <c r="A201" s="88" t="s">
        <v>666</v>
      </c>
      <c r="B201" s="88" t="s">
        <v>60</v>
      </c>
      <c r="C201" s="88" t="s">
        <v>247</v>
      </c>
      <c r="D201" s="88" t="s">
        <v>422</v>
      </c>
      <c r="E201" s="88" t="s">
        <v>606</v>
      </c>
      <c r="F201" s="90">
        <v>0</v>
      </c>
      <c r="G201" s="90">
        <f>'Stavební rozpočet (SO 13)'!G16</f>
        <v>0</v>
      </c>
      <c r="H201" s="90">
        <f>F201*AO201</f>
        <v>0</v>
      </c>
      <c r="I201" s="90">
        <f>F201*AP201</f>
        <v>0</v>
      </c>
      <c r="J201" s="90">
        <f>F201*G201</f>
        <v>0</v>
      </c>
      <c r="K201" s="90">
        <v>0.06314</v>
      </c>
      <c r="L201" s="90">
        <f>F201*K201</f>
        <v>0</v>
      </c>
      <c r="M201" s="91" t="s">
        <v>622</v>
      </c>
      <c r="O201" s="90"/>
      <c r="P201" s="90"/>
      <c r="Z201" s="90">
        <f>IF(AQ201="5",BJ201,0)</f>
        <v>0</v>
      </c>
      <c r="AB201" s="90">
        <f>IF(AQ201="1",BH201,0)</f>
        <v>0</v>
      </c>
      <c r="AC201" s="90">
        <f>IF(AQ201="1",BI201,0)</f>
        <v>0</v>
      </c>
      <c r="AD201" s="90">
        <f>IF(AQ201="7",BH201,0)</f>
        <v>0</v>
      </c>
      <c r="AE201" s="90">
        <f>IF(AQ201="7",BI201,0)</f>
        <v>0</v>
      </c>
      <c r="AF201" s="90">
        <f>IF(AQ201="2",BH201,0)</f>
        <v>0</v>
      </c>
      <c r="AG201" s="90">
        <f>IF(AQ201="2",BI201,0)</f>
        <v>0</v>
      </c>
      <c r="AH201" s="90">
        <f>IF(AQ201="0",BJ201,0)</f>
        <v>0</v>
      </c>
      <c r="AI201" s="154" t="s">
        <v>60</v>
      </c>
      <c r="AJ201" s="90">
        <f>IF(AN201=0,J201,0)</f>
        <v>0</v>
      </c>
      <c r="AK201" s="90">
        <f>IF(AN201=15,J201,0)</f>
        <v>0</v>
      </c>
      <c r="AL201" s="90">
        <f>IF(AN201=21,J201,0)</f>
        <v>0</v>
      </c>
      <c r="AN201" s="90">
        <v>21</v>
      </c>
      <c r="AO201" s="90">
        <f>G201*0.809549738219895</f>
        <v>0</v>
      </c>
      <c r="AP201" s="90">
        <f>G201*(1-0.809549738219895)</f>
        <v>0</v>
      </c>
      <c r="AQ201" s="91" t="s">
        <v>79</v>
      </c>
      <c r="AV201" s="90">
        <f>AW201+AX201</f>
        <v>0</v>
      </c>
      <c r="AW201" s="90">
        <f>F201*AO201</f>
        <v>0</v>
      </c>
      <c r="AX201" s="90">
        <f>F201*AP201</f>
        <v>0</v>
      </c>
      <c r="AY201" s="91" t="s">
        <v>632</v>
      </c>
      <c r="AZ201" s="91" t="s">
        <v>1533</v>
      </c>
      <c r="BA201" s="154" t="s">
        <v>1542</v>
      </c>
      <c r="BC201" s="90">
        <f>AW201+AX201</f>
        <v>0</v>
      </c>
      <c r="BD201" s="90">
        <f>G201/(100-BE201)*100</f>
        <v>0</v>
      </c>
      <c r="BE201" s="90">
        <v>0</v>
      </c>
      <c r="BF201" s="90">
        <f>L201</f>
        <v>0</v>
      </c>
      <c r="BH201" s="90">
        <f>F201*AO201</f>
        <v>0</v>
      </c>
      <c r="BI201" s="90">
        <f>F201*AP201</f>
        <v>0</v>
      </c>
      <c r="BJ201" s="90">
        <f>F201*G201</f>
        <v>0</v>
      </c>
    </row>
    <row r="202" spans="1:62" ht="12.75">
      <c r="A202" s="88" t="s">
        <v>667</v>
      </c>
      <c r="B202" s="88" t="s">
        <v>60</v>
      </c>
      <c r="C202" s="88" t="s">
        <v>248</v>
      </c>
      <c r="D202" s="88" t="s">
        <v>423</v>
      </c>
      <c r="E202" s="88" t="s">
        <v>607</v>
      </c>
      <c r="F202" s="90">
        <v>5.4</v>
      </c>
      <c r="G202" s="90">
        <f>'Stavební rozpočet (SO 13)'!G17</f>
        <v>0</v>
      </c>
      <c r="H202" s="90">
        <f>F202*AO202</f>
        <v>0</v>
      </c>
      <c r="I202" s="90">
        <f>F202*AP202</f>
        <v>0</v>
      </c>
      <c r="J202" s="90">
        <f>F202*G202</f>
        <v>0</v>
      </c>
      <c r="K202" s="90">
        <v>0.00115</v>
      </c>
      <c r="L202" s="90">
        <f>F202*K202</f>
        <v>0.00621</v>
      </c>
      <c r="M202" s="91" t="s">
        <v>622</v>
      </c>
      <c r="O202" s="90"/>
      <c r="P202" s="90"/>
      <c r="Z202" s="90">
        <f>IF(AQ202="5",BJ202,0)</f>
        <v>0</v>
      </c>
      <c r="AB202" s="90">
        <f>IF(AQ202="1",BH202,0)</f>
        <v>0</v>
      </c>
      <c r="AC202" s="90">
        <f>IF(AQ202="1",BI202,0)</f>
        <v>0</v>
      </c>
      <c r="AD202" s="90">
        <f>IF(AQ202="7",BH202,0)</f>
        <v>0</v>
      </c>
      <c r="AE202" s="90">
        <f>IF(AQ202="7",BI202,0)</f>
        <v>0</v>
      </c>
      <c r="AF202" s="90">
        <f>IF(AQ202="2",BH202,0)</f>
        <v>0</v>
      </c>
      <c r="AG202" s="90">
        <f>IF(AQ202="2",BI202,0)</f>
        <v>0</v>
      </c>
      <c r="AH202" s="90">
        <f>IF(AQ202="0",BJ202,0)</f>
        <v>0</v>
      </c>
      <c r="AI202" s="154" t="s">
        <v>60</v>
      </c>
      <c r="AJ202" s="90">
        <f>IF(AN202=0,J202,0)</f>
        <v>0</v>
      </c>
      <c r="AK202" s="90">
        <f>IF(AN202=15,J202,0)</f>
        <v>0</v>
      </c>
      <c r="AL202" s="90">
        <f>IF(AN202=21,J202,0)</f>
        <v>0</v>
      </c>
      <c r="AN202" s="90">
        <v>21</v>
      </c>
      <c r="AO202" s="90">
        <f>G202*0.776526315789474</f>
        <v>0</v>
      </c>
      <c r="AP202" s="90">
        <f>G202*(1-0.776526315789474)</f>
        <v>0</v>
      </c>
      <c r="AQ202" s="91" t="s">
        <v>79</v>
      </c>
      <c r="AV202" s="90">
        <f>AW202+AX202</f>
        <v>0</v>
      </c>
      <c r="AW202" s="90">
        <f>F202*AO202</f>
        <v>0</v>
      </c>
      <c r="AX202" s="90">
        <f>F202*AP202</f>
        <v>0</v>
      </c>
      <c r="AY202" s="91" t="s">
        <v>632</v>
      </c>
      <c r="AZ202" s="91" t="s">
        <v>1533</v>
      </c>
      <c r="BA202" s="154" t="s">
        <v>1542</v>
      </c>
      <c r="BC202" s="90">
        <f>AW202+AX202</f>
        <v>0</v>
      </c>
      <c r="BD202" s="90">
        <f>G202/(100-BE202)*100</f>
        <v>0</v>
      </c>
      <c r="BE202" s="90">
        <v>0</v>
      </c>
      <c r="BF202" s="90">
        <f>L202</f>
        <v>0.00621</v>
      </c>
      <c r="BH202" s="90">
        <f>F202*AO202</f>
        <v>0</v>
      </c>
      <c r="BI202" s="90">
        <f>F202*AP202</f>
        <v>0</v>
      </c>
      <c r="BJ202" s="90">
        <f>F202*G202</f>
        <v>0</v>
      </c>
    </row>
    <row r="203" spans="1:47" ht="12.75">
      <c r="A203" s="159"/>
      <c r="B203" s="160" t="s">
        <v>60</v>
      </c>
      <c r="C203" s="160" t="s">
        <v>112</v>
      </c>
      <c r="D203" s="160" t="s">
        <v>425</v>
      </c>
      <c r="E203" s="159" t="s">
        <v>57</v>
      </c>
      <c r="F203" s="159" t="s">
        <v>57</v>
      </c>
      <c r="G203" s="159"/>
      <c r="H203" s="161">
        <f>SUM(H204:H212)</f>
        <v>0</v>
      </c>
      <c r="I203" s="161">
        <f>SUM(I204:I212)</f>
        <v>0</v>
      </c>
      <c r="J203" s="161">
        <f>SUM(J204:J212)</f>
        <v>0</v>
      </c>
      <c r="K203" s="154"/>
      <c r="L203" s="161">
        <f>SUM(L204:L212)</f>
        <v>12.758306200000002</v>
      </c>
      <c r="M203" s="154"/>
      <c r="O203" s="159"/>
      <c r="P203" s="159"/>
      <c r="AI203" s="154" t="s">
        <v>60</v>
      </c>
      <c r="AS203" s="161">
        <f>SUM(AJ204:AJ212)</f>
        <v>0</v>
      </c>
      <c r="AT203" s="161">
        <f>SUM(AK204:AK212)</f>
        <v>0</v>
      </c>
      <c r="AU203" s="161">
        <f>SUM(AL204:AL212)</f>
        <v>0</v>
      </c>
    </row>
    <row r="204" spans="1:62" ht="12.75">
      <c r="A204" s="88" t="s">
        <v>668</v>
      </c>
      <c r="B204" s="88" t="s">
        <v>60</v>
      </c>
      <c r="C204" s="88" t="s">
        <v>249</v>
      </c>
      <c r="D204" s="88" t="s">
        <v>426</v>
      </c>
      <c r="E204" s="88" t="s">
        <v>608</v>
      </c>
      <c r="F204" s="90">
        <v>98.93</v>
      </c>
      <c r="G204" s="90">
        <f>'Stavební rozpočet (SO 13)'!G20</f>
        <v>0</v>
      </c>
      <c r="H204" s="90">
        <f aca="true" t="shared" si="202" ref="H204:H212">F204*AO204</f>
        <v>0</v>
      </c>
      <c r="I204" s="90">
        <f aca="true" t="shared" si="203" ref="I204:I212">F204*AP204</f>
        <v>0</v>
      </c>
      <c r="J204" s="90">
        <f aca="true" t="shared" si="204" ref="J204:J212">F204*G204</f>
        <v>0</v>
      </c>
      <c r="K204" s="90">
        <v>0.11666</v>
      </c>
      <c r="L204" s="90">
        <f aca="true" t="shared" si="205" ref="L204:L212">F204*K204</f>
        <v>11.541173800000001</v>
      </c>
      <c r="M204" s="91" t="s">
        <v>622</v>
      </c>
      <c r="O204" s="90"/>
      <c r="P204" s="90"/>
      <c r="Z204" s="90">
        <f aca="true" t="shared" si="206" ref="Z204:Z212">IF(AQ204="5",BJ204,0)</f>
        <v>0</v>
      </c>
      <c r="AB204" s="90">
        <f aca="true" t="shared" si="207" ref="AB204:AB212">IF(AQ204="1",BH204,0)</f>
        <v>0</v>
      </c>
      <c r="AC204" s="90">
        <f aca="true" t="shared" si="208" ref="AC204:AC212">IF(AQ204="1",BI204,0)</f>
        <v>0</v>
      </c>
      <c r="AD204" s="90">
        <f aca="true" t="shared" si="209" ref="AD204:AD212">IF(AQ204="7",BH204,0)</f>
        <v>0</v>
      </c>
      <c r="AE204" s="90">
        <f aca="true" t="shared" si="210" ref="AE204:AE212">IF(AQ204="7",BI204,0)</f>
        <v>0</v>
      </c>
      <c r="AF204" s="90">
        <f aca="true" t="shared" si="211" ref="AF204:AF212">IF(AQ204="2",BH204,0)</f>
        <v>0</v>
      </c>
      <c r="AG204" s="90">
        <f aca="true" t="shared" si="212" ref="AG204:AG212">IF(AQ204="2",BI204,0)</f>
        <v>0</v>
      </c>
      <c r="AH204" s="90">
        <f aca="true" t="shared" si="213" ref="AH204:AH212">IF(AQ204="0",BJ204,0)</f>
        <v>0</v>
      </c>
      <c r="AI204" s="154" t="s">
        <v>60</v>
      </c>
      <c r="AJ204" s="90">
        <f aca="true" t="shared" si="214" ref="AJ204:AJ212">IF(AN204=0,J204,0)</f>
        <v>0</v>
      </c>
      <c r="AK204" s="90">
        <f aca="true" t="shared" si="215" ref="AK204:AK212">IF(AN204=15,J204,0)</f>
        <v>0</v>
      </c>
      <c r="AL204" s="90">
        <f aca="true" t="shared" si="216" ref="AL204:AL212">IF(AN204=21,J204,0)</f>
        <v>0</v>
      </c>
      <c r="AN204" s="90">
        <v>21</v>
      </c>
      <c r="AO204" s="90">
        <f>G204*0.640748171487873</f>
        <v>0</v>
      </c>
      <c r="AP204" s="90">
        <f>G204*(1-0.640748171487873)</f>
        <v>0</v>
      </c>
      <c r="AQ204" s="91" t="s">
        <v>79</v>
      </c>
      <c r="AV204" s="90">
        <f aca="true" t="shared" si="217" ref="AV204:AV212">AW204+AX204</f>
        <v>0</v>
      </c>
      <c r="AW204" s="90">
        <f aca="true" t="shared" si="218" ref="AW204:AW212">F204*AO204</f>
        <v>0</v>
      </c>
      <c r="AX204" s="90">
        <f aca="true" t="shared" si="219" ref="AX204:AX212">F204*AP204</f>
        <v>0</v>
      </c>
      <c r="AY204" s="91" t="s">
        <v>633</v>
      </c>
      <c r="AZ204" s="91" t="s">
        <v>1533</v>
      </c>
      <c r="BA204" s="154" t="s">
        <v>1542</v>
      </c>
      <c r="BC204" s="90">
        <f aca="true" t="shared" si="220" ref="BC204:BC212">AW204+AX204</f>
        <v>0</v>
      </c>
      <c r="BD204" s="90">
        <f aca="true" t="shared" si="221" ref="BD204:BD212">G204/(100-BE204)*100</f>
        <v>0</v>
      </c>
      <c r="BE204" s="90">
        <v>0</v>
      </c>
      <c r="BF204" s="90">
        <f aca="true" t="shared" si="222" ref="BF204:BF212">L204</f>
        <v>11.541173800000001</v>
      </c>
      <c r="BH204" s="90">
        <f aca="true" t="shared" si="223" ref="BH204:BH212">F204*AO204</f>
        <v>0</v>
      </c>
      <c r="BI204" s="90">
        <f aca="true" t="shared" si="224" ref="BI204:BI212">F204*AP204</f>
        <v>0</v>
      </c>
      <c r="BJ204" s="90">
        <f aca="true" t="shared" si="225" ref="BJ204:BJ212">F204*G204</f>
        <v>0</v>
      </c>
    </row>
    <row r="205" spans="1:62" ht="12.75">
      <c r="A205" s="88" t="s">
        <v>669</v>
      </c>
      <c r="B205" s="88" t="s">
        <v>60</v>
      </c>
      <c r="C205" s="88" t="s">
        <v>250</v>
      </c>
      <c r="D205" s="88" t="s">
        <v>427</v>
      </c>
      <c r="E205" s="88" t="s">
        <v>608</v>
      </c>
      <c r="F205" s="90">
        <v>0</v>
      </c>
      <c r="G205" s="90">
        <f>'Stavební rozpočet (SO 13)'!G21</f>
        <v>0</v>
      </c>
      <c r="H205" s="90">
        <f t="shared" si="202"/>
        <v>0</v>
      </c>
      <c r="I205" s="90">
        <f t="shared" si="203"/>
        <v>0</v>
      </c>
      <c r="J205" s="90">
        <f t="shared" si="204"/>
        <v>0</v>
      </c>
      <c r="K205" s="90">
        <v>0.0286</v>
      </c>
      <c r="L205" s="90">
        <f t="shared" si="205"/>
        <v>0</v>
      </c>
      <c r="M205" s="91" t="s">
        <v>622</v>
      </c>
      <c r="O205" s="90"/>
      <c r="P205" s="90"/>
      <c r="Z205" s="90">
        <f t="shared" si="206"/>
        <v>0</v>
      </c>
      <c r="AB205" s="90">
        <f t="shared" si="207"/>
        <v>0</v>
      </c>
      <c r="AC205" s="90">
        <f t="shared" si="208"/>
        <v>0</v>
      </c>
      <c r="AD205" s="90">
        <f t="shared" si="209"/>
        <v>0</v>
      </c>
      <c r="AE205" s="90">
        <f t="shared" si="210"/>
        <v>0</v>
      </c>
      <c r="AF205" s="90">
        <f t="shared" si="211"/>
        <v>0</v>
      </c>
      <c r="AG205" s="90">
        <f t="shared" si="212"/>
        <v>0</v>
      </c>
      <c r="AH205" s="90">
        <f t="shared" si="213"/>
        <v>0</v>
      </c>
      <c r="AI205" s="154" t="s">
        <v>60</v>
      </c>
      <c r="AJ205" s="90">
        <f t="shared" si="214"/>
        <v>0</v>
      </c>
      <c r="AK205" s="90">
        <f t="shared" si="215"/>
        <v>0</v>
      </c>
      <c r="AL205" s="90">
        <f t="shared" si="216"/>
        <v>0</v>
      </c>
      <c r="AN205" s="90">
        <v>21</v>
      </c>
      <c r="AO205" s="90">
        <f>G205*0.356243902439024</f>
        <v>0</v>
      </c>
      <c r="AP205" s="90">
        <f>G205*(1-0.356243902439024)</f>
        <v>0</v>
      </c>
      <c r="AQ205" s="91" t="s">
        <v>79</v>
      </c>
      <c r="AV205" s="90">
        <f t="shared" si="217"/>
        <v>0</v>
      </c>
      <c r="AW205" s="90">
        <f t="shared" si="218"/>
        <v>0</v>
      </c>
      <c r="AX205" s="90">
        <f t="shared" si="219"/>
        <v>0</v>
      </c>
      <c r="AY205" s="91" t="s">
        <v>633</v>
      </c>
      <c r="AZ205" s="91" t="s">
        <v>1533</v>
      </c>
      <c r="BA205" s="154" t="s">
        <v>1542</v>
      </c>
      <c r="BC205" s="90">
        <f t="shared" si="220"/>
        <v>0</v>
      </c>
      <c r="BD205" s="90">
        <f t="shared" si="221"/>
        <v>0</v>
      </c>
      <c r="BE205" s="90">
        <v>0</v>
      </c>
      <c r="BF205" s="90">
        <f t="shared" si="222"/>
        <v>0</v>
      </c>
      <c r="BH205" s="90">
        <f t="shared" si="223"/>
        <v>0</v>
      </c>
      <c r="BI205" s="90">
        <f t="shared" si="224"/>
        <v>0</v>
      </c>
      <c r="BJ205" s="90">
        <f t="shared" si="225"/>
        <v>0</v>
      </c>
    </row>
    <row r="206" spans="1:62" ht="12.75">
      <c r="A206" s="88" t="s">
        <v>670</v>
      </c>
      <c r="B206" s="88" t="s">
        <v>60</v>
      </c>
      <c r="C206" s="88" t="s">
        <v>945</v>
      </c>
      <c r="D206" s="88" t="s">
        <v>1226</v>
      </c>
      <c r="E206" s="88" t="s">
        <v>608</v>
      </c>
      <c r="F206" s="90">
        <v>0</v>
      </c>
      <c r="G206" s="90">
        <f>'Stavební rozpočet (SO 13)'!$G$23</f>
        <v>0</v>
      </c>
      <c r="H206" s="90">
        <f t="shared" si="202"/>
        <v>0</v>
      </c>
      <c r="I206" s="90">
        <f t="shared" si="203"/>
        <v>0</v>
      </c>
      <c r="J206" s="90">
        <f t="shared" si="204"/>
        <v>0</v>
      </c>
      <c r="K206" s="90">
        <v>0.0286</v>
      </c>
      <c r="L206" s="90">
        <f t="shared" si="205"/>
        <v>0</v>
      </c>
      <c r="M206" s="91" t="s">
        <v>622</v>
      </c>
      <c r="O206" s="90"/>
      <c r="P206" s="90"/>
      <c r="Z206" s="90">
        <f t="shared" si="206"/>
        <v>0</v>
      </c>
      <c r="AB206" s="90">
        <f t="shared" si="207"/>
        <v>0</v>
      </c>
      <c r="AC206" s="90">
        <f t="shared" si="208"/>
        <v>0</v>
      </c>
      <c r="AD206" s="90">
        <f t="shared" si="209"/>
        <v>0</v>
      </c>
      <c r="AE206" s="90">
        <f t="shared" si="210"/>
        <v>0</v>
      </c>
      <c r="AF206" s="90">
        <f t="shared" si="211"/>
        <v>0</v>
      </c>
      <c r="AG206" s="90">
        <f t="shared" si="212"/>
        <v>0</v>
      </c>
      <c r="AH206" s="90">
        <f t="shared" si="213"/>
        <v>0</v>
      </c>
      <c r="AI206" s="154" t="s">
        <v>60</v>
      </c>
      <c r="AJ206" s="90">
        <f t="shared" si="214"/>
        <v>0</v>
      </c>
      <c r="AK206" s="90">
        <f t="shared" si="215"/>
        <v>0</v>
      </c>
      <c r="AL206" s="90">
        <f t="shared" si="216"/>
        <v>0</v>
      </c>
      <c r="AN206" s="90">
        <v>21</v>
      </c>
      <c r="AO206" s="90">
        <f>G206*0.356249008723236</f>
        <v>0</v>
      </c>
      <c r="AP206" s="90">
        <f>G206*(1-0.356249008723236)</f>
        <v>0</v>
      </c>
      <c r="AQ206" s="91" t="s">
        <v>79</v>
      </c>
      <c r="AV206" s="90">
        <f t="shared" si="217"/>
        <v>0</v>
      </c>
      <c r="AW206" s="90">
        <f t="shared" si="218"/>
        <v>0</v>
      </c>
      <c r="AX206" s="90">
        <f t="shared" si="219"/>
        <v>0</v>
      </c>
      <c r="AY206" s="91" t="s">
        <v>633</v>
      </c>
      <c r="AZ206" s="91" t="s">
        <v>1533</v>
      </c>
      <c r="BA206" s="154" t="s">
        <v>1542</v>
      </c>
      <c r="BC206" s="90">
        <f t="shared" si="220"/>
        <v>0</v>
      </c>
      <c r="BD206" s="90">
        <f t="shared" si="221"/>
        <v>0</v>
      </c>
      <c r="BE206" s="90">
        <v>0</v>
      </c>
      <c r="BF206" s="90">
        <f t="shared" si="222"/>
        <v>0</v>
      </c>
      <c r="BH206" s="90">
        <f t="shared" si="223"/>
        <v>0</v>
      </c>
      <c r="BI206" s="90">
        <f t="shared" si="224"/>
        <v>0</v>
      </c>
      <c r="BJ206" s="90">
        <f t="shared" si="225"/>
        <v>0</v>
      </c>
    </row>
    <row r="207" spans="1:62" ht="12.75">
      <c r="A207" s="88" t="s">
        <v>671</v>
      </c>
      <c r="B207" s="88" t="s">
        <v>60</v>
      </c>
      <c r="C207" s="88" t="s">
        <v>251</v>
      </c>
      <c r="D207" s="88" t="s">
        <v>429</v>
      </c>
      <c r="E207" s="88" t="s">
        <v>606</v>
      </c>
      <c r="F207" s="90">
        <v>0</v>
      </c>
      <c r="G207" s="90">
        <f>'Stavební rozpočet (SO 13)'!$G$25</f>
        <v>0</v>
      </c>
      <c r="H207" s="90">
        <f t="shared" si="202"/>
        <v>0</v>
      </c>
      <c r="I207" s="90">
        <f t="shared" si="203"/>
        <v>0</v>
      </c>
      <c r="J207" s="90">
        <f t="shared" si="204"/>
        <v>0</v>
      </c>
      <c r="K207" s="90">
        <v>0.0016</v>
      </c>
      <c r="L207" s="90">
        <f t="shared" si="205"/>
        <v>0</v>
      </c>
      <c r="M207" s="91" t="s">
        <v>622</v>
      </c>
      <c r="O207" s="90"/>
      <c r="P207" s="90"/>
      <c r="Z207" s="90">
        <f t="shared" si="206"/>
        <v>0</v>
      </c>
      <c r="AB207" s="90">
        <f t="shared" si="207"/>
        <v>0</v>
      </c>
      <c r="AC207" s="90">
        <f t="shared" si="208"/>
        <v>0</v>
      </c>
      <c r="AD207" s="90">
        <f t="shared" si="209"/>
        <v>0</v>
      </c>
      <c r="AE207" s="90">
        <f t="shared" si="210"/>
        <v>0</v>
      </c>
      <c r="AF207" s="90">
        <f t="shared" si="211"/>
        <v>0</v>
      </c>
      <c r="AG207" s="90">
        <f t="shared" si="212"/>
        <v>0</v>
      </c>
      <c r="AH207" s="90">
        <f t="shared" si="213"/>
        <v>0</v>
      </c>
      <c r="AI207" s="154" t="s">
        <v>60</v>
      </c>
      <c r="AJ207" s="90">
        <f t="shared" si="214"/>
        <v>0</v>
      </c>
      <c r="AK207" s="90">
        <f t="shared" si="215"/>
        <v>0</v>
      </c>
      <c r="AL207" s="90">
        <f t="shared" si="216"/>
        <v>0</v>
      </c>
      <c r="AN207" s="90">
        <v>21</v>
      </c>
      <c r="AO207" s="90">
        <f>G207*0.608391103408434</f>
        <v>0</v>
      </c>
      <c r="AP207" s="90">
        <f>G207*(1-0.608391103408434)</f>
        <v>0</v>
      </c>
      <c r="AQ207" s="91" t="s">
        <v>79</v>
      </c>
      <c r="AV207" s="90">
        <f t="shared" si="217"/>
        <v>0</v>
      </c>
      <c r="AW207" s="90">
        <f t="shared" si="218"/>
        <v>0</v>
      </c>
      <c r="AX207" s="90">
        <f t="shared" si="219"/>
        <v>0</v>
      </c>
      <c r="AY207" s="91" t="s">
        <v>633</v>
      </c>
      <c r="AZ207" s="91" t="s">
        <v>1533</v>
      </c>
      <c r="BA207" s="154" t="s">
        <v>1542</v>
      </c>
      <c r="BC207" s="90">
        <f t="shared" si="220"/>
        <v>0</v>
      </c>
      <c r="BD207" s="90">
        <f t="shared" si="221"/>
        <v>0</v>
      </c>
      <c r="BE207" s="90">
        <v>0</v>
      </c>
      <c r="BF207" s="90">
        <f t="shared" si="222"/>
        <v>0</v>
      </c>
      <c r="BH207" s="90">
        <f t="shared" si="223"/>
        <v>0</v>
      </c>
      <c r="BI207" s="90">
        <f t="shared" si="224"/>
        <v>0</v>
      </c>
      <c r="BJ207" s="90">
        <f t="shared" si="225"/>
        <v>0</v>
      </c>
    </row>
    <row r="208" spans="1:62" ht="12.75">
      <c r="A208" s="88" t="s">
        <v>672</v>
      </c>
      <c r="B208" s="88" t="s">
        <v>60</v>
      </c>
      <c r="C208" s="88" t="s">
        <v>252</v>
      </c>
      <c r="D208" s="88" t="s">
        <v>431</v>
      </c>
      <c r="E208" s="88" t="s">
        <v>609</v>
      </c>
      <c r="F208" s="90">
        <v>41.73</v>
      </c>
      <c r="G208" s="90">
        <f>'Stavební rozpočet (SO 13)'!G27</f>
        <v>0</v>
      </c>
      <c r="H208" s="90">
        <f t="shared" si="202"/>
        <v>0</v>
      </c>
      <c r="I208" s="90">
        <f t="shared" si="203"/>
        <v>0</v>
      </c>
      <c r="J208" s="90">
        <f t="shared" si="204"/>
        <v>0</v>
      </c>
      <c r="K208" s="90">
        <v>0.00102</v>
      </c>
      <c r="L208" s="90">
        <f t="shared" si="205"/>
        <v>0.0425646</v>
      </c>
      <c r="M208" s="91" t="s">
        <v>622</v>
      </c>
      <c r="O208" s="90"/>
      <c r="P208" s="90"/>
      <c r="Z208" s="90">
        <f t="shared" si="206"/>
        <v>0</v>
      </c>
      <c r="AB208" s="90">
        <f t="shared" si="207"/>
        <v>0</v>
      </c>
      <c r="AC208" s="90">
        <f t="shared" si="208"/>
        <v>0</v>
      </c>
      <c r="AD208" s="90">
        <f t="shared" si="209"/>
        <v>0</v>
      </c>
      <c r="AE208" s="90">
        <f t="shared" si="210"/>
        <v>0</v>
      </c>
      <c r="AF208" s="90">
        <f t="shared" si="211"/>
        <v>0</v>
      </c>
      <c r="AG208" s="90">
        <f t="shared" si="212"/>
        <v>0</v>
      </c>
      <c r="AH208" s="90">
        <f t="shared" si="213"/>
        <v>0</v>
      </c>
      <c r="AI208" s="154" t="s">
        <v>60</v>
      </c>
      <c r="AJ208" s="90">
        <f t="shared" si="214"/>
        <v>0</v>
      </c>
      <c r="AK208" s="90">
        <f t="shared" si="215"/>
        <v>0</v>
      </c>
      <c r="AL208" s="90">
        <f t="shared" si="216"/>
        <v>0</v>
      </c>
      <c r="AN208" s="90">
        <v>21</v>
      </c>
      <c r="AO208" s="90">
        <f>G208*0.142925170068027</f>
        <v>0</v>
      </c>
      <c r="AP208" s="90">
        <f>G208*(1-0.142925170068027)</f>
        <v>0</v>
      </c>
      <c r="AQ208" s="91" t="s">
        <v>79</v>
      </c>
      <c r="AV208" s="90">
        <f t="shared" si="217"/>
        <v>0</v>
      </c>
      <c r="AW208" s="90">
        <f t="shared" si="218"/>
        <v>0</v>
      </c>
      <c r="AX208" s="90">
        <f t="shared" si="219"/>
        <v>0</v>
      </c>
      <c r="AY208" s="91" t="s">
        <v>633</v>
      </c>
      <c r="AZ208" s="91" t="s">
        <v>1533</v>
      </c>
      <c r="BA208" s="154" t="s">
        <v>1542</v>
      </c>
      <c r="BC208" s="90">
        <f t="shared" si="220"/>
        <v>0</v>
      </c>
      <c r="BD208" s="90">
        <f t="shared" si="221"/>
        <v>0</v>
      </c>
      <c r="BE208" s="90">
        <v>0</v>
      </c>
      <c r="BF208" s="90">
        <f t="shared" si="222"/>
        <v>0.0425646</v>
      </c>
      <c r="BH208" s="90">
        <f t="shared" si="223"/>
        <v>0</v>
      </c>
      <c r="BI208" s="90">
        <f t="shared" si="224"/>
        <v>0</v>
      </c>
      <c r="BJ208" s="90">
        <f t="shared" si="225"/>
        <v>0</v>
      </c>
    </row>
    <row r="209" spans="1:62" ht="12.75">
      <c r="A209" s="88" t="s">
        <v>673</v>
      </c>
      <c r="B209" s="88" t="s">
        <v>60</v>
      </c>
      <c r="C209" s="88" t="s">
        <v>253</v>
      </c>
      <c r="D209" s="88" t="s">
        <v>432</v>
      </c>
      <c r="E209" s="88" t="s">
        <v>608</v>
      </c>
      <c r="F209" s="90">
        <v>11.65</v>
      </c>
      <c r="G209" s="90">
        <f>'Stavební rozpočet (SO 13)'!G28</f>
        <v>0</v>
      </c>
      <c r="H209" s="90">
        <f t="shared" si="202"/>
        <v>0</v>
      </c>
      <c r="I209" s="90">
        <f t="shared" si="203"/>
        <v>0</v>
      </c>
      <c r="J209" s="90">
        <f t="shared" si="204"/>
        <v>0</v>
      </c>
      <c r="K209" s="90">
        <v>0.01275</v>
      </c>
      <c r="L209" s="90">
        <f t="shared" si="205"/>
        <v>0.1485375</v>
      </c>
      <c r="M209" s="91" t="s">
        <v>622</v>
      </c>
      <c r="O209" s="90"/>
      <c r="P209" s="90"/>
      <c r="Z209" s="90">
        <f t="shared" si="206"/>
        <v>0</v>
      </c>
      <c r="AB209" s="90">
        <f t="shared" si="207"/>
        <v>0</v>
      </c>
      <c r="AC209" s="90">
        <f t="shared" si="208"/>
        <v>0</v>
      </c>
      <c r="AD209" s="90">
        <f t="shared" si="209"/>
        <v>0</v>
      </c>
      <c r="AE209" s="90">
        <f t="shared" si="210"/>
        <v>0</v>
      </c>
      <c r="AF209" s="90">
        <f t="shared" si="211"/>
        <v>0</v>
      </c>
      <c r="AG209" s="90">
        <f t="shared" si="212"/>
        <v>0</v>
      </c>
      <c r="AH209" s="90">
        <f t="shared" si="213"/>
        <v>0</v>
      </c>
      <c r="AI209" s="154" t="s">
        <v>60</v>
      </c>
      <c r="AJ209" s="90">
        <f t="shared" si="214"/>
        <v>0</v>
      </c>
      <c r="AK209" s="90">
        <f t="shared" si="215"/>
        <v>0</v>
      </c>
      <c r="AL209" s="90">
        <f t="shared" si="216"/>
        <v>0</v>
      </c>
      <c r="AN209" s="90">
        <v>21</v>
      </c>
      <c r="AO209" s="90">
        <f>G209*0.358758912665686</f>
        <v>0</v>
      </c>
      <c r="AP209" s="90">
        <f>G209*(1-0.358758912665686)</f>
        <v>0</v>
      </c>
      <c r="AQ209" s="91" t="s">
        <v>79</v>
      </c>
      <c r="AV209" s="90">
        <f t="shared" si="217"/>
        <v>0</v>
      </c>
      <c r="AW209" s="90">
        <f t="shared" si="218"/>
        <v>0</v>
      </c>
      <c r="AX209" s="90">
        <f t="shared" si="219"/>
        <v>0</v>
      </c>
      <c r="AY209" s="91" t="s">
        <v>633</v>
      </c>
      <c r="AZ209" s="91" t="s">
        <v>1533</v>
      </c>
      <c r="BA209" s="154" t="s">
        <v>1542</v>
      </c>
      <c r="BC209" s="90">
        <f t="shared" si="220"/>
        <v>0</v>
      </c>
      <c r="BD209" s="90">
        <f t="shared" si="221"/>
        <v>0</v>
      </c>
      <c r="BE209" s="90">
        <v>0</v>
      </c>
      <c r="BF209" s="90">
        <f t="shared" si="222"/>
        <v>0.1485375</v>
      </c>
      <c r="BH209" s="90">
        <f t="shared" si="223"/>
        <v>0</v>
      </c>
      <c r="BI209" s="90">
        <f t="shared" si="224"/>
        <v>0</v>
      </c>
      <c r="BJ209" s="90">
        <f t="shared" si="225"/>
        <v>0</v>
      </c>
    </row>
    <row r="210" spans="1:62" ht="12.75">
      <c r="A210" s="88" t="s">
        <v>674</v>
      </c>
      <c r="B210" s="88" t="s">
        <v>60</v>
      </c>
      <c r="C210" s="88" t="s">
        <v>946</v>
      </c>
      <c r="D210" s="88" t="s">
        <v>1227</v>
      </c>
      <c r="E210" s="88" t="s">
        <v>608</v>
      </c>
      <c r="F210" s="90">
        <v>4.08</v>
      </c>
      <c r="G210" s="90">
        <f>'Stavební rozpočet (SO 13)'!G30</f>
        <v>0</v>
      </c>
      <c r="H210" s="90">
        <f t="shared" si="202"/>
        <v>0</v>
      </c>
      <c r="I210" s="90">
        <f t="shared" si="203"/>
        <v>0</v>
      </c>
      <c r="J210" s="90">
        <f t="shared" si="204"/>
        <v>0</v>
      </c>
      <c r="K210" s="90">
        <v>0.03416</v>
      </c>
      <c r="L210" s="90">
        <f t="shared" si="205"/>
        <v>0.13937280000000002</v>
      </c>
      <c r="M210" s="91" t="s">
        <v>622</v>
      </c>
      <c r="O210" s="90"/>
      <c r="P210" s="90"/>
      <c r="Z210" s="90">
        <f t="shared" si="206"/>
        <v>0</v>
      </c>
      <c r="AB210" s="90">
        <f t="shared" si="207"/>
        <v>0</v>
      </c>
      <c r="AC210" s="90">
        <f t="shared" si="208"/>
        <v>0</v>
      </c>
      <c r="AD210" s="90">
        <f t="shared" si="209"/>
        <v>0</v>
      </c>
      <c r="AE210" s="90">
        <f t="shared" si="210"/>
        <v>0</v>
      </c>
      <c r="AF210" s="90">
        <f t="shared" si="211"/>
        <v>0</v>
      </c>
      <c r="AG210" s="90">
        <f t="shared" si="212"/>
        <v>0</v>
      </c>
      <c r="AH210" s="90">
        <f t="shared" si="213"/>
        <v>0</v>
      </c>
      <c r="AI210" s="154" t="s">
        <v>60</v>
      </c>
      <c r="AJ210" s="90">
        <f t="shared" si="214"/>
        <v>0</v>
      </c>
      <c r="AK210" s="90">
        <f t="shared" si="215"/>
        <v>0</v>
      </c>
      <c r="AL210" s="90">
        <f t="shared" si="216"/>
        <v>0</v>
      </c>
      <c r="AN210" s="90">
        <v>21</v>
      </c>
      <c r="AO210" s="90">
        <f>G210*0.466944444444444</f>
        <v>0</v>
      </c>
      <c r="AP210" s="90">
        <f>G210*(1-0.466944444444444)</f>
        <v>0</v>
      </c>
      <c r="AQ210" s="91" t="s">
        <v>79</v>
      </c>
      <c r="AV210" s="90">
        <f t="shared" si="217"/>
        <v>0</v>
      </c>
      <c r="AW210" s="90">
        <f t="shared" si="218"/>
        <v>0</v>
      </c>
      <c r="AX210" s="90">
        <f t="shared" si="219"/>
        <v>0</v>
      </c>
      <c r="AY210" s="91" t="s">
        <v>633</v>
      </c>
      <c r="AZ210" s="91" t="s">
        <v>1533</v>
      </c>
      <c r="BA210" s="154" t="s">
        <v>1542</v>
      </c>
      <c r="BC210" s="90">
        <f t="shared" si="220"/>
        <v>0</v>
      </c>
      <c r="BD210" s="90">
        <f t="shared" si="221"/>
        <v>0</v>
      </c>
      <c r="BE210" s="90">
        <v>0</v>
      </c>
      <c r="BF210" s="90">
        <f t="shared" si="222"/>
        <v>0.13937280000000002</v>
      </c>
      <c r="BH210" s="90">
        <f t="shared" si="223"/>
        <v>0</v>
      </c>
      <c r="BI210" s="90">
        <f t="shared" si="224"/>
        <v>0</v>
      </c>
      <c r="BJ210" s="90">
        <f t="shared" si="225"/>
        <v>0</v>
      </c>
    </row>
    <row r="211" spans="1:62" ht="12.75">
      <c r="A211" s="88" t="s">
        <v>675</v>
      </c>
      <c r="B211" s="88" t="s">
        <v>60</v>
      </c>
      <c r="C211" s="88" t="s">
        <v>947</v>
      </c>
      <c r="D211" s="88" t="s">
        <v>1228</v>
      </c>
      <c r="E211" s="88" t="s">
        <v>608</v>
      </c>
      <c r="F211" s="90">
        <v>0</v>
      </c>
      <c r="G211" s="90">
        <f>'Stavební rozpočet (SO 13)'!G31</f>
        <v>0</v>
      </c>
      <c r="H211" s="90">
        <f t="shared" si="202"/>
        <v>0</v>
      </c>
      <c r="I211" s="90">
        <f t="shared" si="203"/>
        <v>0</v>
      </c>
      <c r="J211" s="90">
        <f t="shared" si="204"/>
        <v>0</v>
      </c>
      <c r="K211" s="90">
        <v>0.03925</v>
      </c>
      <c r="L211" s="90">
        <f t="shared" si="205"/>
        <v>0</v>
      </c>
      <c r="M211" s="91" t="s">
        <v>622</v>
      </c>
      <c r="O211" s="90"/>
      <c r="P211" s="90"/>
      <c r="Z211" s="90">
        <f t="shared" si="206"/>
        <v>0</v>
      </c>
      <c r="AB211" s="90">
        <f t="shared" si="207"/>
        <v>0</v>
      </c>
      <c r="AC211" s="90">
        <f t="shared" si="208"/>
        <v>0</v>
      </c>
      <c r="AD211" s="90">
        <f t="shared" si="209"/>
        <v>0</v>
      </c>
      <c r="AE211" s="90">
        <f t="shared" si="210"/>
        <v>0</v>
      </c>
      <c r="AF211" s="90">
        <f t="shared" si="211"/>
        <v>0</v>
      </c>
      <c r="AG211" s="90">
        <f t="shared" si="212"/>
        <v>0</v>
      </c>
      <c r="AH211" s="90">
        <f t="shared" si="213"/>
        <v>0</v>
      </c>
      <c r="AI211" s="154" t="s">
        <v>60</v>
      </c>
      <c r="AJ211" s="90">
        <f t="shared" si="214"/>
        <v>0</v>
      </c>
      <c r="AK211" s="90">
        <f t="shared" si="215"/>
        <v>0</v>
      </c>
      <c r="AL211" s="90">
        <f t="shared" si="216"/>
        <v>0</v>
      </c>
      <c r="AN211" s="90">
        <v>21</v>
      </c>
      <c r="AO211" s="90">
        <f>G211*0.51812013262395</f>
        <v>0</v>
      </c>
      <c r="AP211" s="90">
        <f>G211*(1-0.51812013262395)</f>
        <v>0</v>
      </c>
      <c r="AQ211" s="91" t="s">
        <v>79</v>
      </c>
      <c r="AV211" s="90">
        <f t="shared" si="217"/>
        <v>0</v>
      </c>
      <c r="AW211" s="90">
        <f t="shared" si="218"/>
        <v>0</v>
      </c>
      <c r="AX211" s="90">
        <f t="shared" si="219"/>
        <v>0</v>
      </c>
      <c r="AY211" s="91" t="s">
        <v>633</v>
      </c>
      <c r="AZ211" s="91" t="s">
        <v>1533</v>
      </c>
      <c r="BA211" s="154" t="s">
        <v>1542</v>
      </c>
      <c r="BC211" s="90">
        <f t="shared" si="220"/>
        <v>0</v>
      </c>
      <c r="BD211" s="90">
        <f t="shared" si="221"/>
        <v>0</v>
      </c>
      <c r="BE211" s="90">
        <v>0</v>
      </c>
      <c r="BF211" s="90">
        <f t="shared" si="222"/>
        <v>0</v>
      </c>
      <c r="BH211" s="90">
        <f t="shared" si="223"/>
        <v>0</v>
      </c>
      <c r="BI211" s="90">
        <f t="shared" si="224"/>
        <v>0</v>
      </c>
      <c r="BJ211" s="90">
        <f t="shared" si="225"/>
        <v>0</v>
      </c>
    </row>
    <row r="212" spans="1:62" ht="12.75">
      <c r="A212" s="88" t="s">
        <v>676</v>
      </c>
      <c r="B212" s="88" t="s">
        <v>60</v>
      </c>
      <c r="C212" s="88" t="s">
        <v>948</v>
      </c>
      <c r="D212" s="88" t="s">
        <v>1229</v>
      </c>
      <c r="E212" s="88" t="s">
        <v>608</v>
      </c>
      <c r="F212" s="90">
        <v>22.59</v>
      </c>
      <c r="G212" s="90">
        <f>'Stavební rozpočet (SO 13)'!G32</f>
        <v>0</v>
      </c>
      <c r="H212" s="90">
        <f t="shared" si="202"/>
        <v>0</v>
      </c>
      <c r="I212" s="90">
        <f t="shared" si="203"/>
        <v>0</v>
      </c>
      <c r="J212" s="90">
        <f t="shared" si="204"/>
        <v>0</v>
      </c>
      <c r="K212" s="90">
        <v>0.03925</v>
      </c>
      <c r="L212" s="90">
        <f t="shared" si="205"/>
        <v>0.8866575</v>
      </c>
      <c r="M212" s="91" t="s">
        <v>622</v>
      </c>
      <c r="O212" s="90"/>
      <c r="P212" s="90"/>
      <c r="Z212" s="90">
        <f t="shared" si="206"/>
        <v>0</v>
      </c>
      <c r="AB212" s="90">
        <f t="shared" si="207"/>
        <v>0</v>
      </c>
      <c r="AC212" s="90">
        <f t="shared" si="208"/>
        <v>0</v>
      </c>
      <c r="AD212" s="90">
        <f t="shared" si="209"/>
        <v>0</v>
      </c>
      <c r="AE212" s="90">
        <f t="shared" si="210"/>
        <v>0</v>
      </c>
      <c r="AF212" s="90">
        <f t="shared" si="211"/>
        <v>0</v>
      </c>
      <c r="AG212" s="90">
        <f t="shared" si="212"/>
        <v>0</v>
      </c>
      <c r="AH212" s="90">
        <f t="shared" si="213"/>
        <v>0</v>
      </c>
      <c r="AI212" s="154" t="s">
        <v>60</v>
      </c>
      <c r="AJ212" s="90">
        <f t="shared" si="214"/>
        <v>0</v>
      </c>
      <c r="AK212" s="90">
        <f t="shared" si="215"/>
        <v>0</v>
      </c>
      <c r="AL212" s="90">
        <f t="shared" si="216"/>
        <v>0</v>
      </c>
      <c r="AN212" s="90">
        <v>21</v>
      </c>
      <c r="AO212" s="90">
        <f>G212*0.518122238586156</f>
        <v>0</v>
      </c>
      <c r="AP212" s="90">
        <f>G212*(1-0.518122238586156)</f>
        <v>0</v>
      </c>
      <c r="AQ212" s="91" t="s">
        <v>79</v>
      </c>
      <c r="AV212" s="90">
        <f t="shared" si="217"/>
        <v>0</v>
      </c>
      <c r="AW212" s="90">
        <f t="shared" si="218"/>
        <v>0</v>
      </c>
      <c r="AX212" s="90">
        <f t="shared" si="219"/>
        <v>0</v>
      </c>
      <c r="AY212" s="91" t="s">
        <v>633</v>
      </c>
      <c r="AZ212" s="91" t="s">
        <v>1533</v>
      </c>
      <c r="BA212" s="154" t="s">
        <v>1542</v>
      </c>
      <c r="BC212" s="90">
        <f t="shared" si="220"/>
        <v>0</v>
      </c>
      <c r="BD212" s="90">
        <f t="shared" si="221"/>
        <v>0</v>
      </c>
      <c r="BE212" s="90">
        <v>0</v>
      </c>
      <c r="BF212" s="90">
        <f t="shared" si="222"/>
        <v>0.8866575</v>
      </c>
      <c r="BH212" s="90">
        <f t="shared" si="223"/>
        <v>0</v>
      </c>
      <c r="BI212" s="90">
        <f t="shared" si="224"/>
        <v>0</v>
      </c>
      <c r="BJ212" s="90">
        <f t="shared" si="225"/>
        <v>0</v>
      </c>
    </row>
    <row r="213" spans="1:47" ht="12.75">
      <c r="A213" s="159"/>
      <c r="B213" s="160" t="s">
        <v>60</v>
      </c>
      <c r="C213" s="160" t="s">
        <v>119</v>
      </c>
      <c r="D213" s="160" t="s">
        <v>1230</v>
      </c>
      <c r="E213" s="159" t="s">
        <v>57</v>
      </c>
      <c r="F213" s="159" t="s">
        <v>57</v>
      </c>
      <c r="G213" s="159"/>
      <c r="H213" s="161">
        <f>SUM(H214:H215)</f>
        <v>0</v>
      </c>
      <c r="I213" s="161">
        <f>SUM(I214:I215)</f>
        <v>0</v>
      </c>
      <c r="J213" s="161">
        <f>SUM(J214:J215)</f>
        <v>0</v>
      </c>
      <c r="K213" s="154"/>
      <c r="L213" s="161">
        <f>SUM(L214:L215)</f>
        <v>6.590085</v>
      </c>
      <c r="M213" s="154"/>
      <c r="O213" s="159"/>
      <c r="P213" s="159"/>
      <c r="AI213" s="154" t="s">
        <v>60</v>
      </c>
      <c r="AS213" s="161">
        <f>SUM(AJ214:AJ215)</f>
        <v>0</v>
      </c>
      <c r="AT213" s="161">
        <f>SUM(AK214:AK215)</f>
        <v>0</v>
      </c>
      <c r="AU213" s="161">
        <f>SUM(AL214:AL215)</f>
        <v>0</v>
      </c>
    </row>
    <row r="214" spans="1:62" ht="12.75">
      <c r="A214" s="88" t="s">
        <v>677</v>
      </c>
      <c r="B214" s="88" t="s">
        <v>60</v>
      </c>
      <c r="C214" s="88" t="s">
        <v>949</v>
      </c>
      <c r="D214" s="88" t="s">
        <v>1231</v>
      </c>
      <c r="E214" s="88" t="s">
        <v>608</v>
      </c>
      <c r="F214" s="90">
        <v>38.76</v>
      </c>
      <c r="G214" s="90">
        <f>'Stavební rozpočet (SO 13)'!$G$34</f>
        <v>0</v>
      </c>
      <c r="H214" s="90">
        <f>F214*AO214</f>
        <v>0</v>
      </c>
      <c r="I214" s="90">
        <f>F214*AP214</f>
        <v>0</v>
      </c>
      <c r="J214" s="90">
        <f>F214*G214</f>
        <v>0</v>
      </c>
      <c r="K214" s="90">
        <v>0.07</v>
      </c>
      <c r="L214" s="90">
        <f>F214*K214</f>
        <v>2.7132</v>
      </c>
      <c r="M214" s="91" t="s">
        <v>622</v>
      </c>
      <c r="O214" s="90"/>
      <c r="P214" s="90"/>
      <c r="Z214" s="90">
        <f>IF(AQ214="5",BJ214,0)</f>
        <v>0</v>
      </c>
      <c r="AB214" s="90">
        <f>IF(AQ214="1",BH214,0)</f>
        <v>0</v>
      </c>
      <c r="AC214" s="90">
        <f>IF(AQ214="1",BI214,0)</f>
        <v>0</v>
      </c>
      <c r="AD214" s="90">
        <f>IF(AQ214="7",BH214,0)</f>
        <v>0</v>
      </c>
      <c r="AE214" s="90">
        <f>IF(AQ214="7",BI214,0)</f>
        <v>0</v>
      </c>
      <c r="AF214" s="90">
        <f>IF(AQ214="2",BH214,0)</f>
        <v>0</v>
      </c>
      <c r="AG214" s="90">
        <f>IF(AQ214="2",BI214,0)</f>
        <v>0</v>
      </c>
      <c r="AH214" s="90">
        <f>IF(AQ214="0",BJ214,0)</f>
        <v>0</v>
      </c>
      <c r="AI214" s="154" t="s">
        <v>60</v>
      </c>
      <c r="AJ214" s="90">
        <f>IF(AN214=0,J214,0)</f>
        <v>0</v>
      </c>
      <c r="AK214" s="90">
        <f>IF(AN214=15,J214,0)</f>
        <v>0</v>
      </c>
      <c r="AL214" s="90">
        <f>IF(AN214=21,J214,0)</f>
        <v>0</v>
      </c>
      <c r="AN214" s="90">
        <v>21</v>
      </c>
      <c r="AO214" s="90">
        <f>G214*0.731594613749114</f>
        <v>0</v>
      </c>
      <c r="AP214" s="90">
        <f>G214*(1-0.731594613749114)</f>
        <v>0</v>
      </c>
      <c r="AQ214" s="91" t="s">
        <v>79</v>
      </c>
      <c r="AV214" s="90">
        <f>AW214+AX214</f>
        <v>0</v>
      </c>
      <c r="AW214" s="90">
        <f>F214*AO214</f>
        <v>0</v>
      </c>
      <c r="AX214" s="90">
        <f>F214*AP214</f>
        <v>0</v>
      </c>
      <c r="AY214" s="91" t="s">
        <v>1528</v>
      </c>
      <c r="AZ214" s="91" t="s">
        <v>1534</v>
      </c>
      <c r="BA214" s="154" t="s">
        <v>1542</v>
      </c>
      <c r="BC214" s="90">
        <f>AW214+AX214</f>
        <v>0</v>
      </c>
      <c r="BD214" s="90">
        <f>G214/(100-BE214)*100</f>
        <v>0</v>
      </c>
      <c r="BE214" s="90">
        <v>0</v>
      </c>
      <c r="BF214" s="90">
        <f>L214</f>
        <v>2.7132</v>
      </c>
      <c r="BH214" s="90">
        <f>F214*AO214</f>
        <v>0</v>
      </c>
      <c r="BI214" s="90">
        <f>F214*AP214</f>
        <v>0</v>
      </c>
      <c r="BJ214" s="90">
        <f>F214*G214</f>
        <v>0</v>
      </c>
    </row>
    <row r="215" spans="1:62" ht="12.75">
      <c r="A215" s="88" t="s">
        <v>678</v>
      </c>
      <c r="B215" s="88" t="s">
        <v>60</v>
      </c>
      <c r="C215" s="88" t="s">
        <v>950</v>
      </c>
      <c r="D215" s="88" t="s">
        <v>1233</v>
      </c>
      <c r="E215" s="88" t="s">
        <v>608</v>
      </c>
      <c r="F215" s="90">
        <v>151.5</v>
      </c>
      <c r="G215" s="90">
        <f>'Stavební rozpočet (SO 13)'!$G$36</f>
        <v>0</v>
      </c>
      <c r="H215" s="90">
        <f>F215*AO215</f>
        <v>0</v>
      </c>
      <c r="I215" s="90">
        <f>F215*AP215</f>
        <v>0</v>
      </c>
      <c r="J215" s="90">
        <f>F215*G215</f>
        <v>0</v>
      </c>
      <c r="K215" s="90">
        <v>0.02559</v>
      </c>
      <c r="L215" s="90">
        <f>F215*K215</f>
        <v>3.876885</v>
      </c>
      <c r="M215" s="91" t="s">
        <v>622</v>
      </c>
      <c r="O215" s="90"/>
      <c r="P215" s="90"/>
      <c r="Z215" s="90">
        <f>IF(AQ215="5",BJ215,0)</f>
        <v>0</v>
      </c>
      <c r="AB215" s="90">
        <f>IF(AQ215="1",BH215,0)</f>
        <v>0</v>
      </c>
      <c r="AC215" s="90">
        <f>IF(AQ215="1",BI215,0)</f>
        <v>0</v>
      </c>
      <c r="AD215" s="90">
        <f>IF(AQ215="7",BH215,0)</f>
        <v>0</v>
      </c>
      <c r="AE215" s="90">
        <f>IF(AQ215="7",BI215,0)</f>
        <v>0</v>
      </c>
      <c r="AF215" s="90">
        <f>IF(AQ215="2",BH215,0)</f>
        <v>0</v>
      </c>
      <c r="AG215" s="90">
        <f>IF(AQ215="2",BI215,0)</f>
        <v>0</v>
      </c>
      <c r="AH215" s="90">
        <f>IF(AQ215="0",BJ215,0)</f>
        <v>0</v>
      </c>
      <c r="AI215" s="154" t="s">
        <v>60</v>
      </c>
      <c r="AJ215" s="90">
        <f>IF(AN215=0,J215,0)</f>
        <v>0</v>
      </c>
      <c r="AK215" s="90">
        <f>IF(AN215=15,J215,0)</f>
        <v>0</v>
      </c>
      <c r="AL215" s="90">
        <f>IF(AN215=21,J215,0)</f>
        <v>0</v>
      </c>
      <c r="AN215" s="90">
        <v>21</v>
      </c>
      <c r="AO215" s="90">
        <f>G215*0.785892448512586</f>
        <v>0</v>
      </c>
      <c r="AP215" s="90">
        <f>G215*(1-0.785892448512586)</f>
        <v>0</v>
      </c>
      <c r="AQ215" s="91" t="s">
        <v>79</v>
      </c>
      <c r="AV215" s="90">
        <f>AW215+AX215</f>
        <v>0</v>
      </c>
      <c r="AW215" s="90">
        <f>F215*AO215</f>
        <v>0</v>
      </c>
      <c r="AX215" s="90">
        <f>F215*AP215</f>
        <v>0</v>
      </c>
      <c r="AY215" s="91" t="s">
        <v>1528</v>
      </c>
      <c r="AZ215" s="91" t="s">
        <v>1534</v>
      </c>
      <c r="BA215" s="154" t="s">
        <v>1542</v>
      </c>
      <c r="BC215" s="90">
        <f>AW215+AX215</f>
        <v>0</v>
      </c>
      <c r="BD215" s="90">
        <f>G215/(100-BE215)*100</f>
        <v>0</v>
      </c>
      <c r="BE215" s="90">
        <v>0</v>
      </c>
      <c r="BF215" s="90">
        <f>L215</f>
        <v>3.876885</v>
      </c>
      <c r="BH215" s="90">
        <f>F215*AO215</f>
        <v>0</v>
      </c>
      <c r="BI215" s="90">
        <f>F215*AP215</f>
        <v>0</v>
      </c>
      <c r="BJ215" s="90">
        <f>F215*G215</f>
        <v>0</v>
      </c>
    </row>
    <row r="216" spans="1:47" ht="12.75">
      <c r="A216" s="159"/>
      <c r="B216" s="160" t="s">
        <v>60</v>
      </c>
      <c r="C216" s="160" t="s">
        <v>139</v>
      </c>
      <c r="D216" s="160" t="s">
        <v>434</v>
      </c>
      <c r="E216" s="159" t="s">
        <v>57</v>
      </c>
      <c r="F216" s="159" t="s">
        <v>57</v>
      </c>
      <c r="G216" s="159"/>
      <c r="H216" s="161">
        <f>SUM(H217:H224)</f>
        <v>0</v>
      </c>
      <c r="I216" s="161">
        <f>SUM(I217:I224)</f>
        <v>0</v>
      </c>
      <c r="J216" s="161">
        <f>SUM(J217:J224)</f>
        <v>0</v>
      </c>
      <c r="K216" s="154"/>
      <c r="L216" s="161">
        <f>SUM(L217:L224)</f>
        <v>24.439868500000003</v>
      </c>
      <c r="M216" s="154"/>
      <c r="O216" s="159"/>
      <c r="P216" s="159"/>
      <c r="AI216" s="154" t="s">
        <v>60</v>
      </c>
      <c r="AS216" s="161">
        <f>SUM(AJ217:AJ224)</f>
        <v>0</v>
      </c>
      <c r="AT216" s="161">
        <f>SUM(AK217:AK224)</f>
        <v>0</v>
      </c>
      <c r="AU216" s="161">
        <f>SUM(AL217:AL224)</f>
        <v>0</v>
      </c>
    </row>
    <row r="217" spans="1:62" ht="12.75">
      <c r="A217" s="88" t="s">
        <v>679</v>
      </c>
      <c r="B217" s="88" t="s">
        <v>60</v>
      </c>
      <c r="C217" s="88" t="s">
        <v>254</v>
      </c>
      <c r="D217" s="88" t="s">
        <v>435</v>
      </c>
      <c r="E217" s="88" t="s">
        <v>608</v>
      </c>
      <c r="F217" s="90">
        <v>12.65</v>
      </c>
      <c r="G217" s="90">
        <f>'Stavební rozpočet (SO 13)'!$G$39</f>
        <v>0</v>
      </c>
      <c r="H217" s="90">
        <f aca="true" t="shared" si="226" ref="H217:H224">F217*AO217</f>
        <v>0</v>
      </c>
      <c r="I217" s="90">
        <f aca="true" t="shared" si="227" ref="I217:I224">F217*AP217</f>
        <v>0</v>
      </c>
      <c r="J217" s="90">
        <f aca="true" t="shared" si="228" ref="J217:J224">F217*G217</f>
        <v>0</v>
      </c>
      <c r="K217" s="90">
        <v>0.0192</v>
      </c>
      <c r="L217" s="90">
        <f aca="true" t="shared" si="229" ref="L217:L224">F217*K217</f>
        <v>0.24287999999999998</v>
      </c>
      <c r="M217" s="91" t="s">
        <v>622</v>
      </c>
      <c r="O217" s="90"/>
      <c r="P217" s="90"/>
      <c r="Z217" s="90">
        <f aca="true" t="shared" si="230" ref="Z217:Z224">IF(AQ217="5",BJ217,0)</f>
        <v>0</v>
      </c>
      <c r="AB217" s="90">
        <f aca="true" t="shared" si="231" ref="AB217:AB224">IF(AQ217="1",BH217,0)</f>
        <v>0</v>
      </c>
      <c r="AC217" s="90">
        <f aca="true" t="shared" si="232" ref="AC217:AC224">IF(AQ217="1",BI217,0)</f>
        <v>0</v>
      </c>
      <c r="AD217" s="90">
        <f aca="true" t="shared" si="233" ref="AD217:AD224">IF(AQ217="7",BH217,0)</f>
        <v>0</v>
      </c>
      <c r="AE217" s="90">
        <f aca="true" t="shared" si="234" ref="AE217:AE224">IF(AQ217="7",BI217,0)</f>
        <v>0</v>
      </c>
      <c r="AF217" s="90">
        <f aca="true" t="shared" si="235" ref="AF217:AF224">IF(AQ217="2",BH217,0)</f>
        <v>0</v>
      </c>
      <c r="AG217" s="90">
        <f aca="true" t="shared" si="236" ref="AG217:AG224">IF(AQ217="2",BI217,0)</f>
        <v>0</v>
      </c>
      <c r="AH217" s="90">
        <f aca="true" t="shared" si="237" ref="AH217:AH224">IF(AQ217="0",BJ217,0)</f>
        <v>0</v>
      </c>
      <c r="AI217" s="154" t="s">
        <v>60</v>
      </c>
      <c r="AJ217" s="90">
        <f aca="true" t="shared" si="238" ref="AJ217:AJ224">IF(AN217=0,J217,0)</f>
        <v>0</v>
      </c>
      <c r="AK217" s="90">
        <f aca="true" t="shared" si="239" ref="AK217:AK224">IF(AN217=15,J217,0)</f>
        <v>0</v>
      </c>
      <c r="AL217" s="90">
        <f aca="true" t="shared" si="240" ref="AL217:AL224">IF(AN217=21,J217,0)</f>
        <v>0</v>
      </c>
      <c r="AN217" s="90">
        <v>21</v>
      </c>
      <c r="AO217" s="90">
        <f>G217*0.230757790368272</f>
        <v>0</v>
      </c>
      <c r="AP217" s="90">
        <f>G217*(1-0.230757790368272)</f>
        <v>0</v>
      </c>
      <c r="AQ217" s="91" t="s">
        <v>79</v>
      </c>
      <c r="AV217" s="90">
        <f aca="true" t="shared" si="241" ref="AV217:AV224">AW217+AX217</f>
        <v>0</v>
      </c>
      <c r="AW217" s="90">
        <f aca="true" t="shared" si="242" ref="AW217:AW224">F217*AO217</f>
        <v>0</v>
      </c>
      <c r="AX217" s="90">
        <f aca="true" t="shared" si="243" ref="AX217:AX224">F217*AP217</f>
        <v>0</v>
      </c>
      <c r="AY217" s="91" t="s">
        <v>634</v>
      </c>
      <c r="AZ217" s="91" t="s">
        <v>1535</v>
      </c>
      <c r="BA217" s="154" t="s">
        <v>1542</v>
      </c>
      <c r="BC217" s="90">
        <f aca="true" t="shared" si="244" ref="BC217:BC224">AW217+AX217</f>
        <v>0</v>
      </c>
      <c r="BD217" s="90">
        <f aca="true" t="shared" si="245" ref="BD217:BD224">G217/(100-BE217)*100</f>
        <v>0</v>
      </c>
      <c r="BE217" s="90">
        <v>0</v>
      </c>
      <c r="BF217" s="90">
        <f aca="true" t="shared" si="246" ref="BF217:BF224">L217</f>
        <v>0.24287999999999998</v>
      </c>
      <c r="BH217" s="90">
        <f aca="true" t="shared" si="247" ref="BH217:BH224">F217*AO217</f>
        <v>0</v>
      </c>
      <c r="BI217" s="90">
        <f aca="true" t="shared" si="248" ref="BI217:BI224">F217*AP217</f>
        <v>0</v>
      </c>
      <c r="BJ217" s="90">
        <f aca="true" t="shared" si="249" ref="BJ217:BJ224">F217*G217</f>
        <v>0</v>
      </c>
    </row>
    <row r="218" spans="1:62" ht="12.75">
      <c r="A218" s="88" t="s">
        <v>680</v>
      </c>
      <c r="B218" s="88" t="s">
        <v>60</v>
      </c>
      <c r="C218" s="88" t="s">
        <v>255</v>
      </c>
      <c r="D218" s="88" t="s">
        <v>437</v>
      </c>
      <c r="E218" s="88" t="s">
        <v>609</v>
      </c>
      <c r="F218" s="90">
        <v>145.42</v>
      </c>
      <c r="G218" s="90">
        <f>'Stavební rozpočet (SO 13)'!$G$41</f>
        <v>0</v>
      </c>
      <c r="H218" s="90">
        <f t="shared" si="226"/>
        <v>0</v>
      </c>
      <c r="I218" s="90">
        <f t="shared" si="227"/>
        <v>0</v>
      </c>
      <c r="J218" s="90">
        <f t="shared" si="228"/>
        <v>0</v>
      </c>
      <c r="K218" s="90">
        <v>0.00238</v>
      </c>
      <c r="L218" s="90">
        <f t="shared" si="229"/>
        <v>0.3460996</v>
      </c>
      <c r="M218" s="91" t="s">
        <v>622</v>
      </c>
      <c r="O218" s="90"/>
      <c r="P218" s="90"/>
      <c r="Z218" s="90">
        <f t="shared" si="230"/>
        <v>0</v>
      </c>
      <c r="AB218" s="90">
        <f t="shared" si="231"/>
        <v>0</v>
      </c>
      <c r="AC218" s="90">
        <f t="shared" si="232"/>
        <v>0</v>
      </c>
      <c r="AD218" s="90">
        <f t="shared" si="233"/>
        <v>0</v>
      </c>
      <c r="AE218" s="90">
        <f t="shared" si="234"/>
        <v>0</v>
      </c>
      <c r="AF218" s="90">
        <f t="shared" si="235"/>
        <v>0</v>
      </c>
      <c r="AG218" s="90">
        <f t="shared" si="236"/>
        <v>0</v>
      </c>
      <c r="AH218" s="90">
        <f t="shared" si="237"/>
        <v>0</v>
      </c>
      <c r="AI218" s="154" t="s">
        <v>60</v>
      </c>
      <c r="AJ218" s="90">
        <f t="shared" si="238"/>
        <v>0</v>
      </c>
      <c r="AK218" s="90">
        <f t="shared" si="239"/>
        <v>0</v>
      </c>
      <c r="AL218" s="90">
        <f t="shared" si="240"/>
        <v>0</v>
      </c>
      <c r="AN218" s="90">
        <v>21</v>
      </c>
      <c r="AO218" s="90">
        <f>G218*0.110518101098427</f>
        <v>0</v>
      </c>
      <c r="AP218" s="90">
        <f>G218*(1-0.110518101098427)</f>
        <v>0</v>
      </c>
      <c r="AQ218" s="91" t="s">
        <v>79</v>
      </c>
      <c r="AV218" s="90">
        <f t="shared" si="241"/>
        <v>0</v>
      </c>
      <c r="AW218" s="90">
        <f t="shared" si="242"/>
        <v>0</v>
      </c>
      <c r="AX218" s="90">
        <f t="shared" si="243"/>
        <v>0</v>
      </c>
      <c r="AY218" s="91" t="s">
        <v>634</v>
      </c>
      <c r="AZ218" s="91" t="s">
        <v>1535</v>
      </c>
      <c r="BA218" s="154" t="s">
        <v>1542</v>
      </c>
      <c r="BC218" s="90">
        <f t="shared" si="244"/>
        <v>0</v>
      </c>
      <c r="BD218" s="90">
        <f t="shared" si="245"/>
        <v>0</v>
      </c>
      <c r="BE218" s="90">
        <v>0</v>
      </c>
      <c r="BF218" s="90">
        <f t="shared" si="246"/>
        <v>0.3460996</v>
      </c>
      <c r="BH218" s="90">
        <f t="shared" si="247"/>
        <v>0</v>
      </c>
      <c r="BI218" s="90">
        <f t="shared" si="248"/>
        <v>0</v>
      </c>
      <c r="BJ218" s="90">
        <f t="shared" si="249"/>
        <v>0</v>
      </c>
    </row>
    <row r="219" spans="1:62" ht="12.75">
      <c r="A219" s="88" t="s">
        <v>681</v>
      </c>
      <c r="B219" s="88" t="s">
        <v>60</v>
      </c>
      <c r="C219" s="88" t="s">
        <v>256</v>
      </c>
      <c r="D219" s="88" t="s">
        <v>439</v>
      </c>
      <c r="E219" s="88" t="s">
        <v>608</v>
      </c>
      <c r="F219" s="90">
        <v>193.72</v>
      </c>
      <c r="G219" s="90">
        <f>'Stavební rozpočet (SO 13)'!G43</f>
        <v>0</v>
      </c>
      <c r="H219" s="90">
        <f t="shared" si="226"/>
        <v>0</v>
      </c>
      <c r="I219" s="90">
        <f t="shared" si="227"/>
        <v>0</v>
      </c>
      <c r="J219" s="90">
        <f t="shared" si="228"/>
        <v>0</v>
      </c>
      <c r="K219" s="90">
        <v>0.01554</v>
      </c>
      <c r="L219" s="90">
        <f t="shared" si="229"/>
        <v>3.0104088</v>
      </c>
      <c r="M219" s="91" t="s">
        <v>622</v>
      </c>
      <c r="O219" s="90"/>
      <c r="P219" s="90"/>
      <c r="Z219" s="90">
        <f t="shared" si="230"/>
        <v>0</v>
      </c>
      <c r="AB219" s="90">
        <f t="shared" si="231"/>
        <v>0</v>
      </c>
      <c r="AC219" s="90">
        <f t="shared" si="232"/>
        <v>0</v>
      </c>
      <c r="AD219" s="90">
        <f t="shared" si="233"/>
        <v>0</v>
      </c>
      <c r="AE219" s="90">
        <f t="shared" si="234"/>
        <v>0</v>
      </c>
      <c r="AF219" s="90">
        <f t="shared" si="235"/>
        <v>0</v>
      </c>
      <c r="AG219" s="90">
        <f t="shared" si="236"/>
        <v>0</v>
      </c>
      <c r="AH219" s="90">
        <f t="shared" si="237"/>
        <v>0</v>
      </c>
      <c r="AI219" s="154" t="s">
        <v>60</v>
      </c>
      <c r="AJ219" s="90">
        <f t="shared" si="238"/>
        <v>0</v>
      </c>
      <c r="AK219" s="90">
        <f t="shared" si="239"/>
        <v>0</v>
      </c>
      <c r="AL219" s="90">
        <f t="shared" si="240"/>
        <v>0</v>
      </c>
      <c r="AN219" s="90">
        <v>21</v>
      </c>
      <c r="AO219" s="90">
        <f>G219*0.272799310709713</f>
        <v>0</v>
      </c>
      <c r="AP219" s="90">
        <f>G219*(1-0.272799310709713)</f>
        <v>0</v>
      </c>
      <c r="AQ219" s="91" t="s">
        <v>79</v>
      </c>
      <c r="AV219" s="90">
        <f t="shared" si="241"/>
        <v>0</v>
      </c>
      <c r="AW219" s="90">
        <f t="shared" si="242"/>
        <v>0</v>
      </c>
      <c r="AX219" s="90">
        <f t="shared" si="243"/>
        <v>0</v>
      </c>
      <c r="AY219" s="91" t="s">
        <v>634</v>
      </c>
      <c r="AZ219" s="91" t="s">
        <v>1535</v>
      </c>
      <c r="BA219" s="154" t="s">
        <v>1542</v>
      </c>
      <c r="BC219" s="90">
        <f t="shared" si="244"/>
        <v>0</v>
      </c>
      <c r="BD219" s="90">
        <f t="shared" si="245"/>
        <v>0</v>
      </c>
      <c r="BE219" s="90">
        <v>0</v>
      </c>
      <c r="BF219" s="90">
        <f t="shared" si="246"/>
        <v>3.0104088</v>
      </c>
      <c r="BH219" s="90">
        <f t="shared" si="247"/>
        <v>0</v>
      </c>
      <c r="BI219" s="90">
        <f t="shared" si="248"/>
        <v>0</v>
      </c>
      <c r="BJ219" s="90">
        <f t="shared" si="249"/>
        <v>0</v>
      </c>
    </row>
    <row r="220" spans="1:62" ht="12.75">
      <c r="A220" s="88" t="s">
        <v>682</v>
      </c>
      <c r="B220" s="88" t="s">
        <v>60</v>
      </c>
      <c r="C220" s="88" t="s">
        <v>257</v>
      </c>
      <c r="D220" s="88" t="s">
        <v>440</v>
      </c>
      <c r="E220" s="88" t="s">
        <v>608</v>
      </c>
      <c r="F220" s="90">
        <v>193.72</v>
      </c>
      <c r="G220" s="90">
        <f>'Stavební rozpočet (SO 13)'!G44</f>
        <v>0</v>
      </c>
      <c r="H220" s="90">
        <f t="shared" si="226"/>
        <v>0</v>
      </c>
      <c r="I220" s="90">
        <f t="shared" si="227"/>
        <v>0</v>
      </c>
      <c r="J220" s="90">
        <f t="shared" si="228"/>
        <v>0</v>
      </c>
      <c r="K220" s="90">
        <v>0.06002</v>
      </c>
      <c r="L220" s="90">
        <f t="shared" si="229"/>
        <v>11.6270744</v>
      </c>
      <c r="M220" s="91" t="s">
        <v>622</v>
      </c>
      <c r="O220" s="90"/>
      <c r="P220" s="90"/>
      <c r="Z220" s="90">
        <f t="shared" si="230"/>
        <v>0</v>
      </c>
      <c r="AB220" s="90">
        <f t="shared" si="231"/>
        <v>0</v>
      </c>
      <c r="AC220" s="90">
        <f t="shared" si="232"/>
        <v>0</v>
      </c>
      <c r="AD220" s="90">
        <f t="shared" si="233"/>
        <v>0</v>
      </c>
      <c r="AE220" s="90">
        <f t="shared" si="234"/>
        <v>0</v>
      </c>
      <c r="AF220" s="90">
        <f t="shared" si="235"/>
        <v>0</v>
      </c>
      <c r="AG220" s="90">
        <f t="shared" si="236"/>
        <v>0</v>
      </c>
      <c r="AH220" s="90">
        <f t="shared" si="237"/>
        <v>0</v>
      </c>
      <c r="AI220" s="154" t="s">
        <v>60</v>
      </c>
      <c r="AJ220" s="90">
        <f t="shared" si="238"/>
        <v>0</v>
      </c>
      <c r="AK220" s="90">
        <f t="shared" si="239"/>
        <v>0</v>
      </c>
      <c r="AL220" s="90">
        <f t="shared" si="240"/>
        <v>0</v>
      </c>
      <c r="AN220" s="90">
        <v>21</v>
      </c>
      <c r="AO220" s="90">
        <f>G220*0.157507125986478</f>
        <v>0</v>
      </c>
      <c r="AP220" s="90">
        <f>G220*(1-0.157507125986478)</f>
        <v>0</v>
      </c>
      <c r="AQ220" s="91" t="s">
        <v>79</v>
      </c>
      <c r="AV220" s="90">
        <f t="shared" si="241"/>
        <v>0</v>
      </c>
      <c r="AW220" s="90">
        <f t="shared" si="242"/>
        <v>0</v>
      </c>
      <c r="AX220" s="90">
        <f t="shared" si="243"/>
        <v>0</v>
      </c>
      <c r="AY220" s="91" t="s">
        <v>634</v>
      </c>
      <c r="AZ220" s="91" t="s">
        <v>1535</v>
      </c>
      <c r="BA220" s="154" t="s">
        <v>1542</v>
      </c>
      <c r="BC220" s="90">
        <f t="shared" si="244"/>
        <v>0</v>
      </c>
      <c r="BD220" s="90">
        <f t="shared" si="245"/>
        <v>0</v>
      </c>
      <c r="BE220" s="90">
        <v>0</v>
      </c>
      <c r="BF220" s="90">
        <f t="shared" si="246"/>
        <v>11.6270744</v>
      </c>
      <c r="BH220" s="90">
        <f t="shared" si="247"/>
        <v>0</v>
      </c>
      <c r="BI220" s="90">
        <f t="shared" si="248"/>
        <v>0</v>
      </c>
      <c r="BJ220" s="90">
        <f t="shared" si="249"/>
        <v>0</v>
      </c>
    </row>
    <row r="221" spans="1:62" ht="12.75">
      <c r="A221" s="88" t="s">
        <v>683</v>
      </c>
      <c r="B221" s="88" t="s">
        <v>60</v>
      </c>
      <c r="C221" s="88" t="s">
        <v>258</v>
      </c>
      <c r="D221" s="88" t="s">
        <v>442</v>
      </c>
      <c r="E221" s="88" t="s">
        <v>608</v>
      </c>
      <c r="F221" s="90">
        <v>212.19</v>
      </c>
      <c r="G221" s="90">
        <f>'Stavební rozpočet (SO 13)'!G46</f>
        <v>0</v>
      </c>
      <c r="H221" s="90">
        <f t="shared" si="226"/>
        <v>0</v>
      </c>
      <c r="I221" s="90">
        <f t="shared" si="227"/>
        <v>0</v>
      </c>
      <c r="J221" s="90">
        <f t="shared" si="228"/>
        <v>0</v>
      </c>
      <c r="K221" s="90">
        <v>0.01119</v>
      </c>
      <c r="L221" s="90">
        <f t="shared" si="229"/>
        <v>2.3744061</v>
      </c>
      <c r="M221" s="91" t="s">
        <v>622</v>
      </c>
      <c r="O221" s="90"/>
      <c r="P221" s="90"/>
      <c r="Z221" s="90">
        <f t="shared" si="230"/>
        <v>0</v>
      </c>
      <c r="AB221" s="90">
        <f t="shared" si="231"/>
        <v>0</v>
      </c>
      <c r="AC221" s="90">
        <f t="shared" si="232"/>
        <v>0</v>
      </c>
      <c r="AD221" s="90">
        <f t="shared" si="233"/>
        <v>0</v>
      </c>
      <c r="AE221" s="90">
        <f t="shared" si="234"/>
        <v>0</v>
      </c>
      <c r="AF221" s="90">
        <f t="shared" si="235"/>
        <v>0</v>
      </c>
      <c r="AG221" s="90">
        <f t="shared" si="236"/>
        <v>0</v>
      </c>
      <c r="AH221" s="90">
        <f t="shared" si="237"/>
        <v>0</v>
      </c>
      <c r="AI221" s="154" t="s">
        <v>60</v>
      </c>
      <c r="AJ221" s="90">
        <f t="shared" si="238"/>
        <v>0</v>
      </c>
      <c r="AK221" s="90">
        <f t="shared" si="239"/>
        <v>0</v>
      </c>
      <c r="AL221" s="90">
        <f t="shared" si="240"/>
        <v>0</v>
      </c>
      <c r="AN221" s="90">
        <v>21</v>
      </c>
      <c r="AO221" s="90">
        <f>G221*0.206189594346569</f>
        <v>0</v>
      </c>
      <c r="AP221" s="90">
        <f>G221*(1-0.206189594346569)</f>
        <v>0</v>
      </c>
      <c r="AQ221" s="91" t="s">
        <v>79</v>
      </c>
      <c r="AV221" s="90">
        <f t="shared" si="241"/>
        <v>0</v>
      </c>
      <c r="AW221" s="90">
        <f t="shared" si="242"/>
        <v>0</v>
      </c>
      <c r="AX221" s="90">
        <f t="shared" si="243"/>
        <v>0</v>
      </c>
      <c r="AY221" s="91" t="s">
        <v>634</v>
      </c>
      <c r="AZ221" s="91" t="s">
        <v>1535</v>
      </c>
      <c r="BA221" s="154" t="s">
        <v>1542</v>
      </c>
      <c r="BC221" s="90">
        <f t="shared" si="244"/>
        <v>0</v>
      </c>
      <c r="BD221" s="90">
        <f t="shared" si="245"/>
        <v>0</v>
      </c>
      <c r="BE221" s="90">
        <v>0</v>
      </c>
      <c r="BF221" s="90">
        <f t="shared" si="246"/>
        <v>2.3744061</v>
      </c>
      <c r="BH221" s="90">
        <f t="shared" si="247"/>
        <v>0</v>
      </c>
      <c r="BI221" s="90">
        <f t="shared" si="248"/>
        <v>0</v>
      </c>
      <c r="BJ221" s="90">
        <f t="shared" si="249"/>
        <v>0</v>
      </c>
    </row>
    <row r="222" spans="1:62" ht="12.75">
      <c r="A222" s="88" t="s">
        <v>684</v>
      </c>
      <c r="B222" s="88" t="s">
        <v>60</v>
      </c>
      <c r="C222" s="88" t="s">
        <v>259</v>
      </c>
      <c r="D222" s="88" t="s">
        <v>443</v>
      </c>
      <c r="E222" s="88" t="s">
        <v>608</v>
      </c>
      <c r="F222" s="90">
        <v>212.19</v>
      </c>
      <c r="G222" s="90">
        <f>'Stavební rozpočet (SO 13)'!G47</f>
        <v>0</v>
      </c>
      <c r="H222" s="90">
        <f t="shared" si="226"/>
        <v>0</v>
      </c>
      <c r="I222" s="90">
        <f t="shared" si="227"/>
        <v>0</v>
      </c>
      <c r="J222" s="90">
        <f t="shared" si="228"/>
        <v>0</v>
      </c>
      <c r="K222" s="90">
        <v>0.02888</v>
      </c>
      <c r="L222" s="90">
        <f t="shared" si="229"/>
        <v>6.1280472</v>
      </c>
      <c r="M222" s="91" t="s">
        <v>622</v>
      </c>
      <c r="O222" s="90"/>
      <c r="P222" s="90"/>
      <c r="Z222" s="90">
        <f t="shared" si="230"/>
        <v>0</v>
      </c>
      <c r="AB222" s="90">
        <f t="shared" si="231"/>
        <v>0</v>
      </c>
      <c r="AC222" s="90">
        <f t="shared" si="232"/>
        <v>0</v>
      </c>
      <c r="AD222" s="90">
        <f t="shared" si="233"/>
        <v>0</v>
      </c>
      <c r="AE222" s="90">
        <f t="shared" si="234"/>
        <v>0</v>
      </c>
      <c r="AF222" s="90">
        <f t="shared" si="235"/>
        <v>0</v>
      </c>
      <c r="AG222" s="90">
        <f t="shared" si="236"/>
        <v>0</v>
      </c>
      <c r="AH222" s="90">
        <f t="shared" si="237"/>
        <v>0</v>
      </c>
      <c r="AI222" s="154" t="s">
        <v>60</v>
      </c>
      <c r="AJ222" s="90">
        <f t="shared" si="238"/>
        <v>0</v>
      </c>
      <c r="AK222" s="90">
        <f t="shared" si="239"/>
        <v>0</v>
      </c>
      <c r="AL222" s="90">
        <f t="shared" si="240"/>
        <v>0</v>
      </c>
      <c r="AN222" s="90">
        <v>21</v>
      </c>
      <c r="AO222" s="90">
        <f>G222*0.324471674648514</f>
        <v>0</v>
      </c>
      <c r="AP222" s="90">
        <f>G222*(1-0.324471674648514)</f>
        <v>0</v>
      </c>
      <c r="AQ222" s="91" t="s">
        <v>79</v>
      </c>
      <c r="AV222" s="90">
        <f t="shared" si="241"/>
        <v>0</v>
      </c>
      <c r="AW222" s="90">
        <f t="shared" si="242"/>
        <v>0</v>
      </c>
      <c r="AX222" s="90">
        <f t="shared" si="243"/>
        <v>0</v>
      </c>
      <c r="AY222" s="91" t="s">
        <v>634</v>
      </c>
      <c r="AZ222" s="91" t="s">
        <v>1535</v>
      </c>
      <c r="BA222" s="154" t="s">
        <v>1542</v>
      </c>
      <c r="BC222" s="90">
        <f t="shared" si="244"/>
        <v>0</v>
      </c>
      <c r="BD222" s="90">
        <f t="shared" si="245"/>
        <v>0</v>
      </c>
      <c r="BE222" s="90">
        <v>0</v>
      </c>
      <c r="BF222" s="90">
        <f t="shared" si="246"/>
        <v>6.1280472</v>
      </c>
      <c r="BH222" s="90">
        <f t="shared" si="247"/>
        <v>0</v>
      </c>
      <c r="BI222" s="90">
        <f t="shared" si="248"/>
        <v>0</v>
      </c>
      <c r="BJ222" s="90">
        <f t="shared" si="249"/>
        <v>0</v>
      </c>
    </row>
    <row r="223" spans="1:62" ht="12.75">
      <c r="A223" s="88" t="s">
        <v>685</v>
      </c>
      <c r="B223" s="88" t="s">
        <v>60</v>
      </c>
      <c r="C223" s="88" t="s">
        <v>260</v>
      </c>
      <c r="D223" s="88" t="s">
        <v>445</v>
      </c>
      <c r="E223" s="88" t="s">
        <v>608</v>
      </c>
      <c r="F223" s="90">
        <v>193.72</v>
      </c>
      <c r="G223" s="90">
        <f>'Stavební rozpočet (SO 13)'!$G$49</f>
        <v>0</v>
      </c>
      <c r="H223" s="90">
        <f t="shared" si="226"/>
        <v>0</v>
      </c>
      <c r="I223" s="90">
        <f t="shared" si="227"/>
        <v>0</v>
      </c>
      <c r="J223" s="90">
        <f t="shared" si="228"/>
        <v>0</v>
      </c>
      <c r="K223" s="90">
        <v>0.00367</v>
      </c>
      <c r="L223" s="90">
        <f t="shared" si="229"/>
        <v>0.7109524</v>
      </c>
      <c r="M223" s="91" t="s">
        <v>622</v>
      </c>
      <c r="O223" s="90"/>
      <c r="P223" s="90"/>
      <c r="Z223" s="90">
        <f t="shared" si="230"/>
        <v>0</v>
      </c>
      <c r="AB223" s="90">
        <f t="shared" si="231"/>
        <v>0</v>
      </c>
      <c r="AC223" s="90">
        <f t="shared" si="232"/>
        <v>0</v>
      </c>
      <c r="AD223" s="90">
        <f t="shared" si="233"/>
        <v>0</v>
      </c>
      <c r="AE223" s="90">
        <f t="shared" si="234"/>
        <v>0</v>
      </c>
      <c r="AF223" s="90">
        <f t="shared" si="235"/>
        <v>0</v>
      </c>
      <c r="AG223" s="90">
        <f t="shared" si="236"/>
        <v>0</v>
      </c>
      <c r="AH223" s="90">
        <f t="shared" si="237"/>
        <v>0</v>
      </c>
      <c r="AI223" s="154" t="s">
        <v>60</v>
      </c>
      <c r="AJ223" s="90">
        <f t="shared" si="238"/>
        <v>0</v>
      </c>
      <c r="AK223" s="90">
        <f t="shared" si="239"/>
        <v>0</v>
      </c>
      <c r="AL223" s="90">
        <f t="shared" si="240"/>
        <v>0</v>
      </c>
      <c r="AN223" s="90">
        <v>21</v>
      </c>
      <c r="AO223" s="90">
        <f>G223*0.283412072634951</f>
        <v>0</v>
      </c>
      <c r="AP223" s="90">
        <f>G223*(1-0.283412072634951)</f>
        <v>0</v>
      </c>
      <c r="AQ223" s="91" t="s">
        <v>79</v>
      </c>
      <c r="AV223" s="90">
        <f t="shared" si="241"/>
        <v>0</v>
      </c>
      <c r="AW223" s="90">
        <f t="shared" si="242"/>
        <v>0</v>
      </c>
      <c r="AX223" s="90">
        <f t="shared" si="243"/>
        <v>0</v>
      </c>
      <c r="AY223" s="91" t="s">
        <v>634</v>
      </c>
      <c r="AZ223" s="91" t="s">
        <v>1535</v>
      </c>
      <c r="BA223" s="154" t="s">
        <v>1542</v>
      </c>
      <c r="BC223" s="90">
        <f t="shared" si="244"/>
        <v>0</v>
      </c>
      <c r="BD223" s="90">
        <f t="shared" si="245"/>
        <v>0</v>
      </c>
      <c r="BE223" s="90">
        <v>0</v>
      </c>
      <c r="BF223" s="90">
        <f t="shared" si="246"/>
        <v>0.7109524</v>
      </c>
      <c r="BH223" s="90">
        <f t="shared" si="247"/>
        <v>0</v>
      </c>
      <c r="BI223" s="90">
        <f t="shared" si="248"/>
        <v>0</v>
      </c>
      <c r="BJ223" s="90">
        <f t="shared" si="249"/>
        <v>0</v>
      </c>
    </row>
    <row r="224" spans="1:62" ht="12.75">
      <c r="A224" s="88" t="s">
        <v>686</v>
      </c>
      <c r="B224" s="88" t="s">
        <v>60</v>
      </c>
      <c r="C224" s="88" t="s">
        <v>261</v>
      </c>
      <c r="D224" s="88" t="s">
        <v>447</v>
      </c>
      <c r="E224" s="88" t="s">
        <v>609</v>
      </c>
      <c r="F224" s="90">
        <v>0</v>
      </c>
      <c r="G224" s="90">
        <f>'Stavební rozpočet (SO 13)'!$G$51</f>
        <v>0</v>
      </c>
      <c r="H224" s="90">
        <f t="shared" si="226"/>
        <v>0</v>
      </c>
      <c r="I224" s="90">
        <f t="shared" si="227"/>
        <v>0</v>
      </c>
      <c r="J224" s="90">
        <f t="shared" si="228"/>
        <v>0</v>
      </c>
      <c r="K224" s="90">
        <v>0.00215</v>
      </c>
      <c r="L224" s="90">
        <f t="shared" si="229"/>
        <v>0</v>
      </c>
      <c r="M224" s="91" t="s">
        <v>622</v>
      </c>
      <c r="O224" s="90"/>
      <c r="P224" s="90"/>
      <c r="Z224" s="90">
        <f t="shared" si="230"/>
        <v>0</v>
      </c>
      <c r="AB224" s="90">
        <f t="shared" si="231"/>
        <v>0</v>
      </c>
      <c r="AC224" s="90">
        <f t="shared" si="232"/>
        <v>0</v>
      </c>
      <c r="AD224" s="90">
        <f t="shared" si="233"/>
        <v>0</v>
      </c>
      <c r="AE224" s="90">
        <f t="shared" si="234"/>
        <v>0</v>
      </c>
      <c r="AF224" s="90">
        <f t="shared" si="235"/>
        <v>0</v>
      </c>
      <c r="AG224" s="90">
        <f t="shared" si="236"/>
        <v>0</v>
      </c>
      <c r="AH224" s="90">
        <f t="shared" si="237"/>
        <v>0</v>
      </c>
      <c r="AI224" s="154" t="s">
        <v>60</v>
      </c>
      <c r="AJ224" s="90">
        <f t="shared" si="238"/>
        <v>0</v>
      </c>
      <c r="AK224" s="90">
        <f t="shared" si="239"/>
        <v>0</v>
      </c>
      <c r="AL224" s="90">
        <f t="shared" si="240"/>
        <v>0</v>
      </c>
      <c r="AN224" s="90">
        <v>21</v>
      </c>
      <c r="AO224" s="90">
        <f>G224*0.312307692307692</f>
        <v>0</v>
      </c>
      <c r="AP224" s="90">
        <f>G224*(1-0.312307692307692)</f>
        <v>0</v>
      </c>
      <c r="AQ224" s="91" t="s">
        <v>79</v>
      </c>
      <c r="AV224" s="90">
        <f t="shared" si="241"/>
        <v>0</v>
      </c>
      <c r="AW224" s="90">
        <f t="shared" si="242"/>
        <v>0</v>
      </c>
      <c r="AX224" s="90">
        <f t="shared" si="243"/>
        <v>0</v>
      </c>
      <c r="AY224" s="91" t="s">
        <v>634</v>
      </c>
      <c r="AZ224" s="91" t="s">
        <v>1535</v>
      </c>
      <c r="BA224" s="154" t="s">
        <v>1542</v>
      </c>
      <c r="BC224" s="90">
        <f t="shared" si="244"/>
        <v>0</v>
      </c>
      <c r="BD224" s="90">
        <f t="shared" si="245"/>
        <v>0</v>
      </c>
      <c r="BE224" s="90">
        <v>0</v>
      </c>
      <c r="BF224" s="90">
        <f t="shared" si="246"/>
        <v>0</v>
      </c>
      <c r="BH224" s="90">
        <f t="shared" si="247"/>
        <v>0</v>
      </c>
      <c r="BI224" s="90">
        <f t="shared" si="248"/>
        <v>0</v>
      </c>
      <c r="BJ224" s="90">
        <f t="shared" si="249"/>
        <v>0</v>
      </c>
    </row>
    <row r="225" spans="1:47" ht="12.75">
      <c r="A225" s="159"/>
      <c r="B225" s="160" t="s">
        <v>60</v>
      </c>
      <c r="C225" s="160" t="s">
        <v>141</v>
      </c>
      <c r="D225" s="160" t="s">
        <v>449</v>
      </c>
      <c r="E225" s="159" t="s">
        <v>57</v>
      </c>
      <c r="F225" s="159" t="s">
        <v>57</v>
      </c>
      <c r="G225" s="159"/>
      <c r="H225" s="161">
        <f>SUM(H226:H228)</f>
        <v>0</v>
      </c>
      <c r="I225" s="161">
        <f>SUM(I226:I228)</f>
        <v>0</v>
      </c>
      <c r="J225" s="161">
        <f>SUM(J226:J228)</f>
        <v>0</v>
      </c>
      <c r="K225" s="154"/>
      <c r="L225" s="161">
        <f>SUM(L226:L228)</f>
        <v>155.004822</v>
      </c>
      <c r="M225" s="154"/>
      <c r="O225" s="159"/>
      <c r="P225" s="159"/>
      <c r="AI225" s="154" t="s">
        <v>60</v>
      </c>
      <c r="AS225" s="161">
        <f>SUM(AJ226:AJ228)</f>
        <v>0</v>
      </c>
      <c r="AT225" s="161">
        <f>SUM(AK226:AK228)</f>
        <v>0</v>
      </c>
      <c r="AU225" s="161">
        <f>SUM(AL226:AL228)</f>
        <v>0</v>
      </c>
    </row>
    <row r="226" spans="1:62" ht="12.75">
      <c r="A226" s="88" t="s">
        <v>687</v>
      </c>
      <c r="B226" s="88" t="s">
        <v>60</v>
      </c>
      <c r="C226" s="88" t="s">
        <v>951</v>
      </c>
      <c r="D226" s="88" t="s">
        <v>1234</v>
      </c>
      <c r="E226" s="88" t="s">
        <v>608</v>
      </c>
      <c r="F226" s="90">
        <v>0</v>
      </c>
      <c r="G226" s="90">
        <f>'Stavební rozpočet (SO 13)'!G54</f>
        <v>0</v>
      </c>
      <c r="H226" s="90">
        <f>F226*AO226</f>
        <v>0</v>
      </c>
      <c r="I226" s="90">
        <f>F226*AP226</f>
        <v>0</v>
      </c>
      <c r="J226" s="90">
        <f>F226*G226</f>
        <v>0</v>
      </c>
      <c r="K226" s="90">
        <v>0.79547</v>
      </c>
      <c r="L226" s="90">
        <f>F226*K226</f>
        <v>0</v>
      </c>
      <c r="M226" s="91" t="s">
        <v>622</v>
      </c>
      <c r="O226" s="90"/>
      <c r="P226" s="90"/>
      <c r="Z226" s="90">
        <f>IF(AQ226="5",BJ226,0)</f>
        <v>0</v>
      </c>
      <c r="AB226" s="90">
        <f>IF(AQ226="1",BH226,0)</f>
        <v>0</v>
      </c>
      <c r="AC226" s="90">
        <f>IF(AQ226="1",BI226,0)</f>
        <v>0</v>
      </c>
      <c r="AD226" s="90">
        <f>IF(AQ226="7",BH226,0)</f>
        <v>0</v>
      </c>
      <c r="AE226" s="90">
        <f>IF(AQ226="7",BI226,0)</f>
        <v>0</v>
      </c>
      <c r="AF226" s="90">
        <f>IF(AQ226="2",BH226,0)</f>
        <v>0</v>
      </c>
      <c r="AG226" s="90">
        <f>IF(AQ226="2",BI226,0)</f>
        <v>0</v>
      </c>
      <c r="AH226" s="90">
        <f>IF(AQ226="0",BJ226,0)</f>
        <v>0</v>
      </c>
      <c r="AI226" s="154" t="s">
        <v>60</v>
      </c>
      <c r="AJ226" s="90">
        <f>IF(AN226=0,J226,0)</f>
        <v>0</v>
      </c>
      <c r="AK226" s="90">
        <f>IF(AN226=15,J226,0)</f>
        <v>0</v>
      </c>
      <c r="AL226" s="90">
        <f>IF(AN226=21,J226,0)</f>
        <v>0</v>
      </c>
      <c r="AN226" s="90">
        <v>21</v>
      </c>
      <c r="AO226" s="90">
        <f>G226*0.71</f>
        <v>0</v>
      </c>
      <c r="AP226" s="90">
        <f>G226*(1-0.71)</f>
        <v>0</v>
      </c>
      <c r="AQ226" s="91" t="s">
        <v>79</v>
      </c>
      <c r="AV226" s="90">
        <f>AW226+AX226</f>
        <v>0</v>
      </c>
      <c r="AW226" s="90">
        <f>F226*AO226</f>
        <v>0</v>
      </c>
      <c r="AX226" s="90">
        <f>F226*AP226</f>
        <v>0</v>
      </c>
      <c r="AY226" s="91" t="s">
        <v>635</v>
      </c>
      <c r="AZ226" s="91" t="s">
        <v>1535</v>
      </c>
      <c r="BA226" s="154" t="s">
        <v>1542</v>
      </c>
      <c r="BC226" s="90">
        <f>AW226+AX226</f>
        <v>0</v>
      </c>
      <c r="BD226" s="90">
        <f>G226/(100-BE226)*100</f>
        <v>0</v>
      </c>
      <c r="BE226" s="90">
        <v>0</v>
      </c>
      <c r="BF226" s="90">
        <f>L226</f>
        <v>0</v>
      </c>
      <c r="BH226" s="90">
        <f>F226*AO226</f>
        <v>0</v>
      </c>
      <c r="BI226" s="90">
        <f>F226*AP226</f>
        <v>0</v>
      </c>
      <c r="BJ226" s="90">
        <f>F226*G226</f>
        <v>0</v>
      </c>
    </row>
    <row r="227" spans="1:62" ht="12.75">
      <c r="A227" s="88" t="s">
        <v>688</v>
      </c>
      <c r="B227" s="88" t="s">
        <v>60</v>
      </c>
      <c r="C227" s="88" t="s">
        <v>262</v>
      </c>
      <c r="D227" s="88" t="s">
        <v>450</v>
      </c>
      <c r="E227" s="88" t="s">
        <v>608</v>
      </c>
      <c r="F227" s="90">
        <v>0</v>
      </c>
      <c r="G227" s="90">
        <f>'Stavební rozpočet (SO 13)'!G55</f>
        <v>0</v>
      </c>
      <c r="H227" s="90">
        <f>F227*AO227</f>
        <v>0</v>
      </c>
      <c r="I227" s="90">
        <f>F227*AP227</f>
        <v>0</v>
      </c>
      <c r="J227" s="90">
        <f>F227*G227</f>
        <v>0</v>
      </c>
      <c r="K227" s="90">
        <v>0.1614</v>
      </c>
      <c r="L227" s="90">
        <f>F227*K227</f>
        <v>0</v>
      </c>
      <c r="M227" s="91" t="s">
        <v>622</v>
      </c>
      <c r="O227" s="90"/>
      <c r="P227" s="90"/>
      <c r="Z227" s="90">
        <f>IF(AQ227="5",BJ227,0)</f>
        <v>0</v>
      </c>
      <c r="AB227" s="90">
        <f>IF(AQ227="1",BH227,0)</f>
        <v>0</v>
      </c>
      <c r="AC227" s="90">
        <f>IF(AQ227="1",BI227,0)</f>
        <v>0</v>
      </c>
      <c r="AD227" s="90">
        <f>IF(AQ227="7",BH227,0)</f>
        <v>0</v>
      </c>
      <c r="AE227" s="90">
        <f>IF(AQ227="7",BI227,0)</f>
        <v>0</v>
      </c>
      <c r="AF227" s="90">
        <f>IF(AQ227="2",BH227,0)</f>
        <v>0</v>
      </c>
      <c r="AG227" s="90">
        <f>IF(AQ227="2",BI227,0)</f>
        <v>0</v>
      </c>
      <c r="AH227" s="90">
        <f>IF(AQ227="0",BJ227,0)</f>
        <v>0</v>
      </c>
      <c r="AI227" s="154" t="s">
        <v>60</v>
      </c>
      <c r="AJ227" s="90">
        <f>IF(AN227=0,J227,0)</f>
        <v>0</v>
      </c>
      <c r="AK227" s="90">
        <f>IF(AN227=15,J227,0)</f>
        <v>0</v>
      </c>
      <c r="AL227" s="90">
        <f>IF(AN227=21,J227,0)</f>
        <v>0</v>
      </c>
      <c r="AN227" s="90">
        <v>21</v>
      </c>
      <c r="AO227" s="90">
        <f>G227*0.710773240660295</f>
        <v>0</v>
      </c>
      <c r="AP227" s="90">
        <f>G227*(1-0.710773240660295)</f>
        <v>0</v>
      </c>
      <c r="AQ227" s="91" t="s">
        <v>79</v>
      </c>
      <c r="AV227" s="90">
        <f>AW227+AX227</f>
        <v>0</v>
      </c>
      <c r="AW227" s="90">
        <f>F227*AO227</f>
        <v>0</v>
      </c>
      <c r="AX227" s="90">
        <f>F227*AP227</f>
        <v>0</v>
      </c>
      <c r="AY227" s="91" t="s">
        <v>635</v>
      </c>
      <c r="AZ227" s="91" t="s">
        <v>1535</v>
      </c>
      <c r="BA227" s="154" t="s">
        <v>1542</v>
      </c>
      <c r="BC227" s="90">
        <f>AW227+AX227</f>
        <v>0</v>
      </c>
      <c r="BD227" s="90">
        <f>G227/(100-BE227)*100</f>
        <v>0</v>
      </c>
      <c r="BE227" s="90">
        <v>0</v>
      </c>
      <c r="BF227" s="90">
        <f>L227</f>
        <v>0</v>
      </c>
      <c r="BH227" s="90">
        <f>F227*AO227</f>
        <v>0</v>
      </c>
      <c r="BI227" s="90">
        <f>F227*AP227</f>
        <v>0</v>
      </c>
      <c r="BJ227" s="90">
        <f>F227*G227</f>
        <v>0</v>
      </c>
    </row>
    <row r="228" spans="1:62" ht="12.75">
      <c r="A228" s="88" t="s">
        <v>689</v>
      </c>
      <c r="B228" s="88" t="s">
        <v>60</v>
      </c>
      <c r="C228" s="88" t="s">
        <v>263</v>
      </c>
      <c r="D228" s="88" t="s">
        <v>1236</v>
      </c>
      <c r="E228" s="88" t="s">
        <v>608</v>
      </c>
      <c r="F228" s="90">
        <v>190.26</v>
      </c>
      <c r="G228" s="90">
        <f>'Stavební rozpočet (SO 13)'!$G$57</f>
        <v>0</v>
      </c>
      <c r="H228" s="90">
        <f>F228*AO228</f>
        <v>0</v>
      </c>
      <c r="I228" s="90">
        <f>F228*AP228</f>
        <v>0</v>
      </c>
      <c r="J228" s="90">
        <f>F228*G228</f>
        <v>0</v>
      </c>
      <c r="K228" s="90">
        <v>0.8147</v>
      </c>
      <c r="L228" s="90">
        <f>F228*K228</f>
        <v>155.004822</v>
      </c>
      <c r="M228" s="91" t="s">
        <v>622</v>
      </c>
      <c r="O228" s="90"/>
      <c r="P228" s="90"/>
      <c r="Z228" s="90">
        <f>IF(AQ228="5",BJ228,0)</f>
        <v>0</v>
      </c>
      <c r="AB228" s="90">
        <f>IF(AQ228="1",BH228,0)</f>
        <v>0</v>
      </c>
      <c r="AC228" s="90">
        <f>IF(AQ228="1",BI228,0)</f>
        <v>0</v>
      </c>
      <c r="AD228" s="90">
        <f>IF(AQ228="7",BH228,0)</f>
        <v>0</v>
      </c>
      <c r="AE228" s="90">
        <f>IF(AQ228="7",BI228,0)</f>
        <v>0</v>
      </c>
      <c r="AF228" s="90">
        <f>IF(AQ228="2",BH228,0)</f>
        <v>0</v>
      </c>
      <c r="AG228" s="90">
        <f>IF(AQ228="2",BI228,0)</f>
        <v>0</v>
      </c>
      <c r="AH228" s="90">
        <f>IF(AQ228="0",BJ228,0)</f>
        <v>0</v>
      </c>
      <c r="AI228" s="154" t="s">
        <v>60</v>
      </c>
      <c r="AJ228" s="90">
        <f>IF(AN228=0,J228,0)</f>
        <v>0</v>
      </c>
      <c r="AK228" s="90">
        <f>IF(AN228=15,J228,0)</f>
        <v>0</v>
      </c>
      <c r="AL228" s="90">
        <f>IF(AN228=21,J228,0)</f>
        <v>0</v>
      </c>
      <c r="AN228" s="90">
        <v>21</v>
      </c>
      <c r="AO228" s="90">
        <f>G228*0.710766703176342</f>
        <v>0</v>
      </c>
      <c r="AP228" s="90">
        <f>G228*(1-0.710766703176342)</f>
        <v>0</v>
      </c>
      <c r="AQ228" s="91" t="s">
        <v>79</v>
      </c>
      <c r="AV228" s="90">
        <f>AW228+AX228</f>
        <v>0</v>
      </c>
      <c r="AW228" s="90">
        <f>F228*AO228</f>
        <v>0</v>
      </c>
      <c r="AX228" s="90">
        <f>F228*AP228</f>
        <v>0</v>
      </c>
      <c r="AY228" s="91" t="s">
        <v>635</v>
      </c>
      <c r="AZ228" s="91" t="s">
        <v>1535</v>
      </c>
      <c r="BA228" s="154" t="s">
        <v>1542</v>
      </c>
      <c r="BC228" s="90">
        <f>AW228+AX228</f>
        <v>0</v>
      </c>
      <c r="BD228" s="90">
        <f>G228/(100-BE228)*100</f>
        <v>0</v>
      </c>
      <c r="BE228" s="90">
        <v>0</v>
      </c>
      <c r="BF228" s="90">
        <f>L228</f>
        <v>155.004822</v>
      </c>
      <c r="BH228" s="90">
        <f>F228*AO228</f>
        <v>0</v>
      </c>
      <c r="BI228" s="90">
        <f>F228*AP228</f>
        <v>0</v>
      </c>
      <c r="BJ228" s="90">
        <f>F228*G228</f>
        <v>0</v>
      </c>
    </row>
    <row r="229" spans="1:47" ht="12.75">
      <c r="A229" s="159"/>
      <c r="B229" s="160" t="s">
        <v>60</v>
      </c>
      <c r="C229" s="160" t="s">
        <v>142</v>
      </c>
      <c r="D229" s="160" t="s">
        <v>1237</v>
      </c>
      <c r="E229" s="159" t="s">
        <v>57</v>
      </c>
      <c r="F229" s="159" t="s">
        <v>57</v>
      </c>
      <c r="G229" s="159"/>
      <c r="H229" s="161">
        <f>SUM(H230:H230)</f>
        <v>0</v>
      </c>
      <c r="I229" s="161">
        <f>SUM(I230:I230)</f>
        <v>0</v>
      </c>
      <c r="J229" s="161">
        <f>SUM(J230:J230)</f>
        <v>0</v>
      </c>
      <c r="K229" s="154"/>
      <c r="L229" s="161">
        <f>SUM(L230:L230)</f>
        <v>0.104139</v>
      </c>
      <c r="M229" s="154"/>
      <c r="O229" s="159"/>
      <c r="P229" s="159"/>
      <c r="AI229" s="154" t="s">
        <v>60</v>
      </c>
      <c r="AS229" s="161">
        <f>SUM(AJ230:AJ230)</f>
        <v>0</v>
      </c>
      <c r="AT229" s="161">
        <f>SUM(AK230:AK230)</f>
        <v>0</v>
      </c>
      <c r="AU229" s="161">
        <f>SUM(AL230:AL230)</f>
        <v>0</v>
      </c>
    </row>
    <row r="230" spans="1:62" ht="12.75">
      <c r="A230" s="88" t="s">
        <v>690</v>
      </c>
      <c r="B230" s="88" t="s">
        <v>60</v>
      </c>
      <c r="C230" s="88" t="s">
        <v>952</v>
      </c>
      <c r="D230" s="88" t="s">
        <v>1238</v>
      </c>
      <c r="E230" s="88" t="s">
        <v>609</v>
      </c>
      <c r="F230" s="90">
        <v>18.9</v>
      </c>
      <c r="G230" s="90">
        <f>'Stavební rozpočet (SO 13)'!$G$60</f>
        <v>0</v>
      </c>
      <c r="H230" s="90">
        <f>F230*AO230</f>
        <v>0</v>
      </c>
      <c r="I230" s="90">
        <f>F230*AP230</f>
        <v>0</v>
      </c>
      <c r="J230" s="90">
        <f>F230*G230</f>
        <v>0</v>
      </c>
      <c r="K230" s="90">
        <v>0.00551</v>
      </c>
      <c r="L230" s="90">
        <f>F230*K230</f>
        <v>0.104139</v>
      </c>
      <c r="M230" s="91" t="s">
        <v>622</v>
      </c>
      <c r="O230" s="90"/>
      <c r="P230" s="90"/>
      <c r="Z230" s="90">
        <f>IF(AQ230="5",BJ230,0)</f>
        <v>0</v>
      </c>
      <c r="AB230" s="90">
        <f>IF(AQ230="1",BH230,0)</f>
        <v>0</v>
      </c>
      <c r="AC230" s="90">
        <f>IF(AQ230="1",BI230,0)</f>
        <v>0</v>
      </c>
      <c r="AD230" s="90">
        <f>IF(AQ230="7",BH230,0)</f>
        <v>0</v>
      </c>
      <c r="AE230" s="90">
        <f>IF(AQ230="7",BI230,0)</f>
        <v>0</v>
      </c>
      <c r="AF230" s="90">
        <f>IF(AQ230="2",BH230,0)</f>
        <v>0</v>
      </c>
      <c r="AG230" s="90">
        <f>IF(AQ230="2",BI230,0)</f>
        <v>0</v>
      </c>
      <c r="AH230" s="90">
        <f>IF(AQ230="0",BJ230,0)</f>
        <v>0</v>
      </c>
      <c r="AI230" s="154" t="s">
        <v>60</v>
      </c>
      <c r="AJ230" s="90">
        <f>IF(AN230=0,J230,0)</f>
        <v>0</v>
      </c>
      <c r="AK230" s="90">
        <f>IF(AN230=15,J230,0)</f>
        <v>0</v>
      </c>
      <c r="AL230" s="90">
        <f>IF(AN230=21,J230,0)</f>
        <v>0</v>
      </c>
      <c r="AN230" s="90">
        <v>21</v>
      </c>
      <c r="AO230" s="90">
        <f>G230*0.545496894409938</f>
        <v>0</v>
      </c>
      <c r="AP230" s="90">
        <f>G230*(1-0.545496894409938)</f>
        <v>0</v>
      </c>
      <c r="AQ230" s="91" t="s">
        <v>79</v>
      </c>
      <c r="AV230" s="90">
        <f>AW230+AX230</f>
        <v>0</v>
      </c>
      <c r="AW230" s="90">
        <f>F230*AO230</f>
        <v>0</v>
      </c>
      <c r="AX230" s="90">
        <f>F230*AP230</f>
        <v>0</v>
      </c>
      <c r="AY230" s="91" t="s">
        <v>1529</v>
      </c>
      <c r="AZ230" s="91" t="s">
        <v>1535</v>
      </c>
      <c r="BA230" s="154" t="s">
        <v>1542</v>
      </c>
      <c r="BC230" s="90">
        <f>AW230+AX230</f>
        <v>0</v>
      </c>
      <c r="BD230" s="90">
        <f>G230/(100-BE230)*100</f>
        <v>0</v>
      </c>
      <c r="BE230" s="90">
        <v>0</v>
      </c>
      <c r="BF230" s="90">
        <f>L230</f>
        <v>0.104139</v>
      </c>
      <c r="BH230" s="90">
        <f>F230*AO230</f>
        <v>0</v>
      </c>
      <c r="BI230" s="90">
        <f>F230*AP230</f>
        <v>0</v>
      </c>
      <c r="BJ230" s="90">
        <f>F230*G230</f>
        <v>0</v>
      </c>
    </row>
    <row r="231" spans="1:47" ht="12.75">
      <c r="A231" s="159"/>
      <c r="B231" s="160" t="s">
        <v>60</v>
      </c>
      <c r="C231" s="160" t="s">
        <v>172</v>
      </c>
      <c r="D231" s="160" t="s">
        <v>453</v>
      </c>
      <c r="E231" s="159" t="s">
        <v>57</v>
      </c>
      <c r="F231" s="159" t="s">
        <v>57</v>
      </c>
      <c r="G231" s="159"/>
      <c r="H231" s="161">
        <f>SUM(H232:H235)</f>
        <v>0</v>
      </c>
      <c r="I231" s="161">
        <f>SUM(I232:I235)</f>
        <v>0</v>
      </c>
      <c r="J231" s="161">
        <f>SUM(J232:J235)</f>
        <v>0</v>
      </c>
      <c r="K231" s="154"/>
      <c r="L231" s="161">
        <f>SUM(L232:L235)</f>
        <v>4.5068752</v>
      </c>
      <c r="M231" s="154"/>
      <c r="O231" s="159"/>
      <c r="P231" s="159"/>
      <c r="AI231" s="154" t="s">
        <v>60</v>
      </c>
      <c r="AS231" s="161">
        <f>SUM(AJ232:AJ235)</f>
        <v>0</v>
      </c>
      <c r="AT231" s="161">
        <f>SUM(AK232:AK235)</f>
        <v>0</v>
      </c>
      <c r="AU231" s="161">
        <f>SUM(AL232:AL235)</f>
        <v>0</v>
      </c>
    </row>
    <row r="232" spans="1:62" ht="12.75">
      <c r="A232" s="88" t="s">
        <v>691</v>
      </c>
      <c r="B232" s="88" t="s">
        <v>60</v>
      </c>
      <c r="C232" s="88" t="s">
        <v>264</v>
      </c>
      <c r="D232" s="88" t="s">
        <v>454</v>
      </c>
      <c r="E232" s="88" t="s">
        <v>608</v>
      </c>
      <c r="F232" s="90">
        <v>185</v>
      </c>
      <c r="G232" s="90">
        <f>'Stavební rozpočet (SO 13)'!G63</f>
        <v>0</v>
      </c>
      <c r="H232" s="90">
        <f>F232*AO232</f>
        <v>0</v>
      </c>
      <c r="I232" s="90">
        <f>F232*AP232</f>
        <v>0</v>
      </c>
      <c r="J232" s="90">
        <f>F232*G232</f>
        <v>0</v>
      </c>
      <c r="K232" s="90">
        <v>0.00158</v>
      </c>
      <c r="L232" s="90">
        <f>F232*K232</f>
        <v>0.2923</v>
      </c>
      <c r="M232" s="91" t="s">
        <v>622</v>
      </c>
      <c r="O232" s="90"/>
      <c r="P232" s="90"/>
      <c r="Z232" s="90">
        <f>IF(AQ232="5",BJ232,0)</f>
        <v>0</v>
      </c>
      <c r="AB232" s="90">
        <f>IF(AQ232="1",BH232,0)</f>
        <v>0</v>
      </c>
      <c r="AC232" s="90">
        <f>IF(AQ232="1",BI232,0)</f>
        <v>0</v>
      </c>
      <c r="AD232" s="90">
        <f>IF(AQ232="7",BH232,0)</f>
        <v>0</v>
      </c>
      <c r="AE232" s="90">
        <f>IF(AQ232="7",BI232,0)</f>
        <v>0</v>
      </c>
      <c r="AF232" s="90">
        <f>IF(AQ232="2",BH232,0)</f>
        <v>0</v>
      </c>
      <c r="AG232" s="90">
        <f>IF(AQ232="2",BI232,0)</f>
        <v>0</v>
      </c>
      <c r="AH232" s="90">
        <f>IF(AQ232="0",BJ232,0)</f>
        <v>0</v>
      </c>
      <c r="AI232" s="154" t="s">
        <v>60</v>
      </c>
      <c r="AJ232" s="90">
        <f>IF(AN232=0,J232,0)</f>
        <v>0</v>
      </c>
      <c r="AK232" s="90">
        <f>IF(AN232=15,J232,0)</f>
        <v>0</v>
      </c>
      <c r="AL232" s="90">
        <f>IF(AN232=21,J232,0)</f>
        <v>0</v>
      </c>
      <c r="AN232" s="90">
        <v>21</v>
      </c>
      <c r="AO232" s="90">
        <f>G232*0.4197621900636</f>
        <v>0</v>
      </c>
      <c r="AP232" s="90">
        <f>G232*(1-0.4197621900636)</f>
        <v>0</v>
      </c>
      <c r="AQ232" s="91" t="s">
        <v>79</v>
      </c>
      <c r="AV232" s="90">
        <f>AW232+AX232</f>
        <v>0</v>
      </c>
      <c r="AW232" s="90">
        <f>F232*AO232</f>
        <v>0</v>
      </c>
      <c r="AX232" s="90">
        <f>F232*AP232</f>
        <v>0</v>
      </c>
      <c r="AY232" s="91" t="s">
        <v>636</v>
      </c>
      <c r="AZ232" s="91" t="s">
        <v>1536</v>
      </c>
      <c r="BA232" s="154" t="s">
        <v>1542</v>
      </c>
      <c r="BC232" s="90">
        <f>AW232+AX232</f>
        <v>0</v>
      </c>
      <c r="BD232" s="90">
        <f>G232/(100-BE232)*100</f>
        <v>0</v>
      </c>
      <c r="BE232" s="90">
        <v>0</v>
      </c>
      <c r="BF232" s="90">
        <f>L232</f>
        <v>0.2923</v>
      </c>
      <c r="BH232" s="90">
        <f>F232*AO232</f>
        <v>0</v>
      </c>
      <c r="BI232" s="90">
        <f>F232*AP232</f>
        <v>0</v>
      </c>
      <c r="BJ232" s="90">
        <f>F232*G232</f>
        <v>0</v>
      </c>
    </row>
    <row r="233" spans="1:62" ht="12.75">
      <c r="A233" s="88" t="s">
        <v>692</v>
      </c>
      <c r="B233" s="88" t="s">
        <v>60</v>
      </c>
      <c r="C233" s="88" t="s">
        <v>265</v>
      </c>
      <c r="D233" s="88" t="s">
        <v>455</v>
      </c>
      <c r="E233" s="88" t="s">
        <v>610</v>
      </c>
      <c r="F233" s="90">
        <v>555.28</v>
      </c>
      <c r="G233" s="90">
        <f>'Stavební rozpočet (SO 13)'!G64</f>
        <v>0</v>
      </c>
      <c r="H233" s="90">
        <f>F233*AO233</f>
        <v>0</v>
      </c>
      <c r="I233" s="90">
        <f>F233*AP233</f>
        <v>0</v>
      </c>
      <c r="J233" s="90">
        <f>F233*G233</f>
        <v>0</v>
      </c>
      <c r="K233" s="90">
        <v>0.00735</v>
      </c>
      <c r="L233" s="90">
        <f>F233*K233</f>
        <v>4.081308</v>
      </c>
      <c r="M233" s="91" t="s">
        <v>622</v>
      </c>
      <c r="O233" s="90"/>
      <c r="P233" s="90"/>
      <c r="Z233" s="90">
        <f>IF(AQ233="5",BJ233,0)</f>
        <v>0</v>
      </c>
      <c r="AB233" s="90">
        <f>IF(AQ233="1",BH233,0)</f>
        <v>0</v>
      </c>
      <c r="AC233" s="90">
        <f>IF(AQ233="1",BI233,0)</f>
        <v>0</v>
      </c>
      <c r="AD233" s="90">
        <f>IF(AQ233="7",BH233,0)</f>
        <v>0</v>
      </c>
      <c r="AE233" s="90">
        <f>IF(AQ233="7",BI233,0)</f>
        <v>0</v>
      </c>
      <c r="AF233" s="90">
        <f>IF(AQ233="2",BH233,0)</f>
        <v>0</v>
      </c>
      <c r="AG233" s="90">
        <f>IF(AQ233="2",BI233,0)</f>
        <v>0</v>
      </c>
      <c r="AH233" s="90">
        <f>IF(AQ233="0",BJ233,0)</f>
        <v>0</v>
      </c>
      <c r="AI233" s="154" t="s">
        <v>60</v>
      </c>
      <c r="AJ233" s="90">
        <f>IF(AN233=0,J233,0)</f>
        <v>0</v>
      </c>
      <c r="AK233" s="90">
        <f>IF(AN233=15,J233,0)</f>
        <v>0</v>
      </c>
      <c r="AL233" s="90">
        <f>IF(AN233=21,J233,0)</f>
        <v>0</v>
      </c>
      <c r="AN233" s="90">
        <v>21</v>
      </c>
      <c r="AO233" s="90">
        <f>G233*0.00169491458639457</f>
        <v>0</v>
      </c>
      <c r="AP233" s="90">
        <f>G233*(1-0.00169491458639457)</f>
        <v>0</v>
      </c>
      <c r="AQ233" s="91" t="s">
        <v>79</v>
      </c>
      <c r="AV233" s="90">
        <f>AW233+AX233</f>
        <v>0</v>
      </c>
      <c r="AW233" s="90">
        <f>F233*AO233</f>
        <v>0</v>
      </c>
      <c r="AX233" s="90">
        <f>F233*AP233</f>
        <v>0</v>
      </c>
      <c r="AY233" s="91" t="s">
        <v>636</v>
      </c>
      <c r="AZ233" s="91" t="s">
        <v>1536</v>
      </c>
      <c r="BA233" s="154" t="s">
        <v>1542</v>
      </c>
      <c r="BC233" s="90">
        <f>AW233+AX233</f>
        <v>0</v>
      </c>
      <c r="BD233" s="90">
        <f>G233/(100-BE233)*100</f>
        <v>0</v>
      </c>
      <c r="BE233" s="90">
        <v>0</v>
      </c>
      <c r="BF233" s="90">
        <f>L233</f>
        <v>4.081308</v>
      </c>
      <c r="BH233" s="90">
        <f>F233*AO233</f>
        <v>0</v>
      </c>
      <c r="BI233" s="90">
        <f>F233*AP233</f>
        <v>0</v>
      </c>
      <c r="BJ233" s="90">
        <f>F233*G233</f>
        <v>0</v>
      </c>
    </row>
    <row r="234" spans="1:62" ht="12.75">
      <c r="A234" s="88" t="s">
        <v>693</v>
      </c>
      <c r="B234" s="88" t="s">
        <v>60</v>
      </c>
      <c r="C234" s="88" t="s">
        <v>266</v>
      </c>
      <c r="D234" s="88" t="s">
        <v>456</v>
      </c>
      <c r="E234" s="88" t="s">
        <v>610</v>
      </c>
      <c r="F234" s="90">
        <v>1110.56</v>
      </c>
      <c r="G234" s="90">
        <f>'Stavební rozpočet (SO 13)'!G65</f>
        <v>0</v>
      </c>
      <c r="H234" s="90">
        <f>F234*AO234</f>
        <v>0</v>
      </c>
      <c r="I234" s="90">
        <f>F234*AP234</f>
        <v>0</v>
      </c>
      <c r="J234" s="90">
        <f>F234*G234</f>
        <v>0</v>
      </c>
      <c r="K234" s="90">
        <v>0.00012</v>
      </c>
      <c r="L234" s="90">
        <f>F234*K234</f>
        <v>0.1332672</v>
      </c>
      <c r="M234" s="91" t="s">
        <v>622</v>
      </c>
      <c r="O234" s="90"/>
      <c r="P234" s="90"/>
      <c r="Z234" s="90">
        <f>IF(AQ234="5",BJ234,0)</f>
        <v>0</v>
      </c>
      <c r="AB234" s="90">
        <f>IF(AQ234="1",BH234,0)</f>
        <v>0</v>
      </c>
      <c r="AC234" s="90">
        <f>IF(AQ234="1",BI234,0)</f>
        <v>0</v>
      </c>
      <c r="AD234" s="90">
        <f>IF(AQ234="7",BH234,0)</f>
        <v>0</v>
      </c>
      <c r="AE234" s="90">
        <f>IF(AQ234="7",BI234,0)</f>
        <v>0</v>
      </c>
      <c r="AF234" s="90">
        <f>IF(AQ234="2",BH234,0)</f>
        <v>0</v>
      </c>
      <c r="AG234" s="90">
        <f>IF(AQ234="2",BI234,0)</f>
        <v>0</v>
      </c>
      <c r="AH234" s="90">
        <f>IF(AQ234="0",BJ234,0)</f>
        <v>0</v>
      </c>
      <c r="AI234" s="154" t="s">
        <v>60</v>
      </c>
      <c r="AJ234" s="90">
        <f>IF(AN234=0,J234,0)</f>
        <v>0</v>
      </c>
      <c r="AK234" s="90">
        <f>IF(AN234=15,J234,0)</f>
        <v>0</v>
      </c>
      <c r="AL234" s="90">
        <f>IF(AN234=21,J234,0)</f>
        <v>0</v>
      </c>
      <c r="AN234" s="90">
        <v>21</v>
      </c>
      <c r="AO234" s="90">
        <f>G234*0.929787387342826</f>
        <v>0</v>
      </c>
      <c r="AP234" s="90">
        <f>G234*(1-0.929787387342826)</f>
        <v>0</v>
      </c>
      <c r="AQ234" s="91" t="s">
        <v>79</v>
      </c>
      <c r="AV234" s="90">
        <f>AW234+AX234</f>
        <v>0</v>
      </c>
      <c r="AW234" s="90">
        <f>F234*AO234</f>
        <v>0</v>
      </c>
      <c r="AX234" s="90">
        <f>F234*AP234</f>
        <v>0</v>
      </c>
      <c r="AY234" s="91" t="s">
        <v>636</v>
      </c>
      <c r="AZ234" s="91" t="s">
        <v>1536</v>
      </c>
      <c r="BA234" s="154" t="s">
        <v>1542</v>
      </c>
      <c r="BC234" s="90">
        <f>AW234+AX234</f>
        <v>0</v>
      </c>
      <c r="BD234" s="90">
        <f>G234/(100-BE234)*100</f>
        <v>0</v>
      </c>
      <c r="BE234" s="90">
        <v>0</v>
      </c>
      <c r="BF234" s="90">
        <f>L234</f>
        <v>0.1332672</v>
      </c>
      <c r="BH234" s="90">
        <f>F234*AO234</f>
        <v>0</v>
      </c>
      <c r="BI234" s="90">
        <f>F234*AP234</f>
        <v>0</v>
      </c>
      <c r="BJ234" s="90">
        <f>F234*G234</f>
        <v>0</v>
      </c>
    </row>
    <row r="235" spans="1:62" ht="12.75">
      <c r="A235" s="88" t="s">
        <v>694</v>
      </c>
      <c r="B235" s="88" t="s">
        <v>60</v>
      </c>
      <c r="C235" s="88" t="s">
        <v>267</v>
      </c>
      <c r="D235" s="88" t="s">
        <v>457</v>
      </c>
      <c r="E235" s="88" t="s">
        <v>610</v>
      </c>
      <c r="F235" s="90">
        <v>555.28</v>
      </c>
      <c r="G235" s="90">
        <f>'Stavební rozpočet (SO 13)'!G66</f>
        <v>0</v>
      </c>
      <c r="H235" s="90">
        <f>F235*AO235</f>
        <v>0</v>
      </c>
      <c r="I235" s="90">
        <f>F235*AP235</f>
        <v>0</v>
      </c>
      <c r="J235" s="90">
        <f>F235*G235</f>
        <v>0</v>
      </c>
      <c r="K235" s="90">
        <v>0</v>
      </c>
      <c r="L235" s="90">
        <f>F235*K235</f>
        <v>0</v>
      </c>
      <c r="M235" s="91" t="s">
        <v>622</v>
      </c>
      <c r="O235" s="90"/>
      <c r="P235" s="90"/>
      <c r="Z235" s="90">
        <f>IF(AQ235="5",BJ235,0)</f>
        <v>0</v>
      </c>
      <c r="AB235" s="90">
        <f>IF(AQ235="1",BH235,0)</f>
        <v>0</v>
      </c>
      <c r="AC235" s="90">
        <f>IF(AQ235="1",BI235,0)</f>
        <v>0</v>
      </c>
      <c r="AD235" s="90">
        <f>IF(AQ235="7",BH235,0)</f>
        <v>0</v>
      </c>
      <c r="AE235" s="90">
        <f>IF(AQ235="7",BI235,0)</f>
        <v>0</v>
      </c>
      <c r="AF235" s="90">
        <f>IF(AQ235="2",BH235,0)</f>
        <v>0</v>
      </c>
      <c r="AG235" s="90">
        <f>IF(AQ235="2",BI235,0)</f>
        <v>0</v>
      </c>
      <c r="AH235" s="90">
        <f>IF(AQ235="0",BJ235,0)</f>
        <v>0</v>
      </c>
      <c r="AI235" s="154" t="s">
        <v>60</v>
      </c>
      <c r="AJ235" s="90">
        <f>IF(AN235=0,J235,0)</f>
        <v>0</v>
      </c>
      <c r="AK235" s="90">
        <f>IF(AN235=15,J235,0)</f>
        <v>0</v>
      </c>
      <c r="AL235" s="90">
        <f>IF(AN235=21,J235,0)</f>
        <v>0</v>
      </c>
      <c r="AN235" s="90">
        <v>21</v>
      </c>
      <c r="AO235" s="90">
        <f>G235*0</f>
        <v>0</v>
      </c>
      <c r="AP235" s="90">
        <f>G235*(1-0)</f>
        <v>0</v>
      </c>
      <c r="AQ235" s="91" t="s">
        <v>79</v>
      </c>
      <c r="AV235" s="90">
        <f>AW235+AX235</f>
        <v>0</v>
      </c>
      <c r="AW235" s="90">
        <f>F235*AO235</f>
        <v>0</v>
      </c>
      <c r="AX235" s="90">
        <f>F235*AP235</f>
        <v>0</v>
      </c>
      <c r="AY235" s="91" t="s">
        <v>636</v>
      </c>
      <c r="AZ235" s="91" t="s">
        <v>1536</v>
      </c>
      <c r="BA235" s="154" t="s">
        <v>1542</v>
      </c>
      <c r="BC235" s="90">
        <f>AW235+AX235</f>
        <v>0</v>
      </c>
      <c r="BD235" s="90">
        <f>G235/(100-BE235)*100</f>
        <v>0</v>
      </c>
      <c r="BE235" s="90">
        <v>0</v>
      </c>
      <c r="BF235" s="90">
        <f>L235</f>
        <v>0</v>
      </c>
      <c r="BH235" s="90">
        <f>F235*AO235</f>
        <v>0</v>
      </c>
      <c r="BI235" s="90">
        <f>F235*AP235</f>
        <v>0</v>
      </c>
      <c r="BJ235" s="90">
        <f>F235*G235</f>
        <v>0</v>
      </c>
    </row>
    <row r="236" spans="1:47" ht="12.75">
      <c r="A236" s="159"/>
      <c r="B236" s="160" t="s">
        <v>60</v>
      </c>
      <c r="C236" s="160" t="s">
        <v>173</v>
      </c>
      <c r="D236" s="160" t="s">
        <v>458</v>
      </c>
      <c r="E236" s="159" t="s">
        <v>57</v>
      </c>
      <c r="F236" s="159" t="s">
        <v>57</v>
      </c>
      <c r="G236" s="159"/>
      <c r="H236" s="161">
        <f>SUM(H237:H240)</f>
        <v>0</v>
      </c>
      <c r="I236" s="161">
        <f>SUM(I237:I240)</f>
        <v>0</v>
      </c>
      <c r="J236" s="161">
        <f>SUM(J237:J240)</f>
        <v>0</v>
      </c>
      <c r="K236" s="154"/>
      <c r="L236" s="161">
        <f>SUM(L237:L240)</f>
        <v>0.0281104</v>
      </c>
      <c r="M236" s="154"/>
      <c r="O236" s="159"/>
      <c r="P236" s="159"/>
      <c r="AI236" s="154" t="s">
        <v>60</v>
      </c>
      <c r="AS236" s="161">
        <f>SUM(AJ237:AJ240)</f>
        <v>0</v>
      </c>
      <c r="AT236" s="161">
        <f>SUM(AK237:AK240)</f>
        <v>0</v>
      </c>
      <c r="AU236" s="161">
        <f>SUM(AL237:AL240)</f>
        <v>0</v>
      </c>
    </row>
    <row r="237" spans="1:62" ht="12.75">
      <c r="A237" s="88" t="s">
        <v>695</v>
      </c>
      <c r="B237" s="88" t="s">
        <v>60</v>
      </c>
      <c r="C237" s="88" t="s">
        <v>268</v>
      </c>
      <c r="D237" s="88" t="s">
        <v>459</v>
      </c>
      <c r="E237" s="88" t="s">
        <v>608</v>
      </c>
      <c r="F237" s="90">
        <v>190.26</v>
      </c>
      <c r="G237" s="90">
        <f>'Stavební rozpočet (SO 13)'!G68</f>
        <v>0</v>
      </c>
      <c r="H237" s="90">
        <f>F237*AO237</f>
        <v>0</v>
      </c>
      <c r="I237" s="90">
        <f>F237*AP237</f>
        <v>0</v>
      </c>
      <c r="J237" s="90">
        <f>F237*G237</f>
        <v>0</v>
      </c>
      <c r="K237" s="90">
        <v>4E-05</v>
      </c>
      <c r="L237" s="90">
        <f>F237*K237</f>
        <v>0.007610400000000001</v>
      </c>
      <c r="M237" s="91" t="s">
        <v>622</v>
      </c>
      <c r="O237" s="90"/>
      <c r="P237" s="90"/>
      <c r="Z237" s="90">
        <f>IF(AQ237="5",BJ237,0)</f>
        <v>0</v>
      </c>
      <c r="AB237" s="90">
        <f>IF(AQ237="1",BH237,0)</f>
        <v>0</v>
      </c>
      <c r="AC237" s="90">
        <f>IF(AQ237="1",BI237,0)</f>
        <v>0</v>
      </c>
      <c r="AD237" s="90">
        <f>IF(AQ237="7",BH237,0)</f>
        <v>0</v>
      </c>
      <c r="AE237" s="90">
        <f>IF(AQ237="7",BI237,0)</f>
        <v>0</v>
      </c>
      <c r="AF237" s="90">
        <f>IF(AQ237="2",BH237,0)</f>
        <v>0</v>
      </c>
      <c r="AG237" s="90">
        <f>IF(AQ237="2",BI237,0)</f>
        <v>0</v>
      </c>
      <c r="AH237" s="90">
        <f>IF(AQ237="0",BJ237,0)</f>
        <v>0</v>
      </c>
      <c r="AI237" s="154" t="s">
        <v>60</v>
      </c>
      <c r="AJ237" s="90">
        <f>IF(AN237=0,J237,0)</f>
        <v>0</v>
      </c>
      <c r="AK237" s="90">
        <f>IF(AN237=15,J237,0)</f>
        <v>0</v>
      </c>
      <c r="AL237" s="90">
        <f>IF(AN237=21,J237,0)</f>
        <v>0</v>
      </c>
      <c r="AN237" s="90">
        <v>21</v>
      </c>
      <c r="AO237" s="90">
        <f>G237*0.0165317919075144</f>
        <v>0</v>
      </c>
      <c r="AP237" s="90">
        <f>G237*(1-0.0165317919075144)</f>
        <v>0</v>
      </c>
      <c r="AQ237" s="91" t="s">
        <v>79</v>
      </c>
      <c r="AV237" s="90">
        <f>AW237+AX237</f>
        <v>0</v>
      </c>
      <c r="AW237" s="90">
        <f>F237*AO237</f>
        <v>0</v>
      </c>
      <c r="AX237" s="90">
        <f>F237*AP237</f>
        <v>0</v>
      </c>
      <c r="AY237" s="91" t="s">
        <v>637</v>
      </c>
      <c r="AZ237" s="91" t="s">
        <v>1536</v>
      </c>
      <c r="BA237" s="154" t="s">
        <v>1542</v>
      </c>
      <c r="BC237" s="90">
        <f>AW237+AX237</f>
        <v>0</v>
      </c>
      <c r="BD237" s="90">
        <f>G237/(100-BE237)*100</f>
        <v>0</v>
      </c>
      <c r="BE237" s="90">
        <v>0</v>
      </c>
      <c r="BF237" s="90">
        <f>L237</f>
        <v>0.007610400000000001</v>
      </c>
      <c r="BH237" s="90">
        <f>F237*AO237</f>
        <v>0</v>
      </c>
      <c r="BI237" s="90">
        <f>F237*AP237</f>
        <v>0</v>
      </c>
      <c r="BJ237" s="90">
        <f>F237*G237</f>
        <v>0</v>
      </c>
    </row>
    <row r="238" spans="1:62" ht="12.75">
      <c r="A238" s="88" t="s">
        <v>696</v>
      </c>
      <c r="B238" s="88" t="s">
        <v>60</v>
      </c>
      <c r="C238" s="88" t="s">
        <v>269</v>
      </c>
      <c r="D238" s="88" t="s">
        <v>460</v>
      </c>
      <c r="E238" s="88" t="s">
        <v>606</v>
      </c>
      <c r="F238" s="90">
        <v>2</v>
      </c>
      <c r="G238" s="90">
        <f>'Stavební rozpočet (SO 13)'!G69</f>
        <v>0</v>
      </c>
      <c r="H238" s="90">
        <f>F238*AO238</f>
        <v>0</v>
      </c>
      <c r="I238" s="90">
        <f>F238*AP238</f>
        <v>0</v>
      </c>
      <c r="J238" s="90">
        <f>F238*G238</f>
        <v>0</v>
      </c>
      <c r="K238" s="90">
        <v>0.0065</v>
      </c>
      <c r="L238" s="90">
        <f>F238*K238</f>
        <v>0.013</v>
      </c>
      <c r="M238" s="91" t="s">
        <v>622</v>
      </c>
      <c r="O238" s="90"/>
      <c r="P238" s="90"/>
      <c r="Z238" s="90">
        <f>IF(AQ238="5",BJ238,0)</f>
        <v>0</v>
      </c>
      <c r="AB238" s="90">
        <f>IF(AQ238="1",BH238,0)</f>
        <v>0</v>
      </c>
      <c r="AC238" s="90">
        <f>IF(AQ238="1",BI238,0)</f>
        <v>0</v>
      </c>
      <c r="AD238" s="90">
        <f>IF(AQ238="7",BH238,0)</f>
        <v>0</v>
      </c>
      <c r="AE238" s="90">
        <f>IF(AQ238="7",BI238,0)</f>
        <v>0</v>
      </c>
      <c r="AF238" s="90">
        <f>IF(AQ238="2",BH238,0)</f>
        <v>0</v>
      </c>
      <c r="AG238" s="90">
        <f>IF(AQ238="2",BI238,0)</f>
        <v>0</v>
      </c>
      <c r="AH238" s="90">
        <f>IF(AQ238="0",BJ238,0)</f>
        <v>0</v>
      </c>
      <c r="AI238" s="154" t="s">
        <v>60</v>
      </c>
      <c r="AJ238" s="90">
        <f>IF(AN238=0,J238,0)</f>
        <v>0</v>
      </c>
      <c r="AK238" s="90">
        <f>IF(AN238=15,J238,0)</f>
        <v>0</v>
      </c>
      <c r="AL238" s="90">
        <f>IF(AN238=21,J238,0)</f>
        <v>0</v>
      </c>
      <c r="AN238" s="90">
        <v>21</v>
      </c>
      <c r="AO238" s="90">
        <f>G238*0.196715846994536</f>
        <v>0</v>
      </c>
      <c r="AP238" s="90">
        <f>G238*(1-0.196715846994536)</f>
        <v>0</v>
      </c>
      <c r="AQ238" s="91" t="s">
        <v>79</v>
      </c>
      <c r="AV238" s="90">
        <f>AW238+AX238</f>
        <v>0</v>
      </c>
      <c r="AW238" s="90">
        <f>F238*AO238</f>
        <v>0</v>
      </c>
      <c r="AX238" s="90">
        <f>F238*AP238</f>
        <v>0</v>
      </c>
      <c r="AY238" s="91" t="s">
        <v>637</v>
      </c>
      <c r="AZ238" s="91" t="s">
        <v>1536</v>
      </c>
      <c r="BA238" s="154" t="s">
        <v>1542</v>
      </c>
      <c r="BC238" s="90">
        <f>AW238+AX238</f>
        <v>0</v>
      </c>
      <c r="BD238" s="90">
        <f>G238/(100-BE238)*100</f>
        <v>0</v>
      </c>
      <c r="BE238" s="90">
        <v>0</v>
      </c>
      <c r="BF238" s="90">
        <f>L238</f>
        <v>0.013</v>
      </c>
      <c r="BH238" s="90">
        <f>F238*AO238</f>
        <v>0</v>
      </c>
      <c r="BI238" s="90">
        <f>F238*AP238</f>
        <v>0</v>
      </c>
      <c r="BJ238" s="90">
        <f>F238*G238</f>
        <v>0</v>
      </c>
    </row>
    <row r="239" spans="1:62" ht="12.75">
      <c r="A239" s="88" t="s">
        <v>697</v>
      </c>
      <c r="B239" s="88" t="s">
        <v>60</v>
      </c>
      <c r="C239" s="88" t="s">
        <v>270</v>
      </c>
      <c r="D239" s="88" t="s">
        <v>461</v>
      </c>
      <c r="E239" s="88" t="s">
        <v>606</v>
      </c>
      <c r="F239" s="90">
        <v>15</v>
      </c>
      <c r="G239" s="90">
        <f>'Stavební rozpočet (SO 13)'!G70</f>
        <v>0</v>
      </c>
      <c r="H239" s="90">
        <f>F239*AO239</f>
        <v>0</v>
      </c>
      <c r="I239" s="90">
        <f>F239*AP239</f>
        <v>0</v>
      </c>
      <c r="J239" s="90">
        <f>F239*G239</f>
        <v>0</v>
      </c>
      <c r="K239" s="90">
        <v>0.0005</v>
      </c>
      <c r="L239" s="90">
        <f>F239*K239</f>
        <v>0.0075</v>
      </c>
      <c r="M239" s="91" t="s">
        <v>622</v>
      </c>
      <c r="O239" s="90"/>
      <c r="P239" s="90"/>
      <c r="Z239" s="90">
        <f>IF(AQ239="5",BJ239,0)</f>
        <v>0</v>
      </c>
      <c r="AB239" s="90">
        <f>IF(AQ239="1",BH239,0)</f>
        <v>0</v>
      </c>
      <c r="AC239" s="90">
        <f>IF(AQ239="1",BI239,0)</f>
        <v>0</v>
      </c>
      <c r="AD239" s="90">
        <f>IF(AQ239="7",BH239,0)</f>
        <v>0</v>
      </c>
      <c r="AE239" s="90">
        <f>IF(AQ239="7",BI239,0)</f>
        <v>0</v>
      </c>
      <c r="AF239" s="90">
        <f>IF(AQ239="2",BH239,0)</f>
        <v>0</v>
      </c>
      <c r="AG239" s="90">
        <f>IF(AQ239="2",BI239,0)</f>
        <v>0</v>
      </c>
      <c r="AH239" s="90">
        <f>IF(AQ239="0",BJ239,0)</f>
        <v>0</v>
      </c>
      <c r="AI239" s="154" t="s">
        <v>60</v>
      </c>
      <c r="AJ239" s="90">
        <f>IF(AN239=0,J239,0)</f>
        <v>0</v>
      </c>
      <c r="AK239" s="90">
        <f>IF(AN239=15,J239,0)</f>
        <v>0</v>
      </c>
      <c r="AL239" s="90">
        <f>IF(AN239=21,J239,0)</f>
        <v>0</v>
      </c>
      <c r="AN239" s="90">
        <v>21</v>
      </c>
      <c r="AO239" s="90">
        <f>G239*0.196713333333333</f>
        <v>0</v>
      </c>
      <c r="AP239" s="90">
        <f>G239*(1-0.196713333333333)</f>
        <v>0</v>
      </c>
      <c r="AQ239" s="91" t="s">
        <v>79</v>
      </c>
      <c r="AV239" s="90">
        <f>AW239+AX239</f>
        <v>0</v>
      </c>
      <c r="AW239" s="90">
        <f>F239*AO239</f>
        <v>0</v>
      </c>
      <c r="AX239" s="90">
        <f>F239*AP239</f>
        <v>0</v>
      </c>
      <c r="AY239" s="91" t="s">
        <v>637</v>
      </c>
      <c r="AZ239" s="91" t="s">
        <v>1536</v>
      </c>
      <c r="BA239" s="154" t="s">
        <v>1542</v>
      </c>
      <c r="BC239" s="90">
        <f>AW239+AX239</f>
        <v>0</v>
      </c>
      <c r="BD239" s="90">
        <f>G239/(100-BE239)*100</f>
        <v>0</v>
      </c>
      <c r="BE239" s="90">
        <v>0</v>
      </c>
      <c r="BF239" s="90">
        <f>L239</f>
        <v>0.0075</v>
      </c>
      <c r="BH239" s="90">
        <f>F239*AO239</f>
        <v>0</v>
      </c>
      <c r="BI239" s="90">
        <f>F239*AP239</f>
        <v>0</v>
      </c>
      <c r="BJ239" s="90">
        <f>F239*G239</f>
        <v>0</v>
      </c>
    </row>
    <row r="240" spans="1:62" ht="12.75">
      <c r="A240" s="88" t="s">
        <v>315</v>
      </c>
      <c r="B240" s="88" t="s">
        <v>60</v>
      </c>
      <c r="C240" s="88" t="s">
        <v>271</v>
      </c>
      <c r="D240" s="88" t="s">
        <v>462</v>
      </c>
      <c r="E240" s="88" t="s">
        <v>611</v>
      </c>
      <c r="F240" s="90">
        <v>15</v>
      </c>
      <c r="G240" s="90">
        <f>'Stavební rozpočet (SO 13)'!G71</f>
        <v>0</v>
      </c>
      <c r="H240" s="90">
        <f>F240*AO240</f>
        <v>0</v>
      </c>
      <c r="I240" s="90">
        <f>F240*AP240</f>
        <v>0</v>
      </c>
      <c r="J240" s="90">
        <f>F240*G240</f>
        <v>0</v>
      </c>
      <c r="K240" s="90">
        <v>0</v>
      </c>
      <c r="L240" s="90">
        <f>F240*K240</f>
        <v>0</v>
      </c>
      <c r="M240" s="91" t="s">
        <v>622</v>
      </c>
      <c r="O240" s="90"/>
      <c r="P240" s="90"/>
      <c r="Z240" s="90">
        <f>IF(AQ240="5",BJ240,0)</f>
        <v>0</v>
      </c>
      <c r="AB240" s="90">
        <f>IF(AQ240="1",BH240,0)</f>
        <v>0</v>
      </c>
      <c r="AC240" s="90">
        <f>IF(AQ240="1",BI240,0)</f>
        <v>0</v>
      </c>
      <c r="AD240" s="90">
        <f>IF(AQ240="7",BH240,0)</f>
        <v>0</v>
      </c>
      <c r="AE240" s="90">
        <f>IF(AQ240="7",BI240,0)</f>
        <v>0</v>
      </c>
      <c r="AF240" s="90">
        <f>IF(AQ240="2",BH240,0)</f>
        <v>0</v>
      </c>
      <c r="AG240" s="90">
        <f>IF(AQ240="2",BI240,0)</f>
        <v>0</v>
      </c>
      <c r="AH240" s="90">
        <f>IF(AQ240="0",BJ240,0)</f>
        <v>0</v>
      </c>
      <c r="AI240" s="154" t="s">
        <v>60</v>
      </c>
      <c r="AJ240" s="90">
        <f>IF(AN240=0,J240,0)</f>
        <v>0</v>
      </c>
      <c r="AK240" s="90">
        <f>IF(AN240=15,J240,0)</f>
        <v>0</v>
      </c>
      <c r="AL240" s="90">
        <f>IF(AN240=21,J240,0)</f>
        <v>0</v>
      </c>
      <c r="AN240" s="90">
        <v>21</v>
      </c>
      <c r="AO240" s="90">
        <f>G240*0.469344827586207</f>
        <v>0</v>
      </c>
      <c r="AP240" s="90">
        <f>G240*(1-0.469344827586207)</f>
        <v>0</v>
      </c>
      <c r="AQ240" s="91" t="s">
        <v>79</v>
      </c>
      <c r="AV240" s="90">
        <f>AW240+AX240</f>
        <v>0</v>
      </c>
      <c r="AW240" s="90">
        <f>F240*AO240</f>
        <v>0</v>
      </c>
      <c r="AX240" s="90">
        <f>F240*AP240</f>
        <v>0</v>
      </c>
      <c r="AY240" s="91" t="s">
        <v>637</v>
      </c>
      <c r="AZ240" s="91" t="s">
        <v>1536</v>
      </c>
      <c r="BA240" s="154" t="s">
        <v>1542</v>
      </c>
      <c r="BC240" s="90">
        <f>AW240+AX240</f>
        <v>0</v>
      </c>
      <c r="BD240" s="90">
        <f>G240/(100-BE240)*100</f>
        <v>0</v>
      </c>
      <c r="BE240" s="90">
        <v>0</v>
      </c>
      <c r="BF240" s="90">
        <f>L240</f>
        <v>0</v>
      </c>
      <c r="BH240" s="90">
        <f>F240*AO240</f>
        <v>0</v>
      </c>
      <c r="BI240" s="90">
        <f>F240*AP240</f>
        <v>0</v>
      </c>
      <c r="BJ240" s="90">
        <f>F240*G240</f>
        <v>0</v>
      </c>
    </row>
    <row r="241" spans="1:47" ht="12.75">
      <c r="A241" s="159"/>
      <c r="B241" s="160" t="s">
        <v>60</v>
      </c>
      <c r="C241" s="160" t="s">
        <v>174</v>
      </c>
      <c r="D241" s="160" t="s">
        <v>463</v>
      </c>
      <c r="E241" s="159" t="s">
        <v>57</v>
      </c>
      <c r="F241" s="159" t="s">
        <v>57</v>
      </c>
      <c r="G241" s="159"/>
      <c r="H241" s="161">
        <f>SUM(H242:H249)</f>
        <v>0</v>
      </c>
      <c r="I241" s="161">
        <f>SUM(I242:I249)</f>
        <v>0</v>
      </c>
      <c r="J241" s="161">
        <f>SUM(J242:J249)</f>
        <v>0</v>
      </c>
      <c r="K241" s="154"/>
      <c r="L241" s="161">
        <f>SUM(L242:L249)</f>
        <v>131.8863294</v>
      </c>
      <c r="M241" s="154"/>
      <c r="O241" s="159"/>
      <c r="P241" s="159"/>
      <c r="AI241" s="154" t="s">
        <v>60</v>
      </c>
      <c r="AS241" s="161">
        <f>SUM(AJ242:AJ249)</f>
        <v>0</v>
      </c>
      <c r="AT241" s="161">
        <f>SUM(AK242:AK249)</f>
        <v>0</v>
      </c>
      <c r="AU241" s="161">
        <f>SUM(AL242:AL249)</f>
        <v>0</v>
      </c>
    </row>
    <row r="242" spans="1:62" ht="12.75">
      <c r="A242" s="88" t="s">
        <v>316</v>
      </c>
      <c r="B242" s="88" t="s">
        <v>60</v>
      </c>
      <c r="C242" s="88" t="s">
        <v>272</v>
      </c>
      <c r="D242" s="88" t="s">
        <v>464</v>
      </c>
      <c r="E242" s="88" t="s">
        <v>608</v>
      </c>
      <c r="F242" s="90">
        <v>0</v>
      </c>
      <c r="G242" s="90">
        <f>'Stavební rozpočet (SO 13)'!G73</f>
        <v>0</v>
      </c>
      <c r="H242" s="90">
        <f aca="true" t="shared" si="250" ref="H242:H249">F242*AO242</f>
        <v>0</v>
      </c>
      <c r="I242" s="90">
        <f aca="true" t="shared" si="251" ref="I242:I249">F242*AP242</f>
        <v>0</v>
      </c>
      <c r="J242" s="90">
        <f aca="true" t="shared" si="252" ref="J242:J249">F242*G242</f>
        <v>0</v>
      </c>
      <c r="K242" s="90">
        <v>0.11367</v>
      </c>
      <c r="L242" s="90">
        <f aca="true" t="shared" si="253" ref="L242:L249">F242*K242</f>
        <v>0</v>
      </c>
      <c r="M242" s="91" t="s">
        <v>622</v>
      </c>
      <c r="O242" s="90"/>
      <c r="P242" s="90"/>
      <c r="Z242" s="90">
        <f aca="true" t="shared" si="254" ref="Z242:Z249">IF(AQ242="5",BJ242,0)</f>
        <v>0</v>
      </c>
      <c r="AB242" s="90">
        <f aca="true" t="shared" si="255" ref="AB242:AB249">IF(AQ242="1",BH242,0)</f>
        <v>0</v>
      </c>
      <c r="AC242" s="90">
        <f aca="true" t="shared" si="256" ref="AC242:AC249">IF(AQ242="1",BI242,0)</f>
        <v>0</v>
      </c>
      <c r="AD242" s="90">
        <f aca="true" t="shared" si="257" ref="AD242:AD249">IF(AQ242="7",BH242,0)</f>
        <v>0</v>
      </c>
      <c r="AE242" s="90">
        <f aca="true" t="shared" si="258" ref="AE242:AE249">IF(AQ242="7",BI242,0)</f>
        <v>0</v>
      </c>
      <c r="AF242" s="90">
        <f aca="true" t="shared" si="259" ref="AF242:AF249">IF(AQ242="2",BH242,0)</f>
        <v>0</v>
      </c>
      <c r="AG242" s="90">
        <f aca="true" t="shared" si="260" ref="AG242:AG249">IF(AQ242="2",BI242,0)</f>
        <v>0</v>
      </c>
      <c r="AH242" s="90">
        <f aca="true" t="shared" si="261" ref="AH242:AH249">IF(AQ242="0",BJ242,0)</f>
        <v>0</v>
      </c>
      <c r="AI242" s="154" t="s">
        <v>60</v>
      </c>
      <c r="AJ242" s="90">
        <f aca="true" t="shared" si="262" ref="AJ242:AJ249">IF(AN242=0,J242,0)</f>
        <v>0</v>
      </c>
      <c r="AK242" s="90">
        <f aca="true" t="shared" si="263" ref="AK242:AK249">IF(AN242=15,J242,0)</f>
        <v>0</v>
      </c>
      <c r="AL242" s="90">
        <f aca="true" t="shared" si="264" ref="AL242:AL249">IF(AN242=21,J242,0)</f>
        <v>0</v>
      </c>
      <c r="AN242" s="90">
        <v>21</v>
      </c>
      <c r="AO242" s="90">
        <f>G242*0.227587813746602</f>
        <v>0</v>
      </c>
      <c r="AP242" s="90">
        <f>G242*(1-0.227587813746602)</f>
        <v>0</v>
      </c>
      <c r="AQ242" s="91" t="s">
        <v>79</v>
      </c>
      <c r="AV242" s="90">
        <f aca="true" t="shared" si="265" ref="AV242:AV249">AW242+AX242</f>
        <v>0</v>
      </c>
      <c r="AW242" s="90">
        <f aca="true" t="shared" si="266" ref="AW242:AW249">F242*AO242</f>
        <v>0</v>
      </c>
      <c r="AX242" s="90">
        <f aca="true" t="shared" si="267" ref="AX242:AX249">F242*AP242</f>
        <v>0</v>
      </c>
      <c r="AY242" s="91" t="s">
        <v>638</v>
      </c>
      <c r="AZ242" s="91" t="s">
        <v>1536</v>
      </c>
      <c r="BA242" s="154" t="s">
        <v>1542</v>
      </c>
      <c r="BC242" s="90">
        <f aca="true" t="shared" si="268" ref="BC242:BC249">AW242+AX242</f>
        <v>0</v>
      </c>
      <c r="BD242" s="90">
        <f aca="true" t="shared" si="269" ref="BD242:BD249">G242/(100-BE242)*100</f>
        <v>0</v>
      </c>
      <c r="BE242" s="90">
        <v>0</v>
      </c>
      <c r="BF242" s="90">
        <f aca="true" t="shared" si="270" ref="BF242:BF249">L242</f>
        <v>0</v>
      </c>
      <c r="BH242" s="90">
        <f aca="true" t="shared" si="271" ref="BH242:BH249">F242*AO242</f>
        <v>0</v>
      </c>
      <c r="BI242" s="90">
        <f aca="true" t="shared" si="272" ref="BI242:BI249">F242*AP242</f>
        <v>0</v>
      </c>
      <c r="BJ242" s="90">
        <f aca="true" t="shared" si="273" ref="BJ242:BJ249">F242*G242</f>
        <v>0</v>
      </c>
    </row>
    <row r="243" spans="1:62" ht="12.75">
      <c r="A243" s="88" t="s">
        <v>698</v>
      </c>
      <c r="B243" s="88" t="s">
        <v>60</v>
      </c>
      <c r="C243" s="88" t="s">
        <v>273</v>
      </c>
      <c r="D243" s="88" t="s">
        <v>465</v>
      </c>
      <c r="E243" s="88" t="s">
        <v>608</v>
      </c>
      <c r="F243" s="90">
        <v>27</v>
      </c>
      <c r="G243" s="90">
        <f>'Stavební rozpočet (SO 13)'!G74</f>
        <v>0</v>
      </c>
      <c r="H243" s="90">
        <f t="shared" si="250"/>
        <v>0</v>
      </c>
      <c r="I243" s="90">
        <f t="shared" si="251"/>
        <v>0</v>
      </c>
      <c r="J243" s="90">
        <f t="shared" si="252"/>
        <v>0</v>
      </c>
      <c r="K243" s="90">
        <v>0.11767</v>
      </c>
      <c r="L243" s="90">
        <f t="shared" si="253"/>
        <v>3.1770899999999997</v>
      </c>
      <c r="M243" s="91" t="s">
        <v>622</v>
      </c>
      <c r="O243" s="90"/>
      <c r="P243" s="90"/>
      <c r="Z243" s="90">
        <f t="shared" si="254"/>
        <v>0</v>
      </c>
      <c r="AB243" s="90">
        <f t="shared" si="255"/>
        <v>0</v>
      </c>
      <c r="AC243" s="90">
        <f t="shared" si="256"/>
        <v>0</v>
      </c>
      <c r="AD243" s="90">
        <f t="shared" si="257"/>
        <v>0</v>
      </c>
      <c r="AE243" s="90">
        <f t="shared" si="258"/>
        <v>0</v>
      </c>
      <c r="AF243" s="90">
        <f t="shared" si="259"/>
        <v>0</v>
      </c>
      <c r="AG243" s="90">
        <f t="shared" si="260"/>
        <v>0</v>
      </c>
      <c r="AH243" s="90">
        <f t="shared" si="261"/>
        <v>0</v>
      </c>
      <c r="AI243" s="154" t="s">
        <v>60</v>
      </c>
      <c r="AJ243" s="90">
        <f t="shared" si="262"/>
        <v>0</v>
      </c>
      <c r="AK243" s="90">
        <f t="shared" si="263"/>
        <v>0</v>
      </c>
      <c r="AL243" s="90">
        <f t="shared" si="264"/>
        <v>0</v>
      </c>
      <c r="AN243" s="90">
        <v>21</v>
      </c>
      <c r="AO243" s="90">
        <f>G243*0.191790661488444</f>
        <v>0</v>
      </c>
      <c r="AP243" s="90">
        <f>G243*(1-0.191790661488444)</f>
        <v>0</v>
      </c>
      <c r="AQ243" s="91" t="s">
        <v>79</v>
      </c>
      <c r="AV243" s="90">
        <f t="shared" si="265"/>
        <v>0</v>
      </c>
      <c r="AW243" s="90">
        <f t="shared" si="266"/>
        <v>0</v>
      </c>
      <c r="AX243" s="90">
        <f t="shared" si="267"/>
        <v>0</v>
      </c>
      <c r="AY243" s="91" t="s">
        <v>638</v>
      </c>
      <c r="AZ243" s="91" t="s">
        <v>1536</v>
      </c>
      <c r="BA243" s="154" t="s">
        <v>1542</v>
      </c>
      <c r="BC243" s="90">
        <f t="shared" si="268"/>
        <v>0</v>
      </c>
      <c r="BD243" s="90">
        <f t="shared" si="269"/>
        <v>0</v>
      </c>
      <c r="BE243" s="90">
        <v>0</v>
      </c>
      <c r="BF243" s="90">
        <f t="shared" si="270"/>
        <v>3.1770899999999997</v>
      </c>
      <c r="BH243" s="90">
        <f t="shared" si="271"/>
        <v>0</v>
      </c>
      <c r="BI243" s="90">
        <f t="shared" si="272"/>
        <v>0</v>
      </c>
      <c r="BJ243" s="90">
        <f t="shared" si="273"/>
        <v>0</v>
      </c>
    </row>
    <row r="244" spans="1:62" ht="12.75">
      <c r="A244" s="88" t="s">
        <v>699</v>
      </c>
      <c r="B244" s="88" t="s">
        <v>60</v>
      </c>
      <c r="C244" s="88" t="s">
        <v>953</v>
      </c>
      <c r="D244" s="88" t="s">
        <v>1240</v>
      </c>
      <c r="E244" s="88" t="s">
        <v>610</v>
      </c>
      <c r="F244" s="90">
        <v>34.2</v>
      </c>
      <c r="G244" s="90">
        <f>'Stavební rozpočet (SO 13)'!G75</f>
        <v>0</v>
      </c>
      <c r="H244" s="90">
        <f t="shared" si="250"/>
        <v>0</v>
      </c>
      <c r="I244" s="90">
        <f t="shared" si="251"/>
        <v>0</v>
      </c>
      <c r="J244" s="90">
        <f t="shared" si="252"/>
        <v>0</v>
      </c>
      <c r="K244" s="90">
        <v>2.2</v>
      </c>
      <c r="L244" s="90">
        <f t="shared" si="253"/>
        <v>75.24000000000001</v>
      </c>
      <c r="M244" s="91" t="s">
        <v>622</v>
      </c>
      <c r="O244" s="90"/>
      <c r="P244" s="90"/>
      <c r="Z244" s="90">
        <f t="shared" si="254"/>
        <v>0</v>
      </c>
      <c r="AB244" s="90">
        <f t="shared" si="255"/>
        <v>0</v>
      </c>
      <c r="AC244" s="90">
        <f t="shared" si="256"/>
        <v>0</v>
      </c>
      <c r="AD244" s="90">
        <f t="shared" si="257"/>
        <v>0</v>
      </c>
      <c r="AE244" s="90">
        <f t="shared" si="258"/>
        <v>0</v>
      </c>
      <c r="AF244" s="90">
        <f t="shared" si="259"/>
        <v>0</v>
      </c>
      <c r="AG244" s="90">
        <f t="shared" si="260"/>
        <v>0</v>
      </c>
      <c r="AH244" s="90">
        <f t="shared" si="261"/>
        <v>0</v>
      </c>
      <c r="AI244" s="154" t="s">
        <v>60</v>
      </c>
      <c r="AJ244" s="90">
        <f t="shared" si="262"/>
        <v>0</v>
      </c>
      <c r="AK244" s="90">
        <f t="shared" si="263"/>
        <v>0</v>
      </c>
      <c r="AL244" s="90">
        <f t="shared" si="264"/>
        <v>0</v>
      </c>
      <c r="AN244" s="90">
        <v>21</v>
      </c>
      <c r="AO244" s="90">
        <f>G244*0</f>
        <v>0</v>
      </c>
      <c r="AP244" s="90">
        <f>G244*(1-0)</f>
        <v>0</v>
      </c>
      <c r="AQ244" s="91" t="s">
        <v>79</v>
      </c>
      <c r="AV244" s="90">
        <f t="shared" si="265"/>
        <v>0</v>
      </c>
      <c r="AW244" s="90">
        <f t="shared" si="266"/>
        <v>0</v>
      </c>
      <c r="AX244" s="90">
        <f t="shared" si="267"/>
        <v>0</v>
      </c>
      <c r="AY244" s="91" t="s">
        <v>638</v>
      </c>
      <c r="AZ244" s="91" t="s">
        <v>1536</v>
      </c>
      <c r="BA244" s="154" t="s">
        <v>1542</v>
      </c>
      <c r="BC244" s="90">
        <f t="shared" si="268"/>
        <v>0</v>
      </c>
      <c r="BD244" s="90">
        <f t="shared" si="269"/>
        <v>0</v>
      </c>
      <c r="BE244" s="90">
        <v>0</v>
      </c>
      <c r="BF244" s="90">
        <f t="shared" si="270"/>
        <v>75.24000000000001</v>
      </c>
      <c r="BH244" s="90">
        <f t="shared" si="271"/>
        <v>0</v>
      </c>
      <c r="BI244" s="90">
        <f t="shared" si="272"/>
        <v>0</v>
      </c>
      <c r="BJ244" s="90">
        <f t="shared" si="273"/>
        <v>0</v>
      </c>
    </row>
    <row r="245" spans="1:62" ht="12.75">
      <c r="A245" s="88" t="s">
        <v>700</v>
      </c>
      <c r="B245" s="88" t="s">
        <v>60</v>
      </c>
      <c r="C245" s="88" t="s">
        <v>954</v>
      </c>
      <c r="D245" s="88" t="s">
        <v>1242</v>
      </c>
      <c r="E245" s="88" t="s">
        <v>610</v>
      </c>
      <c r="F245" s="90">
        <v>23.94</v>
      </c>
      <c r="G245" s="90">
        <f>'Stavební rozpočet (SO 13)'!$G$77</f>
        <v>0</v>
      </c>
      <c r="H245" s="90">
        <f t="shared" si="250"/>
        <v>0</v>
      </c>
      <c r="I245" s="90">
        <f t="shared" si="251"/>
        <v>0</v>
      </c>
      <c r="J245" s="90">
        <f t="shared" si="252"/>
        <v>0</v>
      </c>
      <c r="K245" s="90">
        <v>2.2</v>
      </c>
      <c r="L245" s="90">
        <f t="shared" si="253"/>
        <v>52.668000000000006</v>
      </c>
      <c r="M245" s="91" t="s">
        <v>622</v>
      </c>
      <c r="O245" s="90"/>
      <c r="P245" s="90"/>
      <c r="Z245" s="90">
        <f t="shared" si="254"/>
        <v>0</v>
      </c>
      <c r="AB245" s="90">
        <f t="shared" si="255"/>
        <v>0</v>
      </c>
      <c r="AC245" s="90">
        <f t="shared" si="256"/>
        <v>0</v>
      </c>
      <c r="AD245" s="90">
        <f t="shared" si="257"/>
        <v>0</v>
      </c>
      <c r="AE245" s="90">
        <f t="shared" si="258"/>
        <v>0</v>
      </c>
      <c r="AF245" s="90">
        <f t="shared" si="259"/>
        <v>0</v>
      </c>
      <c r="AG245" s="90">
        <f t="shared" si="260"/>
        <v>0</v>
      </c>
      <c r="AH245" s="90">
        <f t="shared" si="261"/>
        <v>0</v>
      </c>
      <c r="AI245" s="154" t="s">
        <v>60</v>
      </c>
      <c r="AJ245" s="90">
        <f t="shared" si="262"/>
        <v>0</v>
      </c>
      <c r="AK245" s="90">
        <f t="shared" si="263"/>
        <v>0</v>
      </c>
      <c r="AL245" s="90">
        <f t="shared" si="264"/>
        <v>0</v>
      </c>
      <c r="AN245" s="90">
        <v>21</v>
      </c>
      <c r="AO245" s="90">
        <f>G245*0</f>
        <v>0</v>
      </c>
      <c r="AP245" s="90">
        <f>G245*(1-0)</f>
        <v>0</v>
      </c>
      <c r="AQ245" s="91" t="s">
        <v>79</v>
      </c>
      <c r="AV245" s="90">
        <f t="shared" si="265"/>
        <v>0</v>
      </c>
      <c r="AW245" s="90">
        <f t="shared" si="266"/>
        <v>0</v>
      </c>
      <c r="AX245" s="90">
        <f t="shared" si="267"/>
        <v>0</v>
      </c>
      <c r="AY245" s="91" t="s">
        <v>638</v>
      </c>
      <c r="AZ245" s="91" t="s">
        <v>1536</v>
      </c>
      <c r="BA245" s="154" t="s">
        <v>1542</v>
      </c>
      <c r="BC245" s="90">
        <f t="shared" si="268"/>
        <v>0</v>
      </c>
      <c r="BD245" s="90">
        <f t="shared" si="269"/>
        <v>0</v>
      </c>
      <c r="BE245" s="90">
        <v>0</v>
      </c>
      <c r="BF245" s="90">
        <f t="shared" si="270"/>
        <v>52.668000000000006</v>
      </c>
      <c r="BH245" s="90">
        <f t="shared" si="271"/>
        <v>0</v>
      </c>
      <c r="BI245" s="90">
        <f t="shared" si="272"/>
        <v>0</v>
      </c>
      <c r="BJ245" s="90">
        <f t="shared" si="273"/>
        <v>0</v>
      </c>
    </row>
    <row r="246" spans="1:62" ht="12.75">
      <c r="A246" s="88" t="s">
        <v>701</v>
      </c>
      <c r="B246" s="88" t="s">
        <v>60</v>
      </c>
      <c r="C246" s="88" t="s">
        <v>955</v>
      </c>
      <c r="D246" s="88" t="s">
        <v>1244</v>
      </c>
      <c r="E246" s="88" t="s">
        <v>610</v>
      </c>
      <c r="F246" s="90">
        <v>34.2</v>
      </c>
      <c r="G246" s="90">
        <f>'Stavební rozpočet (SO 13)'!$G$79</f>
        <v>0</v>
      </c>
      <c r="H246" s="90">
        <f t="shared" si="250"/>
        <v>0</v>
      </c>
      <c r="I246" s="90">
        <f t="shared" si="251"/>
        <v>0</v>
      </c>
      <c r="J246" s="90">
        <f t="shared" si="252"/>
        <v>0</v>
      </c>
      <c r="K246" s="90">
        <v>0</v>
      </c>
      <c r="L246" s="90">
        <f t="shared" si="253"/>
        <v>0</v>
      </c>
      <c r="M246" s="91" t="s">
        <v>622</v>
      </c>
      <c r="O246" s="90"/>
      <c r="P246" s="90"/>
      <c r="Z246" s="90">
        <f t="shared" si="254"/>
        <v>0</v>
      </c>
      <c r="AB246" s="90">
        <f t="shared" si="255"/>
        <v>0</v>
      </c>
      <c r="AC246" s="90">
        <f t="shared" si="256"/>
        <v>0</v>
      </c>
      <c r="AD246" s="90">
        <f t="shared" si="257"/>
        <v>0</v>
      </c>
      <c r="AE246" s="90">
        <f t="shared" si="258"/>
        <v>0</v>
      </c>
      <c r="AF246" s="90">
        <f t="shared" si="259"/>
        <v>0</v>
      </c>
      <c r="AG246" s="90">
        <f t="shared" si="260"/>
        <v>0</v>
      </c>
      <c r="AH246" s="90">
        <f t="shared" si="261"/>
        <v>0</v>
      </c>
      <c r="AI246" s="154" t="s">
        <v>60</v>
      </c>
      <c r="AJ246" s="90">
        <f t="shared" si="262"/>
        <v>0</v>
      </c>
      <c r="AK246" s="90">
        <f t="shared" si="263"/>
        <v>0</v>
      </c>
      <c r="AL246" s="90">
        <f t="shared" si="264"/>
        <v>0</v>
      </c>
      <c r="AN246" s="90">
        <v>21</v>
      </c>
      <c r="AO246" s="90">
        <f>G246*0</f>
        <v>0</v>
      </c>
      <c r="AP246" s="90">
        <f>G246*(1-0)</f>
        <v>0</v>
      </c>
      <c r="AQ246" s="91" t="s">
        <v>79</v>
      </c>
      <c r="AV246" s="90">
        <f t="shared" si="265"/>
        <v>0</v>
      </c>
      <c r="AW246" s="90">
        <f t="shared" si="266"/>
        <v>0</v>
      </c>
      <c r="AX246" s="90">
        <f t="shared" si="267"/>
        <v>0</v>
      </c>
      <c r="AY246" s="91" t="s">
        <v>638</v>
      </c>
      <c r="AZ246" s="91" t="s">
        <v>1536</v>
      </c>
      <c r="BA246" s="154" t="s">
        <v>1542</v>
      </c>
      <c r="BC246" s="90">
        <f t="shared" si="268"/>
        <v>0</v>
      </c>
      <c r="BD246" s="90">
        <f t="shared" si="269"/>
        <v>0</v>
      </c>
      <c r="BE246" s="90">
        <v>0</v>
      </c>
      <c r="BF246" s="90">
        <f t="shared" si="270"/>
        <v>0</v>
      </c>
      <c r="BH246" s="90">
        <f t="shared" si="271"/>
        <v>0</v>
      </c>
      <c r="BI246" s="90">
        <f t="shared" si="272"/>
        <v>0</v>
      </c>
      <c r="BJ246" s="90">
        <f t="shared" si="273"/>
        <v>0</v>
      </c>
    </row>
    <row r="247" spans="1:62" ht="12.75">
      <c r="A247" s="88" t="s">
        <v>702</v>
      </c>
      <c r="B247" s="88" t="s">
        <v>60</v>
      </c>
      <c r="C247" s="88" t="s">
        <v>276</v>
      </c>
      <c r="D247" s="88" t="s">
        <v>468</v>
      </c>
      <c r="E247" s="88" t="s">
        <v>608</v>
      </c>
      <c r="F247" s="90">
        <v>2.91</v>
      </c>
      <c r="G247" s="90">
        <f>'Stavební rozpočet (SO 13)'!G81</f>
        <v>0</v>
      </c>
      <c r="H247" s="90">
        <f t="shared" si="250"/>
        <v>0</v>
      </c>
      <c r="I247" s="90">
        <f t="shared" si="251"/>
        <v>0</v>
      </c>
      <c r="J247" s="90">
        <f t="shared" si="252"/>
        <v>0</v>
      </c>
      <c r="K247" s="90">
        <v>0.27534</v>
      </c>
      <c r="L247" s="90">
        <f t="shared" si="253"/>
        <v>0.8012393999999999</v>
      </c>
      <c r="M247" s="91" t="s">
        <v>622</v>
      </c>
      <c r="O247" s="90"/>
      <c r="P247" s="90"/>
      <c r="Z247" s="90">
        <f t="shared" si="254"/>
        <v>0</v>
      </c>
      <c r="AB247" s="90">
        <f t="shared" si="255"/>
        <v>0</v>
      </c>
      <c r="AC247" s="90">
        <f t="shared" si="256"/>
        <v>0</v>
      </c>
      <c r="AD247" s="90">
        <f t="shared" si="257"/>
        <v>0</v>
      </c>
      <c r="AE247" s="90">
        <f t="shared" si="258"/>
        <v>0</v>
      </c>
      <c r="AF247" s="90">
        <f t="shared" si="259"/>
        <v>0</v>
      </c>
      <c r="AG247" s="90">
        <f t="shared" si="260"/>
        <v>0</v>
      </c>
      <c r="AH247" s="90">
        <f t="shared" si="261"/>
        <v>0</v>
      </c>
      <c r="AI247" s="154" t="s">
        <v>60</v>
      </c>
      <c r="AJ247" s="90">
        <f t="shared" si="262"/>
        <v>0</v>
      </c>
      <c r="AK247" s="90">
        <f t="shared" si="263"/>
        <v>0</v>
      </c>
      <c r="AL247" s="90">
        <f t="shared" si="264"/>
        <v>0</v>
      </c>
      <c r="AN247" s="90">
        <v>21</v>
      </c>
      <c r="AO247" s="90">
        <f>G247*0.0308315165372753</f>
        <v>0</v>
      </c>
      <c r="AP247" s="90">
        <f>G247*(1-0.0308315165372753)</f>
        <v>0</v>
      </c>
      <c r="AQ247" s="91" t="s">
        <v>79</v>
      </c>
      <c r="AV247" s="90">
        <f t="shared" si="265"/>
        <v>0</v>
      </c>
      <c r="AW247" s="90">
        <f t="shared" si="266"/>
        <v>0</v>
      </c>
      <c r="AX247" s="90">
        <f t="shared" si="267"/>
        <v>0</v>
      </c>
      <c r="AY247" s="91" t="s">
        <v>638</v>
      </c>
      <c r="AZ247" s="91" t="s">
        <v>1536</v>
      </c>
      <c r="BA247" s="154" t="s">
        <v>1542</v>
      </c>
      <c r="BC247" s="90">
        <f t="shared" si="268"/>
        <v>0</v>
      </c>
      <c r="BD247" s="90">
        <f t="shared" si="269"/>
        <v>0</v>
      </c>
      <c r="BE247" s="90">
        <v>0</v>
      </c>
      <c r="BF247" s="90">
        <f t="shared" si="270"/>
        <v>0.8012393999999999</v>
      </c>
      <c r="BH247" s="90">
        <f t="shared" si="271"/>
        <v>0</v>
      </c>
      <c r="BI247" s="90">
        <f t="shared" si="272"/>
        <v>0</v>
      </c>
      <c r="BJ247" s="90">
        <f t="shared" si="273"/>
        <v>0</v>
      </c>
    </row>
    <row r="248" spans="1:62" ht="12.75">
      <c r="A248" s="88" t="s">
        <v>703</v>
      </c>
      <c r="B248" s="88" t="s">
        <v>60</v>
      </c>
      <c r="C248" s="88" t="s">
        <v>956</v>
      </c>
      <c r="D248" s="88" t="s">
        <v>1246</v>
      </c>
      <c r="E248" s="88" t="s">
        <v>606</v>
      </c>
      <c r="F248" s="90">
        <v>7</v>
      </c>
      <c r="G248" s="90">
        <f>'Stavební rozpočet (SO 13)'!G82</f>
        <v>0</v>
      </c>
      <c r="H248" s="90">
        <f t="shared" si="250"/>
        <v>0</v>
      </c>
      <c r="I248" s="90">
        <f t="shared" si="251"/>
        <v>0</v>
      </c>
      <c r="J248" s="90">
        <f t="shared" si="252"/>
        <v>0</v>
      </c>
      <c r="K248" s="90">
        <v>0</v>
      </c>
      <c r="L248" s="90">
        <f t="shared" si="253"/>
        <v>0</v>
      </c>
      <c r="M248" s="91" t="s">
        <v>622</v>
      </c>
      <c r="O248" s="90"/>
      <c r="P248" s="90"/>
      <c r="Z248" s="90">
        <f t="shared" si="254"/>
        <v>0</v>
      </c>
      <c r="AB248" s="90">
        <f t="shared" si="255"/>
        <v>0</v>
      </c>
      <c r="AC248" s="90">
        <f t="shared" si="256"/>
        <v>0</v>
      </c>
      <c r="AD248" s="90">
        <f t="shared" si="257"/>
        <v>0</v>
      </c>
      <c r="AE248" s="90">
        <f t="shared" si="258"/>
        <v>0</v>
      </c>
      <c r="AF248" s="90">
        <f t="shared" si="259"/>
        <v>0</v>
      </c>
      <c r="AG248" s="90">
        <f t="shared" si="260"/>
        <v>0</v>
      </c>
      <c r="AH248" s="90">
        <f t="shared" si="261"/>
        <v>0</v>
      </c>
      <c r="AI248" s="154" t="s">
        <v>60</v>
      </c>
      <c r="AJ248" s="90">
        <f t="shared" si="262"/>
        <v>0</v>
      </c>
      <c r="AK248" s="90">
        <f t="shared" si="263"/>
        <v>0</v>
      </c>
      <c r="AL248" s="90">
        <f t="shared" si="264"/>
        <v>0</v>
      </c>
      <c r="AN248" s="90">
        <v>21</v>
      </c>
      <c r="AO248" s="90">
        <f>G248*0</f>
        <v>0</v>
      </c>
      <c r="AP248" s="90">
        <f>G248*(1-0)</f>
        <v>0</v>
      </c>
      <c r="AQ248" s="91" t="s">
        <v>79</v>
      </c>
      <c r="AV248" s="90">
        <f t="shared" si="265"/>
        <v>0</v>
      </c>
      <c r="AW248" s="90">
        <f t="shared" si="266"/>
        <v>0</v>
      </c>
      <c r="AX248" s="90">
        <f t="shared" si="267"/>
        <v>0</v>
      </c>
      <c r="AY248" s="91" t="s">
        <v>638</v>
      </c>
      <c r="AZ248" s="91" t="s">
        <v>1536</v>
      </c>
      <c r="BA248" s="154" t="s">
        <v>1542</v>
      </c>
      <c r="BC248" s="90">
        <f t="shared" si="268"/>
        <v>0</v>
      </c>
      <c r="BD248" s="90">
        <f t="shared" si="269"/>
        <v>0</v>
      </c>
      <c r="BE248" s="90">
        <v>0</v>
      </c>
      <c r="BF248" s="90">
        <f t="shared" si="270"/>
        <v>0</v>
      </c>
      <c r="BH248" s="90">
        <f t="shared" si="271"/>
        <v>0</v>
      </c>
      <c r="BI248" s="90">
        <f t="shared" si="272"/>
        <v>0</v>
      </c>
      <c r="BJ248" s="90">
        <f t="shared" si="273"/>
        <v>0</v>
      </c>
    </row>
    <row r="249" spans="1:62" ht="12.75">
      <c r="A249" s="88" t="s">
        <v>704</v>
      </c>
      <c r="B249" s="88" t="s">
        <v>60</v>
      </c>
      <c r="C249" s="88" t="s">
        <v>957</v>
      </c>
      <c r="D249" s="88" t="s">
        <v>1247</v>
      </c>
      <c r="E249" s="88" t="s">
        <v>609</v>
      </c>
      <c r="F249" s="90">
        <v>0</v>
      </c>
      <c r="G249" s="90">
        <f>'Stavební rozpočet (SO 13)'!G83</f>
        <v>0</v>
      </c>
      <c r="H249" s="90">
        <f t="shared" si="250"/>
        <v>0</v>
      </c>
      <c r="I249" s="90">
        <f t="shared" si="251"/>
        <v>0</v>
      </c>
      <c r="J249" s="90">
        <f t="shared" si="252"/>
        <v>0</v>
      </c>
      <c r="K249" s="90">
        <v>0</v>
      </c>
      <c r="L249" s="90">
        <f t="shared" si="253"/>
        <v>0</v>
      </c>
      <c r="M249" s="91" t="s">
        <v>622</v>
      </c>
      <c r="O249" s="90"/>
      <c r="P249" s="90"/>
      <c r="Z249" s="90">
        <f t="shared" si="254"/>
        <v>0</v>
      </c>
      <c r="AB249" s="90">
        <f t="shared" si="255"/>
        <v>0</v>
      </c>
      <c r="AC249" s="90">
        <f t="shared" si="256"/>
        <v>0</v>
      </c>
      <c r="AD249" s="90">
        <f t="shared" si="257"/>
        <v>0</v>
      </c>
      <c r="AE249" s="90">
        <f t="shared" si="258"/>
        <v>0</v>
      </c>
      <c r="AF249" s="90">
        <f t="shared" si="259"/>
        <v>0</v>
      </c>
      <c r="AG249" s="90">
        <f t="shared" si="260"/>
        <v>0</v>
      </c>
      <c r="AH249" s="90">
        <f t="shared" si="261"/>
        <v>0</v>
      </c>
      <c r="AI249" s="154" t="s">
        <v>60</v>
      </c>
      <c r="AJ249" s="90">
        <f t="shared" si="262"/>
        <v>0</v>
      </c>
      <c r="AK249" s="90">
        <f t="shared" si="263"/>
        <v>0</v>
      </c>
      <c r="AL249" s="90">
        <f t="shared" si="264"/>
        <v>0</v>
      </c>
      <c r="AN249" s="90">
        <v>21</v>
      </c>
      <c r="AO249" s="90">
        <f>G249*0.105417142857143</f>
        <v>0</v>
      </c>
      <c r="AP249" s="90">
        <f>G249*(1-0.105417142857143)</f>
        <v>0</v>
      </c>
      <c r="AQ249" s="91" t="s">
        <v>79</v>
      </c>
      <c r="AV249" s="90">
        <f t="shared" si="265"/>
        <v>0</v>
      </c>
      <c r="AW249" s="90">
        <f t="shared" si="266"/>
        <v>0</v>
      </c>
      <c r="AX249" s="90">
        <f t="shared" si="267"/>
        <v>0</v>
      </c>
      <c r="AY249" s="91" t="s">
        <v>638</v>
      </c>
      <c r="AZ249" s="91" t="s">
        <v>1536</v>
      </c>
      <c r="BA249" s="154" t="s">
        <v>1542</v>
      </c>
      <c r="BC249" s="90">
        <f t="shared" si="268"/>
        <v>0</v>
      </c>
      <c r="BD249" s="90">
        <f t="shared" si="269"/>
        <v>0</v>
      </c>
      <c r="BE249" s="90">
        <v>0</v>
      </c>
      <c r="BF249" s="90">
        <f t="shared" si="270"/>
        <v>0</v>
      </c>
      <c r="BH249" s="90">
        <f t="shared" si="271"/>
        <v>0</v>
      </c>
      <c r="BI249" s="90">
        <f t="shared" si="272"/>
        <v>0</v>
      </c>
      <c r="BJ249" s="90">
        <f t="shared" si="273"/>
        <v>0</v>
      </c>
    </row>
    <row r="250" spans="1:47" ht="12.75">
      <c r="A250" s="159"/>
      <c r="B250" s="160" t="s">
        <v>60</v>
      </c>
      <c r="C250" s="160" t="s">
        <v>280</v>
      </c>
      <c r="D250" s="160" t="s">
        <v>473</v>
      </c>
      <c r="E250" s="159" t="s">
        <v>57</v>
      </c>
      <c r="F250" s="159" t="s">
        <v>57</v>
      </c>
      <c r="G250" s="159"/>
      <c r="H250" s="161">
        <f>SUM(H251:H256)</f>
        <v>0</v>
      </c>
      <c r="I250" s="161">
        <f>SUM(I251:I256)</f>
        <v>0</v>
      </c>
      <c r="J250" s="161">
        <f>SUM(J251:J256)</f>
        <v>0</v>
      </c>
      <c r="K250" s="154"/>
      <c r="L250" s="161">
        <f>SUM(L251:L256)</f>
        <v>0</v>
      </c>
      <c r="M250" s="154"/>
      <c r="O250" s="159"/>
      <c r="P250" s="159"/>
      <c r="AI250" s="154" t="s">
        <v>60</v>
      </c>
      <c r="AS250" s="161">
        <f>SUM(AJ251:AJ256)</f>
        <v>0</v>
      </c>
      <c r="AT250" s="161">
        <f>SUM(AK251:AK256)</f>
        <v>0</v>
      </c>
      <c r="AU250" s="161">
        <f>SUM(AL251:AL256)</f>
        <v>0</v>
      </c>
    </row>
    <row r="251" spans="1:62" ht="12.75">
      <c r="A251" s="88" t="s">
        <v>705</v>
      </c>
      <c r="B251" s="88" t="s">
        <v>60</v>
      </c>
      <c r="C251" s="88" t="s">
        <v>281</v>
      </c>
      <c r="D251" s="88" t="s">
        <v>474</v>
      </c>
      <c r="E251" s="88" t="s">
        <v>612</v>
      </c>
      <c r="F251" s="90">
        <v>131.89</v>
      </c>
      <c r="G251" s="90">
        <f>'Stavební rozpočet (SO 13)'!G85</f>
        <v>0</v>
      </c>
      <c r="H251" s="90">
        <f aca="true" t="shared" si="274" ref="H251:H256">F251*AO251</f>
        <v>0</v>
      </c>
      <c r="I251" s="90">
        <f aca="true" t="shared" si="275" ref="I251:I256">F251*AP251</f>
        <v>0</v>
      </c>
      <c r="J251" s="90">
        <f aca="true" t="shared" si="276" ref="J251:J256">F251*G251</f>
        <v>0</v>
      </c>
      <c r="K251" s="90">
        <v>0</v>
      </c>
      <c r="L251" s="90">
        <f aca="true" t="shared" si="277" ref="L251:L256">F251*K251</f>
        <v>0</v>
      </c>
      <c r="M251" s="91" t="s">
        <v>622</v>
      </c>
      <c r="O251" s="90"/>
      <c r="P251" s="90"/>
      <c r="Z251" s="90">
        <f aca="true" t="shared" si="278" ref="Z251:Z256">IF(AQ251="5",BJ251,0)</f>
        <v>0</v>
      </c>
      <c r="AB251" s="90">
        <f aca="true" t="shared" si="279" ref="AB251:AB256">IF(AQ251="1",BH251,0)</f>
        <v>0</v>
      </c>
      <c r="AC251" s="90">
        <f aca="true" t="shared" si="280" ref="AC251:AC256">IF(AQ251="1",BI251,0)</f>
        <v>0</v>
      </c>
      <c r="AD251" s="90">
        <f aca="true" t="shared" si="281" ref="AD251:AD256">IF(AQ251="7",BH251,0)</f>
        <v>0</v>
      </c>
      <c r="AE251" s="90">
        <f aca="true" t="shared" si="282" ref="AE251:AE256">IF(AQ251="7",BI251,0)</f>
        <v>0</v>
      </c>
      <c r="AF251" s="90">
        <f aca="true" t="shared" si="283" ref="AF251:AF256">IF(AQ251="2",BH251,0)</f>
        <v>0</v>
      </c>
      <c r="AG251" s="90">
        <f aca="true" t="shared" si="284" ref="AG251:AG256">IF(AQ251="2",BI251,0)</f>
        <v>0</v>
      </c>
      <c r="AH251" s="90">
        <f aca="true" t="shared" si="285" ref="AH251:AH256">IF(AQ251="0",BJ251,0)</f>
        <v>0</v>
      </c>
      <c r="AI251" s="154" t="s">
        <v>60</v>
      </c>
      <c r="AJ251" s="90">
        <f aca="true" t="shared" si="286" ref="AJ251:AJ256">IF(AN251=0,J251,0)</f>
        <v>0</v>
      </c>
      <c r="AK251" s="90">
        <f aca="true" t="shared" si="287" ref="AK251:AK256">IF(AN251=15,J251,0)</f>
        <v>0</v>
      </c>
      <c r="AL251" s="90">
        <f aca="true" t="shared" si="288" ref="AL251:AL256">IF(AN251=21,J251,0)</f>
        <v>0</v>
      </c>
      <c r="AN251" s="90">
        <v>21</v>
      </c>
      <c r="AO251" s="90">
        <f aca="true" t="shared" si="289" ref="AO251:AO256">G251*0</f>
        <v>0</v>
      </c>
      <c r="AP251" s="90">
        <f aca="true" t="shared" si="290" ref="AP251:AP256">G251*(1-0)</f>
        <v>0</v>
      </c>
      <c r="AQ251" s="91" t="s">
        <v>83</v>
      </c>
      <c r="AV251" s="90">
        <f aca="true" t="shared" si="291" ref="AV251:AV256">AW251+AX251</f>
        <v>0</v>
      </c>
      <c r="AW251" s="90">
        <f aca="true" t="shared" si="292" ref="AW251:AW256">F251*AO251</f>
        <v>0</v>
      </c>
      <c r="AX251" s="90">
        <f aca="true" t="shared" si="293" ref="AX251:AX256">F251*AP251</f>
        <v>0</v>
      </c>
      <c r="AY251" s="91" t="s">
        <v>640</v>
      </c>
      <c r="AZ251" s="91" t="s">
        <v>1536</v>
      </c>
      <c r="BA251" s="154" t="s">
        <v>1542</v>
      </c>
      <c r="BC251" s="90">
        <f aca="true" t="shared" si="294" ref="BC251:BC256">AW251+AX251</f>
        <v>0</v>
      </c>
      <c r="BD251" s="90">
        <f aca="true" t="shared" si="295" ref="BD251:BD256">G251/(100-BE251)*100</f>
        <v>0</v>
      </c>
      <c r="BE251" s="90">
        <v>0</v>
      </c>
      <c r="BF251" s="90">
        <f aca="true" t="shared" si="296" ref="BF251:BF256">L251</f>
        <v>0</v>
      </c>
      <c r="BH251" s="90">
        <f aca="true" t="shared" si="297" ref="BH251:BH256">F251*AO251</f>
        <v>0</v>
      </c>
      <c r="BI251" s="90">
        <f aca="true" t="shared" si="298" ref="BI251:BI256">F251*AP251</f>
        <v>0</v>
      </c>
      <c r="BJ251" s="90">
        <f aca="true" t="shared" si="299" ref="BJ251:BJ256">F251*G251</f>
        <v>0</v>
      </c>
    </row>
    <row r="252" spans="1:62" ht="12.75">
      <c r="A252" s="88" t="s">
        <v>706</v>
      </c>
      <c r="B252" s="88" t="s">
        <v>60</v>
      </c>
      <c r="C252" s="88" t="s">
        <v>282</v>
      </c>
      <c r="D252" s="88" t="s">
        <v>475</v>
      </c>
      <c r="E252" s="88" t="s">
        <v>612</v>
      </c>
      <c r="F252" s="90">
        <v>1318.9</v>
      </c>
      <c r="G252" s="90">
        <f>'Stavební rozpočet (SO 13)'!G86</f>
        <v>0</v>
      </c>
      <c r="H252" s="90">
        <f t="shared" si="274"/>
        <v>0</v>
      </c>
      <c r="I252" s="90">
        <f t="shared" si="275"/>
        <v>0</v>
      </c>
      <c r="J252" s="90">
        <f t="shared" si="276"/>
        <v>0</v>
      </c>
      <c r="K252" s="90">
        <v>0</v>
      </c>
      <c r="L252" s="90">
        <f t="shared" si="277"/>
        <v>0</v>
      </c>
      <c r="M252" s="91" t="s">
        <v>622</v>
      </c>
      <c r="O252" s="90"/>
      <c r="P252" s="90"/>
      <c r="Z252" s="90">
        <f t="shared" si="278"/>
        <v>0</v>
      </c>
      <c r="AB252" s="90">
        <f t="shared" si="279"/>
        <v>0</v>
      </c>
      <c r="AC252" s="90">
        <f t="shared" si="280"/>
        <v>0</v>
      </c>
      <c r="AD252" s="90">
        <f t="shared" si="281"/>
        <v>0</v>
      </c>
      <c r="AE252" s="90">
        <f t="shared" si="282"/>
        <v>0</v>
      </c>
      <c r="AF252" s="90">
        <f t="shared" si="283"/>
        <v>0</v>
      </c>
      <c r="AG252" s="90">
        <f t="shared" si="284"/>
        <v>0</v>
      </c>
      <c r="AH252" s="90">
        <f t="shared" si="285"/>
        <v>0</v>
      </c>
      <c r="AI252" s="154" t="s">
        <v>60</v>
      </c>
      <c r="AJ252" s="90">
        <f t="shared" si="286"/>
        <v>0</v>
      </c>
      <c r="AK252" s="90">
        <f t="shared" si="287"/>
        <v>0</v>
      </c>
      <c r="AL252" s="90">
        <f t="shared" si="288"/>
        <v>0</v>
      </c>
      <c r="AN252" s="90">
        <v>21</v>
      </c>
      <c r="AO252" s="90">
        <f t="shared" si="289"/>
        <v>0</v>
      </c>
      <c r="AP252" s="90">
        <f t="shared" si="290"/>
        <v>0</v>
      </c>
      <c r="AQ252" s="91" t="s">
        <v>83</v>
      </c>
      <c r="AV252" s="90">
        <f t="shared" si="291"/>
        <v>0</v>
      </c>
      <c r="AW252" s="90">
        <f t="shared" si="292"/>
        <v>0</v>
      </c>
      <c r="AX252" s="90">
        <f t="shared" si="293"/>
        <v>0</v>
      </c>
      <c r="AY252" s="91" t="s">
        <v>640</v>
      </c>
      <c r="AZ252" s="91" t="s">
        <v>1536</v>
      </c>
      <c r="BA252" s="154" t="s">
        <v>1542</v>
      </c>
      <c r="BC252" s="90">
        <f t="shared" si="294"/>
        <v>0</v>
      </c>
      <c r="BD252" s="90">
        <f t="shared" si="295"/>
        <v>0</v>
      </c>
      <c r="BE252" s="90">
        <v>0</v>
      </c>
      <c r="BF252" s="90">
        <f t="shared" si="296"/>
        <v>0</v>
      </c>
      <c r="BH252" s="90">
        <f t="shared" si="297"/>
        <v>0</v>
      </c>
      <c r="BI252" s="90">
        <f t="shared" si="298"/>
        <v>0</v>
      </c>
      <c r="BJ252" s="90">
        <f t="shared" si="299"/>
        <v>0</v>
      </c>
    </row>
    <row r="253" spans="1:62" ht="12.75">
      <c r="A253" s="88" t="s">
        <v>707</v>
      </c>
      <c r="B253" s="88" t="s">
        <v>60</v>
      </c>
      <c r="C253" s="88" t="s">
        <v>283</v>
      </c>
      <c r="D253" s="88" t="s">
        <v>476</v>
      </c>
      <c r="E253" s="88" t="s">
        <v>612</v>
      </c>
      <c r="F253" s="90">
        <v>131.89</v>
      </c>
      <c r="G253" s="90">
        <f>'Stavební rozpočet (SO 13)'!G87</f>
        <v>0</v>
      </c>
      <c r="H253" s="90">
        <f t="shared" si="274"/>
        <v>0</v>
      </c>
      <c r="I253" s="90">
        <f t="shared" si="275"/>
        <v>0</v>
      </c>
      <c r="J253" s="90">
        <f t="shared" si="276"/>
        <v>0</v>
      </c>
      <c r="K253" s="90">
        <v>0</v>
      </c>
      <c r="L253" s="90">
        <f t="shared" si="277"/>
        <v>0</v>
      </c>
      <c r="M253" s="91" t="s">
        <v>622</v>
      </c>
      <c r="O253" s="90"/>
      <c r="P253" s="90"/>
      <c r="Z253" s="90">
        <f t="shared" si="278"/>
        <v>0</v>
      </c>
      <c r="AB253" s="90">
        <f t="shared" si="279"/>
        <v>0</v>
      </c>
      <c r="AC253" s="90">
        <f t="shared" si="280"/>
        <v>0</v>
      </c>
      <c r="AD253" s="90">
        <f t="shared" si="281"/>
        <v>0</v>
      </c>
      <c r="AE253" s="90">
        <f t="shared" si="282"/>
        <v>0</v>
      </c>
      <c r="AF253" s="90">
        <f t="shared" si="283"/>
        <v>0</v>
      </c>
      <c r="AG253" s="90">
        <f t="shared" si="284"/>
        <v>0</v>
      </c>
      <c r="AH253" s="90">
        <f t="shared" si="285"/>
        <v>0</v>
      </c>
      <c r="AI253" s="154" t="s">
        <v>60</v>
      </c>
      <c r="AJ253" s="90">
        <f t="shared" si="286"/>
        <v>0</v>
      </c>
      <c r="AK253" s="90">
        <f t="shared" si="287"/>
        <v>0</v>
      </c>
      <c r="AL253" s="90">
        <f t="shared" si="288"/>
        <v>0</v>
      </c>
      <c r="AN253" s="90">
        <v>21</v>
      </c>
      <c r="AO253" s="90">
        <f t="shared" si="289"/>
        <v>0</v>
      </c>
      <c r="AP253" s="90">
        <f t="shared" si="290"/>
        <v>0</v>
      </c>
      <c r="AQ253" s="91" t="s">
        <v>83</v>
      </c>
      <c r="AV253" s="90">
        <f t="shared" si="291"/>
        <v>0</v>
      </c>
      <c r="AW253" s="90">
        <f t="shared" si="292"/>
        <v>0</v>
      </c>
      <c r="AX253" s="90">
        <f t="shared" si="293"/>
        <v>0</v>
      </c>
      <c r="AY253" s="91" t="s">
        <v>640</v>
      </c>
      <c r="AZ253" s="91" t="s">
        <v>1536</v>
      </c>
      <c r="BA253" s="154" t="s">
        <v>1542</v>
      </c>
      <c r="BC253" s="90">
        <f t="shared" si="294"/>
        <v>0</v>
      </c>
      <c r="BD253" s="90">
        <f t="shared" si="295"/>
        <v>0</v>
      </c>
      <c r="BE253" s="90">
        <v>0</v>
      </c>
      <c r="BF253" s="90">
        <f t="shared" si="296"/>
        <v>0</v>
      </c>
      <c r="BH253" s="90">
        <f t="shared" si="297"/>
        <v>0</v>
      </c>
      <c r="BI253" s="90">
        <f t="shared" si="298"/>
        <v>0</v>
      </c>
      <c r="BJ253" s="90">
        <f t="shared" si="299"/>
        <v>0</v>
      </c>
    </row>
    <row r="254" spans="1:62" ht="12.75">
      <c r="A254" s="88" t="s">
        <v>708</v>
      </c>
      <c r="B254" s="88" t="s">
        <v>60</v>
      </c>
      <c r="C254" s="88" t="s">
        <v>284</v>
      </c>
      <c r="D254" s="88" t="s">
        <v>477</v>
      </c>
      <c r="E254" s="88" t="s">
        <v>612</v>
      </c>
      <c r="F254" s="90">
        <v>527.56</v>
      </c>
      <c r="G254" s="90">
        <f>'Stavební rozpočet (SO 13)'!G88</f>
        <v>0</v>
      </c>
      <c r="H254" s="90">
        <f t="shared" si="274"/>
        <v>0</v>
      </c>
      <c r="I254" s="90">
        <f t="shared" si="275"/>
        <v>0</v>
      </c>
      <c r="J254" s="90">
        <f t="shared" si="276"/>
        <v>0</v>
      </c>
      <c r="K254" s="90">
        <v>0</v>
      </c>
      <c r="L254" s="90">
        <f t="shared" si="277"/>
        <v>0</v>
      </c>
      <c r="M254" s="91" t="s">
        <v>622</v>
      </c>
      <c r="O254" s="90"/>
      <c r="P254" s="90"/>
      <c r="Z254" s="90">
        <f t="shared" si="278"/>
        <v>0</v>
      </c>
      <c r="AB254" s="90">
        <f t="shared" si="279"/>
        <v>0</v>
      </c>
      <c r="AC254" s="90">
        <f t="shared" si="280"/>
        <v>0</v>
      </c>
      <c r="AD254" s="90">
        <f t="shared" si="281"/>
        <v>0</v>
      </c>
      <c r="AE254" s="90">
        <f t="shared" si="282"/>
        <v>0</v>
      </c>
      <c r="AF254" s="90">
        <f t="shared" si="283"/>
        <v>0</v>
      </c>
      <c r="AG254" s="90">
        <f t="shared" si="284"/>
        <v>0</v>
      </c>
      <c r="AH254" s="90">
        <f t="shared" si="285"/>
        <v>0</v>
      </c>
      <c r="AI254" s="154" t="s">
        <v>60</v>
      </c>
      <c r="AJ254" s="90">
        <f t="shared" si="286"/>
        <v>0</v>
      </c>
      <c r="AK254" s="90">
        <f t="shared" si="287"/>
        <v>0</v>
      </c>
      <c r="AL254" s="90">
        <f t="shared" si="288"/>
        <v>0</v>
      </c>
      <c r="AN254" s="90">
        <v>21</v>
      </c>
      <c r="AO254" s="90">
        <f t="shared" si="289"/>
        <v>0</v>
      </c>
      <c r="AP254" s="90">
        <f t="shared" si="290"/>
        <v>0</v>
      </c>
      <c r="AQ254" s="91" t="s">
        <v>83</v>
      </c>
      <c r="AV254" s="90">
        <f t="shared" si="291"/>
        <v>0</v>
      </c>
      <c r="AW254" s="90">
        <f t="shared" si="292"/>
        <v>0</v>
      </c>
      <c r="AX254" s="90">
        <f t="shared" si="293"/>
        <v>0</v>
      </c>
      <c r="AY254" s="91" t="s">
        <v>640</v>
      </c>
      <c r="AZ254" s="91" t="s">
        <v>1536</v>
      </c>
      <c r="BA254" s="154" t="s">
        <v>1542</v>
      </c>
      <c r="BC254" s="90">
        <f t="shared" si="294"/>
        <v>0</v>
      </c>
      <c r="BD254" s="90">
        <f t="shared" si="295"/>
        <v>0</v>
      </c>
      <c r="BE254" s="90">
        <v>0</v>
      </c>
      <c r="BF254" s="90">
        <f t="shared" si="296"/>
        <v>0</v>
      </c>
      <c r="BH254" s="90">
        <f t="shared" si="297"/>
        <v>0</v>
      </c>
      <c r="BI254" s="90">
        <f t="shared" si="298"/>
        <v>0</v>
      </c>
      <c r="BJ254" s="90">
        <f t="shared" si="299"/>
        <v>0</v>
      </c>
    </row>
    <row r="255" spans="1:62" ht="12.75">
      <c r="A255" s="88" t="s">
        <v>709</v>
      </c>
      <c r="B255" s="88" t="s">
        <v>60</v>
      </c>
      <c r="C255" s="88" t="s">
        <v>285</v>
      </c>
      <c r="D255" s="88" t="s">
        <v>478</v>
      </c>
      <c r="E255" s="88" t="s">
        <v>612</v>
      </c>
      <c r="F255" s="90">
        <v>131.89</v>
      </c>
      <c r="G255" s="90">
        <f>'Stavební rozpočet (SO 13)'!G89</f>
        <v>0</v>
      </c>
      <c r="H255" s="90">
        <f t="shared" si="274"/>
        <v>0</v>
      </c>
      <c r="I255" s="90">
        <f t="shared" si="275"/>
        <v>0</v>
      </c>
      <c r="J255" s="90">
        <f t="shared" si="276"/>
        <v>0</v>
      </c>
      <c r="K255" s="90">
        <v>0</v>
      </c>
      <c r="L255" s="90">
        <f t="shared" si="277"/>
        <v>0</v>
      </c>
      <c r="M255" s="91" t="s">
        <v>622</v>
      </c>
      <c r="O255" s="90"/>
      <c r="P255" s="90"/>
      <c r="Z255" s="90">
        <f t="shared" si="278"/>
        <v>0</v>
      </c>
      <c r="AB255" s="90">
        <f t="shared" si="279"/>
        <v>0</v>
      </c>
      <c r="AC255" s="90">
        <f t="shared" si="280"/>
        <v>0</v>
      </c>
      <c r="AD255" s="90">
        <f t="shared" si="281"/>
        <v>0</v>
      </c>
      <c r="AE255" s="90">
        <f t="shared" si="282"/>
        <v>0</v>
      </c>
      <c r="AF255" s="90">
        <f t="shared" si="283"/>
        <v>0</v>
      </c>
      <c r="AG255" s="90">
        <f t="shared" si="284"/>
        <v>0</v>
      </c>
      <c r="AH255" s="90">
        <f t="shared" si="285"/>
        <v>0</v>
      </c>
      <c r="AI255" s="154" t="s">
        <v>60</v>
      </c>
      <c r="AJ255" s="90">
        <f t="shared" si="286"/>
        <v>0</v>
      </c>
      <c r="AK255" s="90">
        <f t="shared" si="287"/>
        <v>0</v>
      </c>
      <c r="AL255" s="90">
        <f t="shared" si="288"/>
        <v>0</v>
      </c>
      <c r="AN255" s="90">
        <v>21</v>
      </c>
      <c r="AO255" s="90">
        <f t="shared" si="289"/>
        <v>0</v>
      </c>
      <c r="AP255" s="90">
        <f t="shared" si="290"/>
        <v>0</v>
      </c>
      <c r="AQ255" s="91" t="s">
        <v>83</v>
      </c>
      <c r="AV255" s="90">
        <f t="shared" si="291"/>
        <v>0</v>
      </c>
      <c r="AW255" s="90">
        <f t="shared" si="292"/>
        <v>0</v>
      </c>
      <c r="AX255" s="90">
        <f t="shared" si="293"/>
        <v>0</v>
      </c>
      <c r="AY255" s="91" t="s">
        <v>640</v>
      </c>
      <c r="AZ255" s="91" t="s">
        <v>1536</v>
      </c>
      <c r="BA255" s="154" t="s">
        <v>1542</v>
      </c>
      <c r="BC255" s="90">
        <f t="shared" si="294"/>
        <v>0</v>
      </c>
      <c r="BD255" s="90">
        <f t="shared" si="295"/>
        <v>0</v>
      </c>
      <c r="BE255" s="90">
        <v>0</v>
      </c>
      <c r="BF255" s="90">
        <f t="shared" si="296"/>
        <v>0</v>
      </c>
      <c r="BH255" s="90">
        <f t="shared" si="297"/>
        <v>0</v>
      </c>
      <c r="BI255" s="90">
        <f t="shared" si="298"/>
        <v>0</v>
      </c>
      <c r="BJ255" s="90">
        <f t="shared" si="299"/>
        <v>0</v>
      </c>
    </row>
    <row r="256" spans="1:62" ht="12.75">
      <c r="A256" s="88" t="s">
        <v>710</v>
      </c>
      <c r="B256" s="88" t="s">
        <v>60</v>
      </c>
      <c r="C256" s="88" t="s">
        <v>286</v>
      </c>
      <c r="D256" s="88" t="s">
        <v>479</v>
      </c>
      <c r="E256" s="88" t="s">
        <v>612</v>
      </c>
      <c r="F256" s="90">
        <v>131.89</v>
      </c>
      <c r="G256" s="90">
        <f>'Stavební rozpočet (SO 13)'!G90</f>
        <v>0</v>
      </c>
      <c r="H256" s="90">
        <f t="shared" si="274"/>
        <v>0</v>
      </c>
      <c r="I256" s="90">
        <f t="shared" si="275"/>
        <v>0</v>
      </c>
      <c r="J256" s="90">
        <f t="shared" si="276"/>
        <v>0</v>
      </c>
      <c r="K256" s="90">
        <v>0</v>
      </c>
      <c r="L256" s="90">
        <f t="shared" si="277"/>
        <v>0</v>
      </c>
      <c r="M256" s="91" t="s">
        <v>622</v>
      </c>
      <c r="O256" s="90"/>
      <c r="P256" s="90"/>
      <c r="Z256" s="90">
        <f t="shared" si="278"/>
        <v>0</v>
      </c>
      <c r="AB256" s="90">
        <f t="shared" si="279"/>
        <v>0</v>
      </c>
      <c r="AC256" s="90">
        <f t="shared" si="280"/>
        <v>0</v>
      </c>
      <c r="AD256" s="90">
        <f t="shared" si="281"/>
        <v>0</v>
      </c>
      <c r="AE256" s="90">
        <f t="shared" si="282"/>
        <v>0</v>
      </c>
      <c r="AF256" s="90">
        <f t="shared" si="283"/>
        <v>0</v>
      </c>
      <c r="AG256" s="90">
        <f t="shared" si="284"/>
        <v>0</v>
      </c>
      <c r="AH256" s="90">
        <f t="shared" si="285"/>
        <v>0</v>
      </c>
      <c r="AI256" s="154" t="s">
        <v>60</v>
      </c>
      <c r="AJ256" s="90">
        <f t="shared" si="286"/>
        <v>0</v>
      </c>
      <c r="AK256" s="90">
        <f t="shared" si="287"/>
        <v>0</v>
      </c>
      <c r="AL256" s="90">
        <f t="shared" si="288"/>
        <v>0</v>
      </c>
      <c r="AN256" s="90">
        <v>21</v>
      </c>
      <c r="AO256" s="90">
        <f t="shared" si="289"/>
        <v>0</v>
      </c>
      <c r="AP256" s="90">
        <f t="shared" si="290"/>
        <v>0</v>
      </c>
      <c r="AQ256" s="91" t="s">
        <v>83</v>
      </c>
      <c r="AV256" s="90">
        <f t="shared" si="291"/>
        <v>0</v>
      </c>
      <c r="AW256" s="90">
        <f t="shared" si="292"/>
        <v>0</v>
      </c>
      <c r="AX256" s="90">
        <f t="shared" si="293"/>
        <v>0</v>
      </c>
      <c r="AY256" s="91" t="s">
        <v>640</v>
      </c>
      <c r="AZ256" s="91" t="s">
        <v>1536</v>
      </c>
      <c r="BA256" s="154" t="s">
        <v>1542</v>
      </c>
      <c r="BC256" s="90">
        <f t="shared" si="294"/>
        <v>0</v>
      </c>
      <c r="BD256" s="90">
        <f t="shared" si="295"/>
        <v>0</v>
      </c>
      <c r="BE256" s="90">
        <v>0</v>
      </c>
      <c r="BF256" s="90">
        <f t="shared" si="296"/>
        <v>0</v>
      </c>
      <c r="BH256" s="90">
        <f t="shared" si="297"/>
        <v>0</v>
      </c>
      <c r="BI256" s="90">
        <f t="shared" si="298"/>
        <v>0</v>
      </c>
      <c r="BJ256" s="90">
        <f t="shared" si="299"/>
        <v>0</v>
      </c>
    </row>
    <row r="257" spans="1:47" ht="12.75">
      <c r="A257" s="159"/>
      <c r="B257" s="160" t="s">
        <v>60</v>
      </c>
      <c r="C257" s="160" t="s">
        <v>288</v>
      </c>
      <c r="D257" s="160" t="s">
        <v>481</v>
      </c>
      <c r="E257" s="159" t="s">
        <v>57</v>
      </c>
      <c r="F257" s="159" t="s">
        <v>57</v>
      </c>
      <c r="G257" s="159"/>
      <c r="H257" s="161">
        <f>SUM(H258:H258)</f>
        <v>0</v>
      </c>
      <c r="I257" s="161">
        <f>SUM(I258:I258)</f>
        <v>0</v>
      </c>
      <c r="J257" s="161">
        <f>SUM(J258:J258)</f>
        <v>0</v>
      </c>
      <c r="K257" s="154"/>
      <c r="L257" s="161">
        <f>SUM(L258:L258)</f>
        <v>0</v>
      </c>
      <c r="M257" s="154"/>
      <c r="O257" s="159"/>
      <c r="P257" s="159"/>
      <c r="AI257" s="154" t="s">
        <v>60</v>
      </c>
      <c r="AS257" s="161">
        <f>SUM(AJ258:AJ258)</f>
        <v>0</v>
      </c>
      <c r="AT257" s="161">
        <f>SUM(AK258:AK258)</f>
        <v>0</v>
      </c>
      <c r="AU257" s="161">
        <f>SUM(AL258:AL258)</f>
        <v>0</v>
      </c>
    </row>
    <row r="258" spans="1:62" ht="12.75">
      <c r="A258" s="88" t="s">
        <v>711</v>
      </c>
      <c r="B258" s="88" t="s">
        <v>60</v>
      </c>
      <c r="C258" s="88" t="s">
        <v>289</v>
      </c>
      <c r="D258" s="88" t="s">
        <v>482</v>
      </c>
      <c r="E258" s="88" t="s">
        <v>612</v>
      </c>
      <c r="F258" s="90">
        <v>204.49</v>
      </c>
      <c r="G258" s="90">
        <f>'Stavební rozpočet (SO 13)'!$G$92</f>
        <v>0</v>
      </c>
      <c r="H258" s="90">
        <f>F258*AO258</f>
        <v>0</v>
      </c>
      <c r="I258" s="90">
        <f>F258*AP258</f>
        <v>0</v>
      </c>
      <c r="J258" s="90">
        <f>F258*G258</f>
        <v>0</v>
      </c>
      <c r="K258" s="90">
        <v>0</v>
      </c>
      <c r="L258" s="90">
        <f>F258*K258</f>
        <v>0</v>
      </c>
      <c r="M258" s="91" t="s">
        <v>622</v>
      </c>
      <c r="O258" s="90"/>
      <c r="P258" s="90"/>
      <c r="Z258" s="90">
        <f>IF(AQ258="5",BJ258,0)</f>
        <v>0</v>
      </c>
      <c r="AB258" s="90">
        <f>IF(AQ258="1",BH258,0)</f>
        <v>0</v>
      </c>
      <c r="AC258" s="90">
        <f>IF(AQ258="1",BI258,0)</f>
        <v>0</v>
      </c>
      <c r="AD258" s="90">
        <f>IF(AQ258="7",BH258,0)</f>
        <v>0</v>
      </c>
      <c r="AE258" s="90">
        <f>IF(AQ258="7",BI258,0)</f>
        <v>0</v>
      </c>
      <c r="AF258" s="90">
        <f>IF(AQ258="2",BH258,0)</f>
        <v>0</v>
      </c>
      <c r="AG258" s="90">
        <f>IF(AQ258="2",BI258,0)</f>
        <v>0</v>
      </c>
      <c r="AH258" s="90">
        <f>IF(AQ258="0",BJ258,0)</f>
        <v>0</v>
      </c>
      <c r="AI258" s="154" t="s">
        <v>60</v>
      </c>
      <c r="AJ258" s="90">
        <f>IF(AN258=0,J258,0)</f>
        <v>0</v>
      </c>
      <c r="AK258" s="90">
        <f>IF(AN258=15,J258,0)</f>
        <v>0</v>
      </c>
      <c r="AL258" s="90">
        <f>IF(AN258=21,J258,0)</f>
        <v>0</v>
      </c>
      <c r="AN258" s="90">
        <v>21</v>
      </c>
      <c r="AO258" s="90">
        <f>G258*0</f>
        <v>0</v>
      </c>
      <c r="AP258" s="90">
        <f>G258*(1-0)</f>
        <v>0</v>
      </c>
      <c r="AQ258" s="91" t="s">
        <v>83</v>
      </c>
      <c r="AV258" s="90">
        <f>AW258+AX258</f>
        <v>0</v>
      </c>
      <c r="AW258" s="90">
        <f>F258*AO258</f>
        <v>0</v>
      </c>
      <c r="AX258" s="90">
        <f>F258*AP258</f>
        <v>0</v>
      </c>
      <c r="AY258" s="91" t="s">
        <v>641</v>
      </c>
      <c r="AZ258" s="91" t="s">
        <v>1536</v>
      </c>
      <c r="BA258" s="154" t="s">
        <v>1542</v>
      </c>
      <c r="BC258" s="90">
        <f>AW258+AX258</f>
        <v>0</v>
      </c>
      <c r="BD258" s="90">
        <f>G258/(100-BE258)*100</f>
        <v>0</v>
      </c>
      <c r="BE258" s="90">
        <v>0</v>
      </c>
      <c r="BF258" s="90">
        <f>L258</f>
        <v>0</v>
      </c>
      <c r="BH258" s="90">
        <f>F258*AO258</f>
        <v>0</v>
      </c>
      <c r="BI258" s="90">
        <f>F258*AP258</f>
        <v>0</v>
      </c>
      <c r="BJ258" s="90">
        <f>F258*G258</f>
        <v>0</v>
      </c>
    </row>
    <row r="259" spans="1:47" ht="12.75">
      <c r="A259" s="159"/>
      <c r="B259" s="160" t="s">
        <v>60</v>
      </c>
      <c r="C259" s="160" t="s">
        <v>290</v>
      </c>
      <c r="D259" s="160" t="s">
        <v>483</v>
      </c>
      <c r="E259" s="159" t="s">
        <v>57</v>
      </c>
      <c r="F259" s="159" t="s">
        <v>57</v>
      </c>
      <c r="G259" s="159"/>
      <c r="H259" s="161">
        <f>SUM(H260:H318)</f>
        <v>0</v>
      </c>
      <c r="I259" s="161">
        <f>SUM(I260:I318)</f>
        <v>0</v>
      </c>
      <c r="J259" s="161">
        <f>SUM(J260:J318)</f>
        <v>0</v>
      </c>
      <c r="K259" s="154"/>
      <c r="L259" s="161">
        <f>SUM(L260:L318)</f>
        <v>0</v>
      </c>
      <c r="M259" s="154"/>
      <c r="O259" s="159"/>
      <c r="P259" s="159"/>
      <c r="AI259" s="154" t="s">
        <v>60</v>
      </c>
      <c r="AS259" s="161">
        <f>SUM(AJ260:AJ318)</f>
        <v>0</v>
      </c>
      <c r="AT259" s="161">
        <f>SUM(AK260:AK318)</f>
        <v>0</v>
      </c>
      <c r="AU259" s="161">
        <f>SUM(AL260:AL318)</f>
        <v>0</v>
      </c>
    </row>
    <row r="260" spans="1:62" ht="12.75">
      <c r="A260" s="88" t="s">
        <v>712</v>
      </c>
      <c r="B260" s="88" t="s">
        <v>60</v>
      </c>
      <c r="C260" s="88" t="s">
        <v>291</v>
      </c>
      <c r="D260" s="88" t="s">
        <v>1248</v>
      </c>
      <c r="E260" s="88" t="s">
        <v>609</v>
      </c>
      <c r="F260" s="90">
        <v>87.8</v>
      </c>
      <c r="G260" s="90">
        <f>'Stavební rozpočet (SO 13)'!G94</f>
        <v>0</v>
      </c>
      <c r="H260" s="90">
        <f aca="true" t="shared" si="300" ref="H260:H291">F260*AO260</f>
        <v>0</v>
      </c>
      <c r="I260" s="90">
        <f aca="true" t="shared" si="301" ref="I260:I291">F260*AP260</f>
        <v>0</v>
      </c>
      <c r="J260" s="90">
        <f aca="true" t="shared" si="302" ref="J260:J291">F260*G260</f>
        <v>0</v>
      </c>
      <c r="K260" s="90">
        <v>0</v>
      </c>
      <c r="L260" s="90">
        <f aca="true" t="shared" si="303" ref="L260:L291">F260*K260</f>
        <v>0</v>
      </c>
      <c r="M260" s="91" t="s">
        <v>622</v>
      </c>
      <c r="O260" s="90"/>
      <c r="P260" s="90"/>
      <c r="Z260" s="90">
        <f aca="true" t="shared" si="304" ref="Z260:Z291">IF(AQ260="5",BJ260,0)</f>
        <v>0</v>
      </c>
      <c r="AB260" s="90">
        <f aca="true" t="shared" si="305" ref="AB260:AB291">IF(AQ260="1",BH260,0)</f>
        <v>0</v>
      </c>
      <c r="AC260" s="90">
        <f aca="true" t="shared" si="306" ref="AC260:AC291">IF(AQ260="1",BI260,0)</f>
        <v>0</v>
      </c>
      <c r="AD260" s="90">
        <f aca="true" t="shared" si="307" ref="AD260:AD291">IF(AQ260="7",BH260,0)</f>
        <v>0</v>
      </c>
      <c r="AE260" s="90">
        <f aca="true" t="shared" si="308" ref="AE260:AE291">IF(AQ260="7",BI260,0)</f>
        <v>0</v>
      </c>
      <c r="AF260" s="90">
        <f aca="true" t="shared" si="309" ref="AF260:AF291">IF(AQ260="2",BH260,0)</f>
        <v>0</v>
      </c>
      <c r="AG260" s="90">
        <f aca="true" t="shared" si="310" ref="AG260:AG291">IF(AQ260="2",BI260,0)</f>
        <v>0</v>
      </c>
      <c r="AH260" s="90">
        <f aca="true" t="shared" si="311" ref="AH260:AH291">IF(AQ260="0",BJ260,0)</f>
        <v>0</v>
      </c>
      <c r="AI260" s="154" t="s">
        <v>60</v>
      </c>
      <c r="AJ260" s="90">
        <f aca="true" t="shared" si="312" ref="AJ260:AJ291">IF(AN260=0,J260,0)</f>
        <v>0</v>
      </c>
      <c r="AK260" s="90">
        <f aca="true" t="shared" si="313" ref="AK260:AK291">IF(AN260=15,J260,0)</f>
        <v>0</v>
      </c>
      <c r="AL260" s="90">
        <f aca="true" t="shared" si="314" ref="AL260:AL291">IF(AN260=21,J260,0)</f>
        <v>0</v>
      </c>
      <c r="AN260" s="90">
        <v>21</v>
      </c>
      <c r="AO260" s="90">
        <f aca="true" t="shared" si="315" ref="AO260:AO291">G260*0</f>
        <v>0</v>
      </c>
      <c r="AP260" s="90">
        <f aca="true" t="shared" si="316" ref="AP260:AP291">G260*(1-0)</f>
        <v>0</v>
      </c>
      <c r="AQ260" s="91" t="s">
        <v>85</v>
      </c>
      <c r="AV260" s="90">
        <f aca="true" t="shared" si="317" ref="AV260:AV291">AW260+AX260</f>
        <v>0</v>
      </c>
      <c r="AW260" s="90">
        <f aca="true" t="shared" si="318" ref="AW260:AW291">F260*AO260</f>
        <v>0</v>
      </c>
      <c r="AX260" s="90">
        <f aca="true" t="shared" si="319" ref="AX260:AX291">F260*AP260</f>
        <v>0</v>
      </c>
      <c r="AY260" s="91" t="s">
        <v>642</v>
      </c>
      <c r="AZ260" s="91" t="s">
        <v>1537</v>
      </c>
      <c r="BA260" s="154" t="s">
        <v>1542</v>
      </c>
      <c r="BC260" s="90">
        <f aca="true" t="shared" si="320" ref="BC260:BC291">AW260+AX260</f>
        <v>0</v>
      </c>
      <c r="BD260" s="90">
        <f aca="true" t="shared" si="321" ref="BD260:BD291">G260/(100-BE260)*100</f>
        <v>0</v>
      </c>
      <c r="BE260" s="90">
        <v>0</v>
      </c>
      <c r="BF260" s="90">
        <f aca="true" t="shared" si="322" ref="BF260:BF291">L260</f>
        <v>0</v>
      </c>
      <c r="BH260" s="90">
        <f aca="true" t="shared" si="323" ref="BH260:BH291">F260*AO260</f>
        <v>0</v>
      </c>
      <c r="BI260" s="90">
        <f aca="true" t="shared" si="324" ref="BI260:BI291">F260*AP260</f>
        <v>0</v>
      </c>
      <c r="BJ260" s="90">
        <f aca="true" t="shared" si="325" ref="BJ260:BJ291">F260*G260</f>
        <v>0</v>
      </c>
    </row>
    <row r="261" spans="1:62" ht="12.75">
      <c r="A261" s="88" t="s">
        <v>713</v>
      </c>
      <c r="B261" s="88" t="s">
        <v>60</v>
      </c>
      <c r="C261" s="88" t="s">
        <v>292</v>
      </c>
      <c r="D261" s="88" t="s">
        <v>1249</v>
      </c>
      <c r="E261" s="88" t="s">
        <v>609</v>
      </c>
      <c r="F261" s="90">
        <v>43.5</v>
      </c>
      <c r="G261" s="90">
        <f>'Stavební rozpočet (SO 13)'!G95</f>
        <v>0</v>
      </c>
      <c r="H261" s="90">
        <f t="shared" si="300"/>
        <v>0</v>
      </c>
      <c r="I261" s="90">
        <f t="shared" si="301"/>
        <v>0</v>
      </c>
      <c r="J261" s="90">
        <f t="shared" si="302"/>
        <v>0</v>
      </c>
      <c r="K261" s="90">
        <v>0</v>
      </c>
      <c r="L261" s="90">
        <f t="shared" si="303"/>
        <v>0</v>
      </c>
      <c r="M261" s="91" t="s">
        <v>622</v>
      </c>
      <c r="O261" s="90"/>
      <c r="P261" s="90"/>
      <c r="Z261" s="90">
        <f t="shared" si="304"/>
        <v>0</v>
      </c>
      <c r="AB261" s="90">
        <f t="shared" si="305"/>
        <v>0</v>
      </c>
      <c r="AC261" s="90">
        <f t="shared" si="306"/>
        <v>0</v>
      </c>
      <c r="AD261" s="90">
        <f t="shared" si="307"/>
        <v>0</v>
      </c>
      <c r="AE261" s="90">
        <f t="shared" si="308"/>
        <v>0</v>
      </c>
      <c r="AF261" s="90">
        <f t="shared" si="309"/>
        <v>0</v>
      </c>
      <c r="AG261" s="90">
        <f t="shared" si="310"/>
        <v>0</v>
      </c>
      <c r="AH261" s="90">
        <f t="shared" si="311"/>
        <v>0</v>
      </c>
      <c r="AI261" s="154" t="s">
        <v>60</v>
      </c>
      <c r="AJ261" s="90">
        <f t="shared" si="312"/>
        <v>0</v>
      </c>
      <c r="AK261" s="90">
        <f t="shared" si="313"/>
        <v>0</v>
      </c>
      <c r="AL261" s="90">
        <f t="shared" si="314"/>
        <v>0</v>
      </c>
      <c r="AN261" s="90">
        <v>21</v>
      </c>
      <c r="AO261" s="90">
        <f t="shared" si="315"/>
        <v>0</v>
      </c>
      <c r="AP261" s="90">
        <f t="shared" si="316"/>
        <v>0</v>
      </c>
      <c r="AQ261" s="91" t="s">
        <v>85</v>
      </c>
      <c r="AV261" s="90">
        <f t="shared" si="317"/>
        <v>0</v>
      </c>
      <c r="AW261" s="90">
        <f t="shared" si="318"/>
        <v>0</v>
      </c>
      <c r="AX261" s="90">
        <f t="shared" si="319"/>
        <v>0</v>
      </c>
      <c r="AY261" s="91" t="s">
        <v>642</v>
      </c>
      <c r="AZ261" s="91" t="s">
        <v>1537</v>
      </c>
      <c r="BA261" s="154" t="s">
        <v>1542</v>
      </c>
      <c r="BC261" s="90">
        <f t="shared" si="320"/>
        <v>0</v>
      </c>
      <c r="BD261" s="90">
        <f t="shared" si="321"/>
        <v>0</v>
      </c>
      <c r="BE261" s="90">
        <v>0</v>
      </c>
      <c r="BF261" s="90">
        <f t="shared" si="322"/>
        <v>0</v>
      </c>
      <c r="BH261" s="90">
        <f t="shared" si="323"/>
        <v>0</v>
      </c>
      <c r="BI261" s="90">
        <f t="shared" si="324"/>
        <v>0</v>
      </c>
      <c r="BJ261" s="90">
        <f t="shared" si="325"/>
        <v>0</v>
      </c>
    </row>
    <row r="262" spans="1:62" ht="12.75">
      <c r="A262" s="88" t="s">
        <v>714</v>
      </c>
      <c r="B262" s="88" t="s">
        <v>60</v>
      </c>
      <c r="C262" s="88" t="s">
        <v>293</v>
      </c>
      <c r="D262" s="88" t="s">
        <v>1250</v>
      </c>
      <c r="E262" s="88" t="s">
        <v>609</v>
      </c>
      <c r="F262" s="90">
        <v>5.2</v>
      </c>
      <c r="G262" s="90">
        <f>'Stavební rozpočet (SO 13)'!G96</f>
        <v>0</v>
      </c>
      <c r="H262" s="90">
        <f t="shared" si="300"/>
        <v>0</v>
      </c>
      <c r="I262" s="90">
        <f t="shared" si="301"/>
        <v>0</v>
      </c>
      <c r="J262" s="90">
        <f t="shared" si="302"/>
        <v>0</v>
      </c>
      <c r="K262" s="90">
        <v>0</v>
      </c>
      <c r="L262" s="90">
        <f t="shared" si="303"/>
        <v>0</v>
      </c>
      <c r="M262" s="91" t="s">
        <v>622</v>
      </c>
      <c r="O262" s="90"/>
      <c r="P262" s="90"/>
      <c r="Z262" s="90">
        <f t="shared" si="304"/>
        <v>0</v>
      </c>
      <c r="AB262" s="90">
        <f t="shared" si="305"/>
        <v>0</v>
      </c>
      <c r="AC262" s="90">
        <f t="shared" si="306"/>
        <v>0</v>
      </c>
      <c r="AD262" s="90">
        <f t="shared" si="307"/>
        <v>0</v>
      </c>
      <c r="AE262" s="90">
        <f t="shared" si="308"/>
        <v>0</v>
      </c>
      <c r="AF262" s="90">
        <f t="shared" si="309"/>
        <v>0</v>
      </c>
      <c r="AG262" s="90">
        <f t="shared" si="310"/>
        <v>0</v>
      </c>
      <c r="AH262" s="90">
        <f t="shared" si="311"/>
        <v>0</v>
      </c>
      <c r="AI262" s="154" t="s">
        <v>60</v>
      </c>
      <c r="AJ262" s="90">
        <f t="shared" si="312"/>
        <v>0</v>
      </c>
      <c r="AK262" s="90">
        <f t="shared" si="313"/>
        <v>0</v>
      </c>
      <c r="AL262" s="90">
        <f t="shared" si="314"/>
        <v>0</v>
      </c>
      <c r="AN262" s="90">
        <v>21</v>
      </c>
      <c r="AO262" s="90">
        <f t="shared" si="315"/>
        <v>0</v>
      </c>
      <c r="AP262" s="90">
        <f t="shared" si="316"/>
        <v>0</v>
      </c>
      <c r="AQ262" s="91" t="s">
        <v>85</v>
      </c>
      <c r="AV262" s="90">
        <f t="shared" si="317"/>
        <v>0</v>
      </c>
      <c r="AW262" s="90">
        <f t="shared" si="318"/>
        <v>0</v>
      </c>
      <c r="AX262" s="90">
        <f t="shared" si="319"/>
        <v>0</v>
      </c>
      <c r="AY262" s="91" t="s">
        <v>642</v>
      </c>
      <c r="AZ262" s="91" t="s">
        <v>1537</v>
      </c>
      <c r="BA262" s="154" t="s">
        <v>1542</v>
      </c>
      <c r="BC262" s="90">
        <f t="shared" si="320"/>
        <v>0</v>
      </c>
      <c r="BD262" s="90">
        <f t="shared" si="321"/>
        <v>0</v>
      </c>
      <c r="BE262" s="90">
        <v>0</v>
      </c>
      <c r="BF262" s="90">
        <f t="shared" si="322"/>
        <v>0</v>
      </c>
      <c r="BH262" s="90">
        <f t="shared" si="323"/>
        <v>0</v>
      </c>
      <c r="BI262" s="90">
        <f t="shared" si="324"/>
        <v>0</v>
      </c>
      <c r="BJ262" s="90">
        <f t="shared" si="325"/>
        <v>0</v>
      </c>
    </row>
    <row r="263" spans="1:62" ht="12.75">
      <c r="A263" s="88" t="s">
        <v>715</v>
      </c>
      <c r="B263" s="88" t="s">
        <v>60</v>
      </c>
      <c r="C263" s="88" t="s">
        <v>958</v>
      </c>
      <c r="D263" s="88" t="s">
        <v>1251</v>
      </c>
      <c r="E263" s="88" t="s">
        <v>609</v>
      </c>
      <c r="F263" s="90">
        <v>25.7</v>
      </c>
      <c r="G263" s="90">
        <f>'Stavební rozpočet (SO 13)'!G97</f>
        <v>0</v>
      </c>
      <c r="H263" s="90">
        <f t="shared" si="300"/>
        <v>0</v>
      </c>
      <c r="I263" s="90">
        <f t="shared" si="301"/>
        <v>0</v>
      </c>
      <c r="J263" s="90">
        <f t="shared" si="302"/>
        <v>0</v>
      </c>
      <c r="K263" s="90">
        <v>0</v>
      </c>
      <c r="L263" s="90">
        <f t="shared" si="303"/>
        <v>0</v>
      </c>
      <c r="M263" s="91" t="s">
        <v>622</v>
      </c>
      <c r="O263" s="90"/>
      <c r="P263" s="90"/>
      <c r="Z263" s="90">
        <f t="shared" si="304"/>
        <v>0</v>
      </c>
      <c r="AB263" s="90">
        <f t="shared" si="305"/>
        <v>0</v>
      </c>
      <c r="AC263" s="90">
        <f t="shared" si="306"/>
        <v>0</v>
      </c>
      <c r="AD263" s="90">
        <f t="shared" si="307"/>
        <v>0</v>
      </c>
      <c r="AE263" s="90">
        <f t="shared" si="308"/>
        <v>0</v>
      </c>
      <c r="AF263" s="90">
        <f t="shared" si="309"/>
        <v>0</v>
      </c>
      <c r="AG263" s="90">
        <f t="shared" si="310"/>
        <v>0</v>
      </c>
      <c r="AH263" s="90">
        <f t="shared" si="311"/>
        <v>0</v>
      </c>
      <c r="AI263" s="154" t="s">
        <v>60</v>
      </c>
      <c r="AJ263" s="90">
        <f t="shared" si="312"/>
        <v>0</v>
      </c>
      <c r="AK263" s="90">
        <f t="shared" si="313"/>
        <v>0</v>
      </c>
      <c r="AL263" s="90">
        <f t="shared" si="314"/>
        <v>0</v>
      </c>
      <c r="AN263" s="90">
        <v>21</v>
      </c>
      <c r="AO263" s="90">
        <f t="shared" si="315"/>
        <v>0</v>
      </c>
      <c r="AP263" s="90">
        <f t="shared" si="316"/>
        <v>0</v>
      </c>
      <c r="AQ263" s="91" t="s">
        <v>85</v>
      </c>
      <c r="AV263" s="90">
        <f t="shared" si="317"/>
        <v>0</v>
      </c>
      <c r="AW263" s="90">
        <f t="shared" si="318"/>
        <v>0</v>
      </c>
      <c r="AX263" s="90">
        <f t="shared" si="319"/>
        <v>0</v>
      </c>
      <c r="AY263" s="91" t="s">
        <v>642</v>
      </c>
      <c r="AZ263" s="91" t="s">
        <v>1537</v>
      </c>
      <c r="BA263" s="154" t="s">
        <v>1542</v>
      </c>
      <c r="BC263" s="90">
        <f t="shared" si="320"/>
        <v>0</v>
      </c>
      <c r="BD263" s="90">
        <f t="shared" si="321"/>
        <v>0</v>
      </c>
      <c r="BE263" s="90">
        <v>0</v>
      </c>
      <c r="BF263" s="90">
        <f t="shared" si="322"/>
        <v>0</v>
      </c>
      <c r="BH263" s="90">
        <f t="shared" si="323"/>
        <v>0</v>
      </c>
      <c r="BI263" s="90">
        <f t="shared" si="324"/>
        <v>0</v>
      </c>
      <c r="BJ263" s="90">
        <f t="shared" si="325"/>
        <v>0</v>
      </c>
    </row>
    <row r="264" spans="1:62" ht="12.75">
      <c r="A264" s="88" t="s">
        <v>716</v>
      </c>
      <c r="B264" s="88" t="s">
        <v>60</v>
      </c>
      <c r="C264" s="88" t="s">
        <v>959</v>
      </c>
      <c r="D264" s="88" t="s">
        <v>1252</v>
      </c>
      <c r="E264" s="88" t="s">
        <v>609</v>
      </c>
      <c r="F264" s="90">
        <v>30.7</v>
      </c>
      <c r="G264" s="90">
        <f>'Stavební rozpočet (SO 13)'!G98</f>
        <v>0</v>
      </c>
      <c r="H264" s="90">
        <f t="shared" si="300"/>
        <v>0</v>
      </c>
      <c r="I264" s="90">
        <f t="shared" si="301"/>
        <v>0</v>
      </c>
      <c r="J264" s="90">
        <f t="shared" si="302"/>
        <v>0</v>
      </c>
      <c r="K264" s="90">
        <v>0</v>
      </c>
      <c r="L264" s="90">
        <f t="shared" si="303"/>
        <v>0</v>
      </c>
      <c r="M264" s="91" t="s">
        <v>622</v>
      </c>
      <c r="O264" s="90"/>
      <c r="P264" s="90"/>
      <c r="Z264" s="90">
        <f t="shared" si="304"/>
        <v>0</v>
      </c>
      <c r="AB264" s="90">
        <f t="shared" si="305"/>
        <v>0</v>
      </c>
      <c r="AC264" s="90">
        <f t="shared" si="306"/>
        <v>0</v>
      </c>
      <c r="AD264" s="90">
        <f t="shared" si="307"/>
        <v>0</v>
      </c>
      <c r="AE264" s="90">
        <f t="shared" si="308"/>
        <v>0</v>
      </c>
      <c r="AF264" s="90">
        <f t="shared" si="309"/>
        <v>0</v>
      </c>
      <c r="AG264" s="90">
        <f t="shared" si="310"/>
        <v>0</v>
      </c>
      <c r="AH264" s="90">
        <f t="shared" si="311"/>
        <v>0</v>
      </c>
      <c r="AI264" s="154" t="s">
        <v>60</v>
      </c>
      <c r="AJ264" s="90">
        <f t="shared" si="312"/>
        <v>0</v>
      </c>
      <c r="AK264" s="90">
        <f t="shared" si="313"/>
        <v>0</v>
      </c>
      <c r="AL264" s="90">
        <f t="shared" si="314"/>
        <v>0</v>
      </c>
      <c r="AN264" s="90">
        <v>21</v>
      </c>
      <c r="AO264" s="90">
        <f t="shared" si="315"/>
        <v>0</v>
      </c>
      <c r="AP264" s="90">
        <f t="shared" si="316"/>
        <v>0</v>
      </c>
      <c r="AQ264" s="91" t="s">
        <v>85</v>
      </c>
      <c r="AV264" s="90">
        <f t="shared" si="317"/>
        <v>0</v>
      </c>
      <c r="AW264" s="90">
        <f t="shared" si="318"/>
        <v>0</v>
      </c>
      <c r="AX264" s="90">
        <f t="shared" si="319"/>
        <v>0</v>
      </c>
      <c r="AY264" s="91" t="s">
        <v>642</v>
      </c>
      <c r="AZ264" s="91" t="s">
        <v>1537</v>
      </c>
      <c r="BA264" s="154" t="s">
        <v>1542</v>
      </c>
      <c r="BC264" s="90">
        <f t="shared" si="320"/>
        <v>0</v>
      </c>
      <c r="BD264" s="90">
        <f t="shared" si="321"/>
        <v>0</v>
      </c>
      <c r="BE264" s="90">
        <v>0</v>
      </c>
      <c r="BF264" s="90">
        <f t="shared" si="322"/>
        <v>0</v>
      </c>
      <c r="BH264" s="90">
        <f t="shared" si="323"/>
        <v>0</v>
      </c>
      <c r="BI264" s="90">
        <f t="shared" si="324"/>
        <v>0</v>
      </c>
      <c r="BJ264" s="90">
        <f t="shared" si="325"/>
        <v>0</v>
      </c>
    </row>
    <row r="265" spans="1:62" ht="12.75">
      <c r="A265" s="88" t="s">
        <v>717</v>
      </c>
      <c r="B265" s="88" t="s">
        <v>60</v>
      </c>
      <c r="C265" s="88" t="s">
        <v>960</v>
      </c>
      <c r="D265" s="88" t="s">
        <v>1253</v>
      </c>
      <c r="E265" s="88" t="s">
        <v>609</v>
      </c>
      <c r="F265" s="90">
        <v>15.3</v>
      </c>
      <c r="G265" s="90">
        <f>'Stavební rozpočet (SO 13)'!G99</f>
        <v>0</v>
      </c>
      <c r="H265" s="90">
        <f t="shared" si="300"/>
        <v>0</v>
      </c>
      <c r="I265" s="90">
        <f t="shared" si="301"/>
        <v>0</v>
      </c>
      <c r="J265" s="90">
        <f t="shared" si="302"/>
        <v>0</v>
      </c>
      <c r="K265" s="90">
        <v>0</v>
      </c>
      <c r="L265" s="90">
        <f t="shared" si="303"/>
        <v>0</v>
      </c>
      <c r="M265" s="91" t="s">
        <v>622</v>
      </c>
      <c r="O265" s="90"/>
      <c r="P265" s="90"/>
      <c r="Z265" s="90">
        <f t="shared" si="304"/>
        <v>0</v>
      </c>
      <c r="AB265" s="90">
        <f t="shared" si="305"/>
        <v>0</v>
      </c>
      <c r="AC265" s="90">
        <f t="shared" si="306"/>
        <v>0</v>
      </c>
      <c r="AD265" s="90">
        <f t="shared" si="307"/>
        <v>0</v>
      </c>
      <c r="AE265" s="90">
        <f t="shared" si="308"/>
        <v>0</v>
      </c>
      <c r="AF265" s="90">
        <f t="shared" si="309"/>
        <v>0</v>
      </c>
      <c r="AG265" s="90">
        <f t="shared" si="310"/>
        <v>0</v>
      </c>
      <c r="AH265" s="90">
        <f t="shared" si="311"/>
        <v>0</v>
      </c>
      <c r="AI265" s="154" t="s">
        <v>60</v>
      </c>
      <c r="AJ265" s="90">
        <f t="shared" si="312"/>
        <v>0</v>
      </c>
      <c r="AK265" s="90">
        <f t="shared" si="313"/>
        <v>0</v>
      </c>
      <c r="AL265" s="90">
        <f t="shared" si="314"/>
        <v>0</v>
      </c>
      <c r="AN265" s="90">
        <v>21</v>
      </c>
      <c r="AO265" s="90">
        <f t="shared" si="315"/>
        <v>0</v>
      </c>
      <c r="AP265" s="90">
        <f t="shared" si="316"/>
        <v>0</v>
      </c>
      <c r="AQ265" s="91" t="s">
        <v>85</v>
      </c>
      <c r="AV265" s="90">
        <f t="shared" si="317"/>
        <v>0</v>
      </c>
      <c r="AW265" s="90">
        <f t="shared" si="318"/>
        <v>0</v>
      </c>
      <c r="AX265" s="90">
        <f t="shared" si="319"/>
        <v>0</v>
      </c>
      <c r="AY265" s="91" t="s">
        <v>642</v>
      </c>
      <c r="AZ265" s="91" t="s">
        <v>1537</v>
      </c>
      <c r="BA265" s="154" t="s">
        <v>1542</v>
      </c>
      <c r="BC265" s="90">
        <f t="shared" si="320"/>
        <v>0</v>
      </c>
      <c r="BD265" s="90">
        <f t="shared" si="321"/>
        <v>0</v>
      </c>
      <c r="BE265" s="90">
        <v>0</v>
      </c>
      <c r="BF265" s="90">
        <f t="shared" si="322"/>
        <v>0</v>
      </c>
      <c r="BH265" s="90">
        <f t="shared" si="323"/>
        <v>0</v>
      </c>
      <c r="BI265" s="90">
        <f t="shared" si="324"/>
        <v>0</v>
      </c>
      <c r="BJ265" s="90">
        <f t="shared" si="325"/>
        <v>0</v>
      </c>
    </row>
    <row r="266" spans="1:62" ht="12.75">
      <c r="A266" s="88" t="s">
        <v>718</v>
      </c>
      <c r="B266" s="88" t="s">
        <v>60</v>
      </c>
      <c r="C266" s="88" t="s">
        <v>294</v>
      </c>
      <c r="D266" s="88" t="s">
        <v>1254</v>
      </c>
      <c r="E266" s="88" t="s">
        <v>609</v>
      </c>
      <c r="F266" s="90">
        <v>13.4</v>
      </c>
      <c r="G266" s="90">
        <f>'Stavební rozpočet (SO 13)'!G100</f>
        <v>0</v>
      </c>
      <c r="H266" s="90">
        <f t="shared" si="300"/>
        <v>0</v>
      </c>
      <c r="I266" s="90">
        <f t="shared" si="301"/>
        <v>0</v>
      </c>
      <c r="J266" s="90">
        <f t="shared" si="302"/>
        <v>0</v>
      </c>
      <c r="K266" s="90">
        <v>0</v>
      </c>
      <c r="L266" s="90">
        <f t="shared" si="303"/>
        <v>0</v>
      </c>
      <c r="M266" s="91" t="s">
        <v>622</v>
      </c>
      <c r="O266" s="90"/>
      <c r="P266" s="90"/>
      <c r="Z266" s="90">
        <f t="shared" si="304"/>
        <v>0</v>
      </c>
      <c r="AB266" s="90">
        <f t="shared" si="305"/>
        <v>0</v>
      </c>
      <c r="AC266" s="90">
        <f t="shared" si="306"/>
        <v>0</v>
      </c>
      <c r="AD266" s="90">
        <f t="shared" si="307"/>
        <v>0</v>
      </c>
      <c r="AE266" s="90">
        <f t="shared" si="308"/>
        <v>0</v>
      </c>
      <c r="AF266" s="90">
        <f t="shared" si="309"/>
        <v>0</v>
      </c>
      <c r="AG266" s="90">
        <f t="shared" si="310"/>
        <v>0</v>
      </c>
      <c r="AH266" s="90">
        <f t="shared" si="311"/>
        <v>0</v>
      </c>
      <c r="AI266" s="154" t="s">
        <v>60</v>
      </c>
      <c r="AJ266" s="90">
        <f t="shared" si="312"/>
        <v>0</v>
      </c>
      <c r="AK266" s="90">
        <f t="shared" si="313"/>
        <v>0</v>
      </c>
      <c r="AL266" s="90">
        <f t="shared" si="314"/>
        <v>0</v>
      </c>
      <c r="AN266" s="90">
        <v>21</v>
      </c>
      <c r="AO266" s="90">
        <f t="shared" si="315"/>
        <v>0</v>
      </c>
      <c r="AP266" s="90">
        <f t="shared" si="316"/>
        <v>0</v>
      </c>
      <c r="AQ266" s="91" t="s">
        <v>85</v>
      </c>
      <c r="AV266" s="90">
        <f t="shared" si="317"/>
        <v>0</v>
      </c>
      <c r="AW266" s="90">
        <f t="shared" si="318"/>
        <v>0</v>
      </c>
      <c r="AX266" s="90">
        <f t="shared" si="319"/>
        <v>0</v>
      </c>
      <c r="AY266" s="91" t="s">
        <v>642</v>
      </c>
      <c r="AZ266" s="91" t="s">
        <v>1537</v>
      </c>
      <c r="BA266" s="154" t="s">
        <v>1542</v>
      </c>
      <c r="BC266" s="90">
        <f t="shared" si="320"/>
        <v>0</v>
      </c>
      <c r="BD266" s="90">
        <f t="shared" si="321"/>
        <v>0</v>
      </c>
      <c r="BE266" s="90">
        <v>0</v>
      </c>
      <c r="BF266" s="90">
        <f t="shared" si="322"/>
        <v>0</v>
      </c>
      <c r="BH266" s="90">
        <f t="shared" si="323"/>
        <v>0</v>
      </c>
      <c r="BI266" s="90">
        <f t="shared" si="324"/>
        <v>0</v>
      </c>
      <c r="BJ266" s="90">
        <f t="shared" si="325"/>
        <v>0</v>
      </c>
    </row>
    <row r="267" spans="1:62" ht="12.75">
      <c r="A267" s="88" t="s">
        <v>719</v>
      </c>
      <c r="B267" s="88" t="s">
        <v>60</v>
      </c>
      <c r="C267" s="88" t="s">
        <v>295</v>
      </c>
      <c r="D267" s="88" t="s">
        <v>1255</v>
      </c>
      <c r="E267" s="88" t="s">
        <v>609</v>
      </c>
      <c r="F267" s="90">
        <v>13.2</v>
      </c>
      <c r="G267" s="90">
        <f>'Stavební rozpočet (SO 13)'!G101</f>
        <v>0</v>
      </c>
      <c r="H267" s="90">
        <f t="shared" si="300"/>
        <v>0</v>
      </c>
      <c r="I267" s="90">
        <f t="shared" si="301"/>
        <v>0</v>
      </c>
      <c r="J267" s="90">
        <f t="shared" si="302"/>
        <v>0</v>
      </c>
      <c r="K267" s="90">
        <v>0</v>
      </c>
      <c r="L267" s="90">
        <f t="shared" si="303"/>
        <v>0</v>
      </c>
      <c r="M267" s="91" t="s">
        <v>622</v>
      </c>
      <c r="O267" s="90"/>
      <c r="P267" s="90"/>
      <c r="Z267" s="90">
        <f t="shared" si="304"/>
        <v>0</v>
      </c>
      <c r="AB267" s="90">
        <f t="shared" si="305"/>
        <v>0</v>
      </c>
      <c r="AC267" s="90">
        <f t="shared" si="306"/>
        <v>0</v>
      </c>
      <c r="AD267" s="90">
        <f t="shared" si="307"/>
        <v>0</v>
      </c>
      <c r="AE267" s="90">
        <f t="shared" si="308"/>
        <v>0</v>
      </c>
      <c r="AF267" s="90">
        <f t="shared" si="309"/>
        <v>0</v>
      </c>
      <c r="AG267" s="90">
        <f t="shared" si="310"/>
        <v>0</v>
      </c>
      <c r="AH267" s="90">
        <f t="shared" si="311"/>
        <v>0</v>
      </c>
      <c r="AI267" s="154" t="s">
        <v>60</v>
      </c>
      <c r="AJ267" s="90">
        <f t="shared" si="312"/>
        <v>0</v>
      </c>
      <c r="AK267" s="90">
        <f t="shared" si="313"/>
        <v>0</v>
      </c>
      <c r="AL267" s="90">
        <f t="shared" si="314"/>
        <v>0</v>
      </c>
      <c r="AN267" s="90">
        <v>21</v>
      </c>
      <c r="AO267" s="90">
        <f t="shared" si="315"/>
        <v>0</v>
      </c>
      <c r="AP267" s="90">
        <f t="shared" si="316"/>
        <v>0</v>
      </c>
      <c r="AQ267" s="91" t="s">
        <v>85</v>
      </c>
      <c r="AV267" s="90">
        <f t="shared" si="317"/>
        <v>0</v>
      </c>
      <c r="AW267" s="90">
        <f t="shared" si="318"/>
        <v>0</v>
      </c>
      <c r="AX267" s="90">
        <f t="shared" si="319"/>
        <v>0</v>
      </c>
      <c r="AY267" s="91" t="s">
        <v>642</v>
      </c>
      <c r="AZ267" s="91" t="s">
        <v>1537</v>
      </c>
      <c r="BA267" s="154" t="s">
        <v>1542</v>
      </c>
      <c r="BC267" s="90">
        <f t="shared" si="320"/>
        <v>0</v>
      </c>
      <c r="BD267" s="90">
        <f t="shared" si="321"/>
        <v>0</v>
      </c>
      <c r="BE267" s="90">
        <v>0</v>
      </c>
      <c r="BF267" s="90">
        <f t="shared" si="322"/>
        <v>0</v>
      </c>
      <c r="BH267" s="90">
        <f t="shared" si="323"/>
        <v>0</v>
      </c>
      <c r="BI267" s="90">
        <f t="shared" si="324"/>
        <v>0</v>
      </c>
      <c r="BJ267" s="90">
        <f t="shared" si="325"/>
        <v>0</v>
      </c>
    </row>
    <row r="268" spans="1:62" ht="12.75">
      <c r="A268" s="88" t="s">
        <v>720</v>
      </c>
      <c r="B268" s="88" t="s">
        <v>60</v>
      </c>
      <c r="C268" s="88" t="s">
        <v>296</v>
      </c>
      <c r="D268" s="88" t="s">
        <v>1256</v>
      </c>
      <c r="E268" s="88" t="s">
        <v>609</v>
      </c>
      <c r="F268" s="90">
        <v>33.4</v>
      </c>
      <c r="G268" s="90">
        <f>'Stavební rozpočet (SO 13)'!G102</f>
        <v>0</v>
      </c>
      <c r="H268" s="90">
        <f t="shared" si="300"/>
        <v>0</v>
      </c>
      <c r="I268" s="90">
        <f t="shared" si="301"/>
        <v>0</v>
      </c>
      <c r="J268" s="90">
        <f t="shared" si="302"/>
        <v>0</v>
      </c>
      <c r="K268" s="90">
        <v>0</v>
      </c>
      <c r="L268" s="90">
        <f t="shared" si="303"/>
        <v>0</v>
      </c>
      <c r="M268" s="91" t="s">
        <v>622</v>
      </c>
      <c r="O268" s="90"/>
      <c r="P268" s="90"/>
      <c r="Z268" s="90">
        <f t="shared" si="304"/>
        <v>0</v>
      </c>
      <c r="AB268" s="90">
        <f t="shared" si="305"/>
        <v>0</v>
      </c>
      <c r="AC268" s="90">
        <f t="shared" si="306"/>
        <v>0</v>
      </c>
      <c r="AD268" s="90">
        <f t="shared" si="307"/>
        <v>0</v>
      </c>
      <c r="AE268" s="90">
        <f t="shared" si="308"/>
        <v>0</v>
      </c>
      <c r="AF268" s="90">
        <f t="shared" si="309"/>
        <v>0</v>
      </c>
      <c r="AG268" s="90">
        <f t="shared" si="310"/>
        <v>0</v>
      </c>
      <c r="AH268" s="90">
        <f t="shared" si="311"/>
        <v>0</v>
      </c>
      <c r="AI268" s="154" t="s">
        <v>60</v>
      </c>
      <c r="AJ268" s="90">
        <f t="shared" si="312"/>
        <v>0</v>
      </c>
      <c r="AK268" s="90">
        <f t="shared" si="313"/>
        <v>0</v>
      </c>
      <c r="AL268" s="90">
        <f t="shared" si="314"/>
        <v>0</v>
      </c>
      <c r="AN268" s="90">
        <v>21</v>
      </c>
      <c r="AO268" s="90">
        <f t="shared" si="315"/>
        <v>0</v>
      </c>
      <c r="AP268" s="90">
        <f t="shared" si="316"/>
        <v>0</v>
      </c>
      <c r="AQ268" s="91" t="s">
        <v>85</v>
      </c>
      <c r="AV268" s="90">
        <f t="shared" si="317"/>
        <v>0</v>
      </c>
      <c r="AW268" s="90">
        <f t="shared" si="318"/>
        <v>0</v>
      </c>
      <c r="AX268" s="90">
        <f t="shared" si="319"/>
        <v>0</v>
      </c>
      <c r="AY268" s="91" t="s">
        <v>642</v>
      </c>
      <c r="AZ268" s="91" t="s">
        <v>1537</v>
      </c>
      <c r="BA268" s="154" t="s">
        <v>1542</v>
      </c>
      <c r="BC268" s="90">
        <f t="shared" si="320"/>
        <v>0</v>
      </c>
      <c r="BD268" s="90">
        <f t="shared" si="321"/>
        <v>0</v>
      </c>
      <c r="BE268" s="90">
        <v>0</v>
      </c>
      <c r="BF268" s="90">
        <f t="shared" si="322"/>
        <v>0</v>
      </c>
      <c r="BH268" s="90">
        <f t="shared" si="323"/>
        <v>0</v>
      </c>
      <c r="BI268" s="90">
        <f t="shared" si="324"/>
        <v>0</v>
      </c>
      <c r="BJ268" s="90">
        <f t="shared" si="325"/>
        <v>0</v>
      </c>
    </row>
    <row r="269" spans="1:62" ht="12.75">
      <c r="A269" s="88" t="s">
        <v>721</v>
      </c>
      <c r="B269" s="88" t="s">
        <v>60</v>
      </c>
      <c r="C269" s="88" t="s">
        <v>297</v>
      </c>
      <c r="D269" s="88" t="s">
        <v>1257</v>
      </c>
      <c r="E269" s="88" t="s">
        <v>609</v>
      </c>
      <c r="F269" s="90">
        <v>18.7</v>
      </c>
      <c r="G269" s="90">
        <f>'Stavební rozpočet (SO 13)'!G103</f>
        <v>0</v>
      </c>
      <c r="H269" s="90">
        <f t="shared" si="300"/>
        <v>0</v>
      </c>
      <c r="I269" s="90">
        <f t="shared" si="301"/>
        <v>0</v>
      </c>
      <c r="J269" s="90">
        <f t="shared" si="302"/>
        <v>0</v>
      </c>
      <c r="K269" s="90">
        <v>0</v>
      </c>
      <c r="L269" s="90">
        <f t="shared" si="303"/>
        <v>0</v>
      </c>
      <c r="M269" s="91" t="s">
        <v>622</v>
      </c>
      <c r="O269" s="90"/>
      <c r="P269" s="90"/>
      <c r="Z269" s="90">
        <f t="shared" si="304"/>
        <v>0</v>
      </c>
      <c r="AB269" s="90">
        <f t="shared" si="305"/>
        <v>0</v>
      </c>
      <c r="AC269" s="90">
        <f t="shared" si="306"/>
        <v>0</v>
      </c>
      <c r="AD269" s="90">
        <f t="shared" si="307"/>
        <v>0</v>
      </c>
      <c r="AE269" s="90">
        <f t="shared" si="308"/>
        <v>0</v>
      </c>
      <c r="AF269" s="90">
        <f t="shared" si="309"/>
        <v>0</v>
      </c>
      <c r="AG269" s="90">
        <f t="shared" si="310"/>
        <v>0</v>
      </c>
      <c r="AH269" s="90">
        <f t="shared" si="311"/>
        <v>0</v>
      </c>
      <c r="AI269" s="154" t="s">
        <v>60</v>
      </c>
      <c r="AJ269" s="90">
        <f t="shared" si="312"/>
        <v>0</v>
      </c>
      <c r="AK269" s="90">
        <f t="shared" si="313"/>
        <v>0</v>
      </c>
      <c r="AL269" s="90">
        <f t="shared" si="314"/>
        <v>0</v>
      </c>
      <c r="AN269" s="90">
        <v>21</v>
      </c>
      <c r="AO269" s="90">
        <f t="shared" si="315"/>
        <v>0</v>
      </c>
      <c r="AP269" s="90">
        <f t="shared" si="316"/>
        <v>0</v>
      </c>
      <c r="AQ269" s="91" t="s">
        <v>85</v>
      </c>
      <c r="AV269" s="90">
        <f t="shared" si="317"/>
        <v>0</v>
      </c>
      <c r="AW269" s="90">
        <f t="shared" si="318"/>
        <v>0</v>
      </c>
      <c r="AX269" s="90">
        <f t="shared" si="319"/>
        <v>0</v>
      </c>
      <c r="AY269" s="91" t="s">
        <v>642</v>
      </c>
      <c r="AZ269" s="91" t="s">
        <v>1537</v>
      </c>
      <c r="BA269" s="154" t="s">
        <v>1542</v>
      </c>
      <c r="BC269" s="90">
        <f t="shared" si="320"/>
        <v>0</v>
      </c>
      <c r="BD269" s="90">
        <f t="shared" si="321"/>
        <v>0</v>
      </c>
      <c r="BE269" s="90">
        <v>0</v>
      </c>
      <c r="BF269" s="90">
        <f t="shared" si="322"/>
        <v>0</v>
      </c>
      <c r="BH269" s="90">
        <f t="shared" si="323"/>
        <v>0</v>
      </c>
      <c r="BI269" s="90">
        <f t="shared" si="324"/>
        <v>0</v>
      </c>
      <c r="BJ269" s="90">
        <f t="shared" si="325"/>
        <v>0</v>
      </c>
    </row>
    <row r="270" spans="1:62" ht="12.75">
      <c r="A270" s="88" t="s">
        <v>722</v>
      </c>
      <c r="B270" s="88" t="s">
        <v>60</v>
      </c>
      <c r="C270" s="88" t="s">
        <v>961</v>
      </c>
      <c r="D270" s="88" t="s">
        <v>1258</v>
      </c>
      <c r="E270" s="88" t="s">
        <v>606</v>
      </c>
      <c r="F270" s="90">
        <v>2</v>
      </c>
      <c r="G270" s="90">
        <f>'Stavební rozpočet (SO 13)'!G104</f>
        <v>0</v>
      </c>
      <c r="H270" s="90">
        <f t="shared" si="300"/>
        <v>0</v>
      </c>
      <c r="I270" s="90">
        <f t="shared" si="301"/>
        <v>0</v>
      </c>
      <c r="J270" s="90">
        <f t="shared" si="302"/>
        <v>0</v>
      </c>
      <c r="K270" s="90">
        <v>0</v>
      </c>
      <c r="L270" s="90">
        <f t="shared" si="303"/>
        <v>0</v>
      </c>
      <c r="M270" s="91" t="s">
        <v>622</v>
      </c>
      <c r="O270" s="90"/>
      <c r="P270" s="90"/>
      <c r="Z270" s="90">
        <f t="shared" si="304"/>
        <v>0</v>
      </c>
      <c r="AB270" s="90">
        <f t="shared" si="305"/>
        <v>0</v>
      </c>
      <c r="AC270" s="90">
        <f t="shared" si="306"/>
        <v>0</v>
      </c>
      <c r="AD270" s="90">
        <f t="shared" si="307"/>
        <v>0</v>
      </c>
      <c r="AE270" s="90">
        <f t="shared" si="308"/>
        <v>0</v>
      </c>
      <c r="AF270" s="90">
        <f t="shared" si="309"/>
        <v>0</v>
      </c>
      <c r="AG270" s="90">
        <f t="shared" si="310"/>
        <v>0</v>
      </c>
      <c r="AH270" s="90">
        <f t="shared" si="311"/>
        <v>0</v>
      </c>
      <c r="AI270" s="154" t="s">
        <v>60</v>
      </c>
      <c r="AJ270" s="90">
        <f t="shared" si="312"/>
        <v>0</v>
      </c>
      <c r="AK270" s="90">
        <f t="shared" si="313"/>
        <v>0</v>
      </c>
      <c r="AL270" s="90">
        <f t="shared" si="314"/>
        <v>0</v>
      </c>
      <c r="AN270" s="90">
        <v>21</v>
      </c>
      <c r="AO270" s="90">
        <f t="shared" si="315"/>
        <v>0</v>
      </c>
      <c r="AP270" s="90">
        <f t="shared" si="316"/>
        <v>0</v>
      </c>
      <c r="AQ270" s="91" t="s">
        <v>85</v>
      </c>
      <c r="AV270" s="90">
        <f t="shared" si="317"/>
        <v>0</v>
      </c>
      <c r="AW270" s="90">
        <f t="shared" si="318"/>
        <v>0</v>
      </c>
      <c r="AX270" s="90">
        <f t="shared" si="319"/>
        <v>0</v>
      </c>
      <c r="AY270" s="91" t="s">
        <v>642</v>
      </c>
      <c r="AZ270" s="91" t="s">
        <v>1537</v>
      </c>
      <c r="BA270" s="154" t="s">
        <v>1542</v>
      </c>
      <c r="BC270" s="90">
        <f t="shared" si="320"/>
        <v>0</v>
      </c>
      <c r="BD270" s="90">
        <f t="shared" si="321"/>
        <v>0</v>
      </c>
      <c r="BE270" s="90">
        <v>0</v>
      </c>
      <c r="BF270" s="90">
        <f t="shared" si="322"/>
        <v>0</v>
      </c>
      <c r="BH270" s="90">
        <f t="shared" si="323"/>
        <v>0</v>
      </c>
      <c r="BI270" s="90">
        <f t="shared" si="324"/>
        <v>0</v>
      </c>
      <c r="BJ270" s="90">
        <f t="shared" si="325"/>
        <v>0</v>
      </c>
    </row>
    <row r="271" spans="1:62" ht="12.75">
      <c r="A271" s="88" t="s">
        <v>723</v>
      </c>
      <c r="B271" s="88" t="s">
        <v>60</v>
      </c>
      <c r="C271" s="88" t="s">
        <v>962</v>
      </c>
      <c r="D271" s="88" t="s">
        <v>1259</v>
      </c>
      <c r="E271" s="88" t="s">
        <v>606</v>
      </c>
      <c r="F271" s="90">
        <v>4</v>
      </c>
      <c r="G271" s="90">
        <f>'Stavební rozpočet (SO 13)'!G105</f>
        <v>0</v>
      </c>
      <c r="H271" s="90">
        <f t="shared" si="300"/>
        <v>0</v>
      </c>
      <c r="I271" s="90">
        <f t="shared" si="301"/>
        <v>0</v>
      </c>
      <c r="J271" s="90">
        <f t="shared" si="302"/>
        <v>0</v>
      </c>
      <c r="K271" s="90">
        <v>0</v>
      </c>
      <c r="L271" s="90">
        <f t="shared" si="303"/>
        <v>0</v>
      </c>
      <c r="M271" s="91" t="s">
        <v>622</v>
      </c>
      <c r="O271" s="90"/>
      <c r="P271" s="90"/>
      <c r="Z271" s="90">
        <f t="shared" si="304"/>
        <v>0</v>
      </c>
      <c r="AB271" s="90">
        <f t="shared" si="305"/>
        <v>0</v>
      </c>
      <c r="AC271" s="90">
        <f t="shared" si="306"/>
        <v>0</v>
      </c>
      <c r="AD271" s="90">
        <f t="shared" si="307"/>
        <v>0</v>
      </c>
      <c r="AE271" s="90">
        <f t="shared" si="308"/>
        <v>0</v>
      </c>
      <c r="AF271" s="90">
        <f t="shared" si="309"/>
        <v>0</v>
      </c>
      <c r="AG271" s="90">
        <f t="shared" si="310"/>
        <v>0</v>
      </c>
      <c r="AH271" s="90">
        <f t="shared" si="311"/>
        <v>0</v>
      </c>
      <c r="AI271" s="154" t="s">
        <v>60</v>
      </c>
      <c r="AJ271" s="90">
        <f t="shared" si="312"/>
        <v>0</v>
      </c>
      <c r="AK271" s="90">
        <f t="shared" si="313"/>
        <v>0</v>
      </c>
      <c r="AL271" s="90">
        <f t="shared" si="314"/>
        <v>0</v>
      </c>
      <c r="AN271" s="90">
        <v>21</v>
      </c>
      <c r="AO271" s="90">
        <f t="shared" si="315"/>
        <v>0</v>
      </c>
      <c r="AP271" s="90">
        <f t="shared" si="316"/>
        <v>0</v>
      </c>
      <c r="AQ271" s="91" t="s">
        <v>85</v>
      </c>
      <c r="AV271" s="90">
        <f t="shared" si="317"/>
        <v>0</v>
      </c>
      <c r="AW271" s="90">
        <f t="shared" si="318"/>
        <v>0</v>
      </c>
      <c r="AX271" s="90">
        <f t="shared" si="319"/>
        <v>0</v>
      </c>
      <c r="AY271" s="91" t="s">
        <v>642</v>
      </c>
      <c r="AZ271" s="91" t="s">
        <v>1537</v>
      </c>
      <c r="BA271" s="154" t="s">
        <v>1542</v>
      </c>
      <c r="BC271" s="90">
        <f t="shared" si="320"/>
        <v>0</v>
      </c>
      <c r="BD271" s="90">
        <f t="shared" si="321"/>
        <v>0</v>
      </c>
      <c r="BE271" s="90">
        <v>0</v>
      </c>
      <c r="BF271" s="90">
        <f t="shared" si="322"/>
        <v>0</v>
      </c>
      <c r="BH271" s="90">
        <f t="shared" si="323"/>
        <v>0</v>
      </c>
      <c r="BI271" s="90">
        <f t="shared" si="324"/>
        <v>0</v>
      </c>
      <c r="BJ271" s="90">
        <f t="shared" si="325"/>
        <v>0</v>
      </c>
    </row>
    <row r="272" spans="1:62" ht="12.75">
      <c r="A272" s="88" t="s">
        <v>724</v>
      </c>
      <c r="B272" s="88" t="s">
        <v>60</v>
      </c>
      <c r="C272" s="88" t="s">
        <v>963</v>
      </c>
      <c r="D272" s="88" t="s">
        <v>1260</v>
      </c>
      <c r="E272" s="88" t="s">
        <v>606</v>
      </c>
      <c r="F272" s="90">
        <v>6</v>
      </c>
      <c r="G272" s="90">
        <f>'Stavební rozpočet (SO 13)'!G106</f>
        <v>0</v>
      </c>
      <c r="H272" s="90">
        <f t="shared" si="300"/>
        <v>0</v>
      </c>
      <c r="I272" s="90">
        <f t="shared" si="301"/>
        <v>0</v>
      </c>
      <c r="J272" s="90">
        <f t="shared" si="302"/>
        <v>0</v>
      </c>
      <c r="K272" s="90">
        <v>0</v>
      </c>
      <c r="L272" s="90">
        <f t="shared" si="303"/>
        <v>0</v>
      </c>
      <c r="M272" s="91" t="s">
        <v>622</v>
      </c>
      <c r="O272" s="90"/>
      <c r="P272" s="90"/>
      <c r="Z272" s="90">
        <f t="shared" si="304"/>
        <v>0</v>
      </c>
      <c r="AB272" s="90">
        <f t="shared" si="305"/>
        <v>0</v>
      </c>
      <c r="AC272" s="90">
        <f t="shared" si="306"/>
        <v>0</v>
      </c>
      <c r="AD272" s="90">
        <f t="shared" si="307"/>
        <v>0</v>
      </c>
      <c r="AE272" s="90">
        <f t="shared" si="308"/>
        <v>0</v>
      </c>
      <c r="AF272" s="90">
        <f t="shared" si="309"/>
        <v>0</v>
      </c>
      <c r="AG272" s="90">
        <f t="shared" si="310"/>
        <v>0</v>
      </c>
      <c r="AH272" s="90">
        <f t="shared" si="311"/>
        <v>0</v>
      </c>
      <c r="AI272" s="154" t="s">
        <v>60</v>
      </c>
      <c r="AJ272" s="90">
        <f t="shared" si="312"/>
        <v>0</v>
      </c>
      <c r="AK272" s="90">
        <f t="shared" si="313"/>
        <v>0</v>
      </c>
      <c r="AL272" s="90">
        <f t="shared" si="314"/>
        <v>0</v>
      </c>
      <c r="AN272" s="90">
        <v>21</v>
      </c>
      <c r="AO272" s="90">
        <f t="shared" si="315"/>
        <v>0</v>
      </c>
      <c r="AP272" s="90">
        <f t="shared" si="316"/>
        <v>0</v>
      </c>
      <c r="AQ272" s="91" t="s">
        <v>85</v>
      </c>
      <c r="AV272" s="90">
        <f t="shared" si="317"/>
        <v>0</v>
      </c>
      <c r="AW272" s="90">
        <f t="shared" si="318"/>
        <v>0</v>
      </c>
      <c r="AX272" s="90">
        <f t="shared" si="319"/>
        <v>0</v>
      </c>
      <c r="AY272" s="91" t="s">
        <v>642</v>
      </c>
      <c r="AZ272" s="91" t="s">
        <v>1537</v>
      </c>
      <c r="BA272" s="154" t="s">
        <v>1542</v>
      </c>
      <c r="BC272" s="90">
        <f t="shared" si="320"/>
        <v>0</v>
      </c>
      <c r="BD272" s="90">
        <f t="shared" si="321"/>
        <v>0</v>
      </c>
      <c r="BE272" s="90">
        <v>0</v>
      </c>
      <c r="BF272" s="90">
        <f t="shared" si="322"/>
        <v>0</v>
      </c>
      <c r="BH272" s="90">
        <f t="shared" si="323"/>
        <v>0</v>
      </c>
      <c r="BI272" s="90">
        <f t="shared" si="324"/>
        <v>0</v>
      </c>
      <c r="BJ272" s="90">
        <f t="shared" si="325"/>
        <v>0</v>
      </c>
    </row>
    <row r="273" spans="1:62" ht="12.75">
      <c r="A273" s="88" t="s">
        <v>725</v>
      </c>
      <c r="B273" s="88" t="s">
        <v>60</v>
      </c>
      <c r="C273" s="88" t="s">
        <v>964</v>
      </c>
      <c r="D273" s="88" t="s">
        <v>1261</v>
      </c>
      <c r="E273" s="88" t="s">
        <v>606</v>
      </c>
      <c r="F273" s="90">
        <v>12</v>
      </c>
      <c r="G273" s="90">
        <f>'Stavební rozpočet (SO 13)'!G107</f>
        <v>0</v>
      </c>
      <c r="H273" s="90">
        <f t="shared" si="300"/>
        <v>0</v>
      </c>
      <c r="I273" s="90">
        <f t="shared" si="301"/>
        <v>0</v>
      </c>
      <c r="J273" s="90">
        <f t="shared" si="302"/>
        <v>0</v>
      </c>
      <c r="K273" s="90">
        <v>0</v>
      </c>
      <c r="L273" s="90">
        <f t="shared" si="303"/>
        <v>0</v>
      </c>
      <c r="M273" s="91" t="s">
        <v>622</v>
      </c>
      <c r="O273" s="90"/>
      <c r="P273" s="90"/>
      <c r="Z273" s="90">
        <f t="shared" si="304"/>
        <v>0</v>
      </c>
      <c r="AB273" s="90">
        <f t="shared" si="305"/>
        <v>0</v>
      </c>
      <c r="AC273" s="90">
        <f t="shared" si="306"/>
        <v>0</v>
      </c>
      <c r="AD273" s="90">
        <f t="shared" si="307"/>
        <v>0</v>
      </c>
      <c r="AE273" s="90">
        <f t="shared" si="308"/>
        <v>0</v>
      </c>
      <c r="AF273" s="90">
        <f t="shared" si="309"/>
        <v>0</v>
      </c>
      <c r="AG273" s="90">
        <f t="shared" si="310"/>
        <v>0</v>
      </c>
      <c r="AH273" s="90">
        <f t="shared" si="311"/>
        <v>0</v>
      </c>
      <c r="AI273" s="154" t="s">
        <v>60</v>
      </c>
      <c r="AJ273" s="90">
        <f t="shared" si="312"/>
        <v>0</v>
      </c>
      <c r="AK273" s="90">
        <f t="shared" si="313"/>
        <v>0</v>
      </c>
      <c r="AL273" s="90">
        <f t="shared" si="314"/>
        <v>0</v>
      </c>
      <c r="AN273" s="90">
        <v>21</v>
      </c>
      <c r="AO273" s="90">
        <f t="shared" si="315"/>
        <v>0</v>
      </c>
      <c r="AP273" s="90">
        <f t="shared" si="316"/>
        <v>0</v>
      </c>
      <c r="AQ273" s="91" t="s">
        <v>85</v>
      </c>
      <c r="AV273" s="90">
        <f t="shared" si="317"/>
        <v>0</v>
      </c>
      <c r="AW273" s="90">
        <f t="shared" si="318"/>
        <v>0</v>
      </c>
      <c r="AX273" s="90">
        <f t="shared" si="319"/>
        <v>0</v>
      </c>
      <c r="AY273" s="91" t="s">
        <v>642</v>
      </c>
      <c r="AZ273" s="91" t="s">
        <v>1537</v>
      </c>
      <c r="BA273" s="154" t="s">
        <v>1542</v>
      </c>
      <c r="BC273" s="90">
        <f t="shared" si="320"/>
        <v>0</v>
      </c>
      <c r="BD273" s="90">
        <f t="shared" si="321"/>
        <v>0</v>
      </c>
      <c r="BE273" s="90">
        <v>0</v>
      </c>
      <c r="BF273" s="90">
        <f t="shared" si="322"/>
        <v>0</v>
      </c>
      <c r="BH273" s="90">
        <f t="shared" si="323"/>
        <v>0</v>
      </c>
      <c r="BI273" s="90">
        <f t="shared" si="324"/>
        <v>0</v>
      </c>
      <c r="BJ273" s="90">
        <f t="shared" si="325"/>
        <v>0</v>
      </c>
    </row>
    <row r="274" spans="1:62" ht="12.75">
      <c r="A274" s="88" t="s">
        <v>726</v>
      </c>
      <c r="B274" s="88" t="s">
        <v>60</v>
      </c>
      <c r="C274" s="88" t="s">
        <v>965</v>
      </c>
      <c r="D274" s="88" t="s">
        <v>1262</v>
      </c>
      <c r="E274" s="88" t="s">
        <v>606</v>
      </c>
      <c r="F274" s="90">
        <v>1</v>
      </c>
      <c r="G274" s="90">
        <f>'Stavební rozpočet (SO 13)'!G108</f>
        <v>0</v>
      </c>
      <c r="H274" s="90">
        <f t="shared" si="300"/>
        <v>0</v>
      </c>
      <c r="I274" s="90">
        <f t="shared" si="301"/>
        <v>0</v>
      </c>
      <c r="J274" s="90">
        <f t="shared" si="302"/>
        <v>0</v>
      </c>
      <c r="K274" s="90">
        <v>0</v>
      </c>
      <c r="L274" s="90">
        <f t="shared" si="303"/>
        <v>0</v>
      </c>
      <c r="M274" s="91" t="s">
        <v>622</v>
      </c>
      <c r="O274" s="90"/>
      <c r="P274" s="90"/>
      <c r="Z274" s="90">
        <f t="shared" si="304"/>
        <v>0</v>
      </c>
      <c r="AB274" s="90">
        <f t="shared" si="305"/>
        <v>0</v>
      </c>
      <c r="AC274" s="90">
        <f t="shared" si="306"/>
        <v>0</v>
      </c>
      <c r="AD274" s="90">
        <f t="shared" si="307"/>
        <v>0</v>
      </c>
      <c r="AE274" s="90">
        <f t="shared" si="308"/>
        <v>0</v>
      </c>
      <c r="AF274" s="90">
        <f t="shared" si="309"/>
        <v>0</v>
      </c>
      <c r="AG274" s="90">
        <f t="shared" si="310"/>
        <v>0</v>
      </c>
      <c r="AH274" s="90">
        <f t="shared" si="311"/>
        <v>0</v>
      </c>
      <c r="AI274" s="154" t="s">
        <v>60</v>
      </c>
      <c r="AJ274" s="90">
        <f t="shared" si="312"/>
        <v>0</v>
      </c>
      <c r="AK274" s="90">
        <f t="shared" si="313"/>
        <v>0</v>
      </c>
      <c r="AL274" s="90">
        <f t="shared" si="314"/>
        <v>0</v>
      </c>
      <c r="AN274" s="90">
        <v>21</v>
      </c>
      <c r="AO274" s="90">
        <f t="shared" si="315"/>
        <v>0</v>
      </c>
      <c r="AP274" s="90">
        <f t="shared" si="316"/>
        <v>0</v>
      </c>
      <c r="AQ274" s="91" t="s">
        <v>85</v>
      </c>
      <c r="AV274" s="90">
        <f t="shared" si="317"/>
        <v>0</v>
      </c>
      <c r="AW274" s="90">
        <f t="shared" si="318"/>
        <v>0</v>
      </c>
      <c r="AX274" s="90">
        <f t="shared" si="319"/>
        <v>0</v>
      </c>
      <c r="AY274" s="91" t="s">
        <v>642</v>
      </c>
      <c r="AZ274" s="91" t="s">
        <v>1537</v>
      </c>
      <c r="BA274" s="154" t="s">
        <v>1542</v>
      </c>
      <c r="BC274" s="90">
        <f t="shared" si="320"/>
        <v>0</v>
      </c>
      <c r="BD274" s="90">
        <f t="shared" si="321"/>
        <v>0</v>
      </c>
      <c r="BE274" s="90">
        <v>0</v>
      </c>
      <c r="BF274" s="90">
        <f t="shared" si="322"/>
        <v>0</v>
      </c>
      <c r="BH274" s="90">
        <f t="shared" si="323"/>
        <v>0</v>
      </c>
      <c r="BI274" s="90">
        <f t="shared" si="324"/>
        <v>0</v>
      </c>
      <c r="BJ274" s="90">
        <f t="shared" si="325"/>
        <v>0</v>
      </c>
    </row>
    <row r="275" spans="1:62" ht="12.75">
      <c r="A275" s="88" t="s">
        <v>727</v>
      </c>
      <c r="B275" s="88" t="s">
        <v>60</v>
      </c>
      <c r="C275" s="88" t="s">
        <v>966</v>
      </c>
      <c r="D275" s="88" t="s">
        <v>1263</v>
      </c>
      <c r="E275" s="88" t="s">
        <v>606</v>
      </c>
      <c r="F275" s="90">
        <v>6</v>
      </c>
      <c r="G275" s="90">
        <f>'Stavební rozpočet (SO 13)'!G109</f>
        <v>0</v>
      </c>
      <c r="H275" s="90">
        <f t="shared" si="300"/>
        <v>0</v>
      </c>
      <c r="I275" s="90">
        <f t="shared" si="301"/>
        <v>0</v>
      </c>
      <c r="J275" s="90">
        <f t="shared" si="302"/>
        <v>0</v>
      </c>
      <c r="K275" s="90">
        <v>0</v>
      </c>
      <c r="L275" s="90">
        <f t="shared" si="303"/>
        <v>0</v>
      </c>
      <c r="M275" s="91" t="s">
        <v>622</v>
      </c>
      <c r="O275" s="90"/>
      <c r="P275" s="90"/>
      <c r="Z275" s="90">
        <f t="shared" si="304"/>
        <v>0</v>
      </c>
      <c r="AB275" s="90">
        <f t="shared" si="305"/>
        <v>0</v>
      </c>
      <c r="AC275" s="90">
        <f t="shared" si="306"/>
        <v>0</v>
      </c>
      <c r="AD275" s="90">
        <f t="shared" si="307"/>
        <v>0</v>
      </c>
      <c r="AE275" s="90">
        <f t="shared" si="308"/>
        <v>0</v>
      </c>
      <c r="AF275" s="90">
        <f t="shared" si="309"/>
        <v>0</v>
      </c>
      <c r="AG275" s="90">
        <f t="shared" si="310"/>
        <v>0</v>
      </c>
      <c r="AH275" s="90">
        <f t="shared" si="311"/>
        <v>0</v>
      </c>
      <c r="AI275" s="154" t="s">
        <v>60</v>
      </c>
      <c r="AJ275" s="90">
        <f t="shared" si="312"/>
        <v>0</v>
      </c>
      <c r="AK275" s="90">
        <f t="shared" si="313"/>
        <v>0</v>
      </c>
      <c r="AL275" s="90">
        <f t="shared" si="314"/>
        <v>0</v>
      </c>
      <c r="AN275" s="90">
        <v>21</v>
      </c>
      <c r="AO275" s="90">
        <f t="shared" si="315"/>
        <v>0</v>
      </c>
      <c r="AP275" s="90">
        <f t="shared" si="316"/>
        <v>0</v>
      </c>
      <c r="AQ275" s="91" t="s">
        <v>85</v>
      </c>
      <c r="AV275" s="90">
        <f t="shared" si="317"/>
        <v>0</v>
      </c>
      <c r="AW275" s="90">
        <f t="shared" si="318"/>
        <v>0</v>
      </c>
      <c r="AX275" s="90">
        <f t="shared" si="319"/>
        <v>0</v>
      </c>
      <c r="AY275" s="91" t="s">
        <v>642</v>
      </c>
      <c r="AZ275" s="91" t="s">
        <v>1537</v>
      </c>
      <c r="BA275" s="154" t="s">
        <v>1542</v>
      </c>
      <c r="BC275" s="90">
        <f t="shared" si="320"/>
        <v>0</v>
      </c>
      <c r="BD275" s="90">
        <f t="shared" si="321"/>
        <v>0</v>
      </c>
      <c r="BE275" s="90">
        <v>0</v>
      </c>
      <c r="BF275" s="90">
        <f t="shared" si="322"/>
        <v>0</v>
      </c>
      <c r="BH275" s="90">
        <f t="shared" si="323"/>
        <v>0</v>
      </c>
      <c r="BI275" s="90">
        <f t="shared" si="324"/>
        <v>0</v>
      </c>
      <c r="BJ275" s="90">
        <f t="shared" si="325"/>
        <v>0</v>
      </c>
    </row>
    <row r="276" spans="1:62" ht="12.75">
      <c r="A276" s="88" t="s">
        <v>728</v>
      </c>
      <c r="B276" s="88" t="s">
        <v>60</v>
      </c>
      <c r="C276" s="88" t="s">
        <v>967</v>
      </c>
      <c r="D276" s="88" t="s">
        <v>1264</v>
      </c>
      <c r="E276" s="88" t="s">
        <v>606</v>
      </c>
      <c r="F276" s="90">
        <v>1</v>
      </c>
      <c r="G276" s="90">
        <f>'Stavební rozpočet (SO 13)'!G110</f>
        <v>0</v>
      </c>
      <c r="H276" s="90">
        <f t="shared" si="300"/>
        <v>0</v>
      </c>
      <c r="I276" s="90">
        <f t="shared" si="301"/>
        <v>0</v>
      </c>
      <c r="J276" s="90">
        <f t="shared" si="302"/>
        <v>0</v>
      </c>
      <c r="K276" s="90">
        <v>0</v>
      </c>
      <c r="L276" s="90">
        <f t="shared" si="303"/>
        <v>0</v>
      </c>
      <c r="M276" s="91" t="s">
        <v>622</v>
      </c>
      <c r="O276" s="90"/>
      <c r="P276" s="90"/>
      <c r="Z276" s="90">
        <f t="shared" si="304"/>
        <v>0</v>
      </c>
      <c r="AB276" s="90">
        <f t="shared" si="305"/>
        <v>0</v>
      </c>
      <c r="AC276" s="90">
        <f t="shared" si="306"/>
        <v>0</v>
      </c>
      <c r="AD276" s="90">
        <f t="shared" si="307"/>
        <v>0</v>
      </c>
      <c r="AE276" s="90">
        <f t="shared" si="308"/>
        <v>0</v>
      </c>
      <c r="AF276" s="90">
        <f t="shared" si="309"/>
        <v>0</v>
      </c>
      <c r="AG276" s="90">
        <f t="shared" si="310"/>
        <v>0</v>
      </c>
      <c r="AH276" s="90">
        <f t="shared" si="311"/>
        <v>0</v>
      </c>
      <c r="AI276" s="154" t="s">
        <v>60</v>
      </c>
      <c r="AJ276" s="90">
        <f t="shared" si="312"/>
        <v>0</v>
      </c>
      <c r="AK276" s="90">
        <f t="shared" si="313"/>
        <v>0</v>
      </c>
      <c r="AL276" s="90">
        <f t="shared" si="314"/>
        <v>0</v>
      </c>
      <c r="AN276" s="90">
        <v>21</v>
      </c>
      <c r="AO276" s="90">
        <f t="shared" si="315"/>
        <v>0</v>
      </c>
      <c r="AP276" s="90">
        <f t="shared" si="316"/>
        <v>0</v>
      </c>
      <c r="AQ276" s="91" t="s">
        <v>85</v>
      </c>
      <c r="AV276" s="90">
        <f t="shared" si="317"/>
        <v>0</v>
      </c>
      <c r="AW276" s="90">
        <f t="shared" si="318"/>
        <v>0</v>
      </c>
      <c r="AX276" s="90">
        <f t="shared" si="319"/>
        <v>0</v>
      </c>
      <c r="AY276" s="91" t="s">
        <v>642</v>
      </c>
      <c r="AZ276" s="91" t="s">
        <v>1537</v>
      </c>
      <c r="BA276" s="154" t="s">
        <v>1542</v>
      </c>
      <c r="BC276" s="90">
        <f t="shared" si="320"/>
        <v>0</v>
      </c>
      <c r="BD276" s="90">
        <f t="shared" si="321"/>
        <v>0</v>
      </c>
      <c r="BE276" s="90">
        <v>0</v>
      </c>
      <c r="BF276" s="90">
        <f t="shared" si="322"/>
        <v>0</v>
      </c>
      <c r="BH276" s="90">
        <f t="shared" si="323"/>
        <v>0</v>
      </c>
      <c r="BI276" s="90">
        <f t="shared" si="324"/>
        <v>0</v>
      </c>
      <c r="BJ276" s="90">
        <f t="shared" si="325"/>
        <v>0</v>
      </c>
    </row>
    <row r="277" spans="1:62" ht="12.75">
      <c r="A277" s="88" t="s">
        <v>729</v>
      </c>
      <c r="B277" s="88" t="s">
        <v>60</v>
      </c>
      <c r="C277" s="88" t="s">
        <v>968</v>
      </c>
      <c r="D277" s="88" t="s">
        <v>1265</v>
      </c>
      <c r="E277" s="88" t="s">
        <v>606</v>
      </c>
      <c r="F277" s="90">
        <v>0</v>
      </c>
      <c r="G277" s="90">
        <f>'Stavební rozpočet (SO 13)'!G111</f>
        <v>0</v>
      </c>
      <c r="H277" s="90">
        <f t="shared" si="300"/>
        <v>0</v>
      </c>
      <c r="I277" s="90">
        <f t="shared" si="301"/>
        <v>0</v>
      </c>
      <c r="J277" s="90">
        <f t="shared" si="302"/>
        <v>0</v>
      </c>
      <c r="K277" s="90">
        <v>0</v>
      </c>
      <c r="L277" s="90">
        <f t="shared" si="303"/>
        <v>0</v>
      </c>
      <c r="M277" s="91" t="s">
        <v>622</v>
      </c>
      <c r="O277" s="90"/>
      <c r="P277" s="90"/>
      <c r="Z277" s="90">
        <f t="shared" si="304"/>
        <v>0</v>
      </c>
      <c r="AB277" s="90">
        <f t="shared" si="305"/>
        <v>0</v>
      </c>
      <c r="AC277" s="90">
        <f t="shared" si="306"/>
        <v>0</v>
      </c>
      <c r="AD277" s="90">
        <f t="shared" si="307"/>
        <v>0</v>
      </c>
      <c r="AE277" s="90">
        <f t="shared" si="308"/>
        <v>0</v>
      </c>
      <c r="AF277" s="90">
        <f t="shared" si="309"/>
        <v>0</v>
      </c>
      <c r="AG277" s="90">
        <f t="shared" si="310"/>
        <v>0</v>
      </c>
      <c r="AH277" s="90">
        <f t="shared" si="311"/>
        <v>0</v>
      </c>
      <c r="AI277" s="154" t="s">
        <v>60</v>
      </c>
      <c r="AJ277" s="90">
        <f t="shared" si="312"/>
        <v>0</v>
      </c>
      <c r="AK277" s="90">
        <f t="shared" si="313"/>
        <v>0</v>
      </c>
      <c r="AL277" s="90">
        <f t="shared" si="314"/>
        <v>0</v>
      </c>
      <c r="AN277" s="90">
        <v>21</v>
      </c>
      <c r="AO277" s="90">
        <f t="shared" si="315"/>
        <v>0</v>
      </c>
      <c r="AP277" s="90">
        <f t="shared" si="316"/>
        <v>0</v>
      </c>
      <c r="AQ277" s="91" t="s">
        <v>85</v>
      </c>
      <c r="AV277" s="90">
        <f t="shared" si="317"/>
        <v>0</v>
      </c>
      <c r="AW277" s="90">
        <f t="shared" si="318"/>
        <v>0</v>
      </c>
      <c r="AX277" s="90">
        <f t="shared" si="319"/>
        <v>0</v>
      </c>
      <c r="AY277" s="91" t="s">
        <v>642</v>
      </c>
      <c r="AZ277" s="91" t="s">
        <v>1537</v>
      </c>
      <c r="BA277" s="154" t="s">
        <v>1542</v>
      </c>
      <c r="BC277" s="90">
        <f t="shared" si="320"/>
        <v>0</v>
      </c>
      <c r="BD277" s="90">
        <f t="shared" si="321"/>
        <v>0</v>
      </c>
      <c r="BE277" s="90">
        <v>0</v>
      </c>
      <c r="BF277" s="90">
        <f t="shared" si="322"/>
        <v>0</v>
      </c>
      <c r="BH277" s="90">
        <f t="shared" si="323"/>
        <v>0</v>
      </c>
      <c r="BI277" s="90">
        <f t="shared" si="324"/>
        <v>0</v>
      </c>
      <c r="BJ277" s="90">
        <f t="shared" si="325"/>
        <v>0</v>
      </c>
    </row>
    <row r="278" spans="1:62" ht="12.75">
      <c r="A278" s="88" t="s">
        <v>730</v>
      </c>
      <c r="B278" s="88" t="s">
        <v>60</v>
      </c>
      <c r="C278" s="88" t="s">
        <v>969</v>
      </c>
      <c r="D278" s="88" t="s">
        <v>1266</v>
      </c>
      <c r="E278" s="88" t="s">
        <v>606</v>
      </c>
      <c r="F278" s="90">
        <v>1</v>
      </c>
      <c r="G278" s="90">
        <f>'Stavební rozpočet (SO 13)'!G112</f>
        <v>0</v>
      </c>
      <c r="H278" s="90">
        <f t="shared" si="300"/>
        <v>0</v>
      </c>
      <c r="I278" s="90">
        <f t="shared" si="301"/>
        <v>0</v>
      </c>
      <c r="J278" s="90">
        <f t="shared" si="302"/>
        <v>0</v>
      </c>
      <c r="K278" s="90">
        <v>0</v>
      </c>
      <c r="L278" s="90">
        <f t="shared" si="303"/>
        <v>0</v>
      </c>
      <c r="M278" s="91" t="s">
        <v>622</v>
      </c>
      <c r="O278" s="90"/>
      <c r="P278" s="90"/>
      <c r="Z278" s="90">
        <f t="shared" si="304"/>
        <v>0</v>
      </c>
      <c r="AB278" s="90">
        <f t="shared" si="305"/>
        <v>0</v>
      </c>
      <c r="AC278" s="90">
        <f t="shared" si="306"/>
        <v>0</v>
      </c>
      <c r="AD278" s="90">
        <f t="shared" si="307"/>
        <v>0</v>
      </c>
      <c r="AE278" s="90">
        <f t="shared" si="308"/>
        <v>0</v>
      </c>
      <c r="AF278" s="90">
        <f t="shared" si="309"/>
        <v>0</v>
      </c>
      <c r="AG278" s="90">
        <f t="shared" si="310"/>
        <v>0</v>
      </c>
      <c r="AH278" s="90">
        <f t="shared" si="311"/>
        <v>0</v>
      </c>
      <c r="AI278" s="154" t="s">
        <v>60</v>
      </c>
      <c r="AJ278" s="90">
        <f t="shared" si="312"/>
        <v>0</v>
      </c>
      <c r="AK278" s="90">
        <f t="shared" si="313"/>
        <v>0</v>
      </c>
      <c r="AL278" s="90">
        <f t="shared" si="314"/>
        <v>0</v>
      </c>
      <c r="AN278" s="90">
        <v>21</v>
      </c>
      <c r="AO278" s="90">
        <f t="shared" si="315"/>
        <v>0</v>
      </c>
      <c r="AP278" s="90">
        <f t="shared" si="316"/>
        <v>0</v>
      </c>
      <c r="AQ278" s="91" t="s">
        <v>85</v>
      </c>
      <c r="AV278" s="90">
        <f t="shared" si="317"/>
        <v>0</v>
      </c>
      <c r="AW278" s="90">
        <f t="shared" si="318"/>
        <v>0</v>
      </c>
      <c r="AX278" s="90">
        <f t="shared" si="319"/>
        <v>0</v>
      </c>
      <c r="AY278" s="91" t="s">
        <v>642</v>
      </c>
      <c r="AZ278" s="91" t="s">
        <v>1537</v>
      </c>
      <c r="BA278" s="154" t="s">
        <v>1542</v>
      </c>
      <c r="BC278" s="90">
        <f t="shared" si="320"/>
        <v>0</v>
      </c>
      <c r="BD278" s="90">
        <f t="shared" si="321"/>
        <v>0</v>
      </c>
      <c r="BE278" s="90">
        <v>0</v>
      </c>
      <c r="BF278" s="90">
        <f t="shared" si="322"/>
        <v>0</v>
      </c>
      <c r="BH278" s="90">
        <f t="shared" si="323"/>
        <v>0</v>
      </c>
      <c r="BI278" s="90">
        <f t="shared" si="324"/>
        <v>0</v>
      </c>
      <c r="BJ278" s="90">
        <f t="shared" si="325"/>
        <v>0</v>
      </c>
    </row>
    <row r="279" spans="1:62" ht="12.75">
      <c r="A279" s="88" t="s">
        <v>731</v>
      </c>
      <c r="B279" s="88" t="s">
        <v>60</v>
      </c>
      <c r="C279" s="88" t="s">
        <v>970</v>
      </c>
      <c r="D279" s="88" t="s">
        <v>1267</v>
      </c>
      <c r="E279" s="88" t="s">
        <v>606</v>
      </c>
      <c r="F279" s="90">
        <v>8</v>
      </c>
      <c r="G279" s="90">
        <f>'Stavební rozpočet (SO 13)'!G113</f>
        <v>0</v>
      </c>
      <c r="H279" s="90">
        <f t="shared" si="300"/>
        <v>0</v>
      </c>
      <c r="I279" s="90">
        <f t="shared" si="301"/>
        <v>0</v>
      </c>
      <c r="J279" s="90">
        <f t="shared" si="302"/>
        <v>0</v>
      </c>
      <c r="K279" s="90">
        <v>0</v>
      </c>
      <c r="L279" s="90">
        <f t="shared" si="303"/>
        <v>0</v>
      </c>
      <c r="M279" s="91" t="s">
        <v>622</v>
      </c>
      <c r="O279" s="90"/>
      <c r="P279" s="90"/>
      <c r="Z279" s="90">
        <f t="shared" si="304"/>
        <v>0</v>
      </c>
      <c r="AB279" s="90">
        <f t="shared" si="305"/>
        <v>0</v>
      </c>
      <c r="AC279" s="90">
        <f t="shared" si="306"/>
        <v>0</v>
      </c>
      <c r="AD279" s="90">
        <f t="shared" si="307"/>
        <v>0</v>
      </c>
      <c r="AE279" s="90">
        <f t="shared" si="308"/>
        <v>0</v>
      </c>
      <c r="AF279" s="90">
        <f t="shared" si="309"/>
        <v>0</v>
      </c>
      <c r="AG279" s="90">
        <f t="shared" si="310"/>
        <v>0</v>
      </c>
      <c r="AH279" s="90">
        <f t="shared" si="311"/>
        <v>0</v>
      </c>
      <c r="AI279" s="154" t="s">
        <v>60</v>
      </c>
      <c r="AJ279" s="90">
        <f t="shared" si="312"/>
        <v>0</v>
      </c>
      <c r="AK279" s="90">
        <f t="shared" si="313"/>
        <v>0</v>
      </c>
      <c r="AL279" s="90">
        <f t="shared" si="314"/>
        <v>0</v>
      </c>
      <c r="AN279" s="90">
        <v>21</v>
      </c>
      <c r="AO279" s="90">
        <f t="shared" si="315"/>
        <v>0</v>
      </c>
      <c r="AP279" s="90">
        <f t="shared" si="316"/>
        <v>0</v>
      </c>
      <c r="AQ279" s="91" t="s">
        <v>85</v>
      </c>
      <c r="AV279" s="90">
        <f t="shared" si="317"/>
        <v>0</v>
      </c>
      <c r="AW279" s="90">
        <f t="shared" si="318"/>
        <v>0</v>
      </c>
      <c r="AX279" s="90">
        <f t="shared" si="319"/>
        <v>0</v>
      </c>
      <c r="AY279" s="91" t="s">
        <v>642</v>
      </c>
      <c r="AZ279" s="91" t="s">
        <v>1537</v>
      </c>
      <c r="BA279" s="154" t="s">
        <v>1542</v>
      </c>
      <c r="BC279" s="90">
        <f t="shared" si="320"/>
        <v>0</v>
      </c>
      <c r="BD279" s="90">
        <f t="shared" si="321"/>
        <v>0</v>
      </c>
      <c r="BE279" s="90">
        <v>0</v>
      </c>
      <c r="BF279" s="90">
        <f t="shared" si="322"/>
        <v>0</v>
      </c>
      <c r="BH279" s="90">
        <f t="shared" si="323"/>
        <v>0</v>
      </c>
      <c r="BI279" s="90">
        <f t="shared" si="324"/>
        <v>0</v>
      </c>
      <c r="BJ279" s="90">
        <f t="shared" si="325"/>
        <v>0</v>
      </c>
    </row>
    <row r="280" spans="1:62" ht="12.75">
      <c r="A280" s="88" t="s">
        <v>732</v>
      </c>
      <c r="B280" s="88" t="s">
        <v>60</v>
      </c>
      <c r="C280" s="88" t="s">
        <v>971</v>
      </c>
      <c r="D280" s="88" t="s">
        <v>1268</v>
      </c>
      <c r="E280" s="88" t="s">
        <v>606</v>
      </c>
      <c r="F280" s="90">
        <v>3</v>
      </c>
      <c r="G280" s="90">
        <f>'Stavební rozpočet (SO 13)'!G114</f>
        <v>0</v>
      </c>
      <c r="H280" s="90">
        <f t="shared" si="300"/>
        <v>0</v>
      </c>
      <c r="I280" s="90">
        <f t="shared" si="301"/>
        <v>0</v>
      </c>
      <c r="J280" s="90">
        <f t="shared" si="302"/>
        <v>0</v>
      </c>
      <c r="K280" s="90">
        <v>0</v>
      </c>
      <c r="L280" s="90">
        <f t="shared" si="303"/>
        <v>0</v>
      </c>
      <c r="M280" s="91" t="s">
        <v>622</v>
      </c>
      <c r="O280" s="90"/>
      <c r="P280" s="90"/>
      <c r="Z280" s="90">
        <f t="shared" si="304"/>
        <v>0</v>
      </c>
      <c r="AB280" s="90">
        <f t="shared" si="305"/>
        <v>0</v>
      </c>
      <c r="AC280" s="90">
        <f t="shared" si="306"/>
        <v>0</v>
      </c>
      <c r="AD280" s="90">
        <f t="shared" si="307"/>
        <v>0</v>
      </c>
      <c r="AE280" s="90">
        <f t="shared" si="308"/>
        <v>0</v>
      </c>
      <c r="AF280" s="90">
        <f t="shared" si="309"/>
        <v>0</v>
      </c>
      <c r="AG280" s="90">
        <f t="shared" si="310"/>
        <v>0</v>
      </c>
      <c r="AH280" s="90">
        <f t="shared" si="311"/>
        <v>0</v>
      </c>
      <c r="AI280" s="154" t="s">
        <v>60</v>
      </c>
      <c r="AJ280" s="90">
        <f t="shared" si="312"/>
        <v>0</v>
      </c>
      <c r="AK280" s="90">
        <f t="shared" si="313"/>
        <v>0</v>
      </c>
      <c r="AL280" s="90">
        <f t="shared" si="314"/>
        <v>0</v>
      </c>
      <c r="AN280" s="90">
        <v>21</v>
      </c>
      <c r="AO280" s="90">
        <f t="shared" si="315"/>
        <v>0</v>
      </c>
      <c r="AP280" s="90">
        <f t="shared" si="316"/>
        <v>0</v>
      </c>
      <c r="AQ280" s="91" t="s">
        <v>85</v>
      </c>
      <c r="AV280" s="90">
        <f t="shared" si="317"/>
        <v>0</v>
      </c>
      <c r="AW280" s="90">
        <f t="shared" si="318"/>
        <v>0</v>
      </c>
      <c r="AX280" s="90">
        <f t="shared" si="319"/>
        <v>0</v>
      </c>
      <c r="AY280" s="91" t="s">
        <v>642</v>
      </c>
      <c r="AZ280" s="91" t="s">
        <v>1537</v>
      </c>
      <c r="BA280" s="154" t="s">
        <v>1542</v>
      </c>
      <c r="BC280" s="90">
        <f t="shared" si="320"/>
        <v>0</v>
      </c>
      <c r="BD280" s="90">
        <f t="shared" si="321"/>
        <v>0</v>
      </c>
      <c r="BE280" s="90">
        <v>0</v>
      </c>
      <c r="BF280" s="90">
        <f t="shared" si="322"/>
        <v>0</v>
      </c>
      <c r="BH280" s="90">
        <f t="shared" si="323"/>
        <v>0</v>
      </c>
      <c r="BI280" s="90">
        <f t="shared" si="324"/>
        <v>0</v>
      </c>
      <c r="BJ280" s="90">
        <f t="shared" si="325"/>
        <v>0</v>
      </c>
    </row>
    <row r="281" spans="1:62" ht="12.75">
      <c r="A281" s="88" t="s">
        <v>733</v>
      </c>
      <c r="B281" s="88" t="s">
        <v>60</v>
      </c>
      <c r="C281" s="88" t="s">
        <v>972</v>
      </c>
      <c r="D281" s="88" t="s">
        <v>1269</v>
      </c>
      <c r="E281" s="88" t="s">
        <v>606</v>
      </c>
      <c r="F281" s="90">
        <v>1</v>
      </c>
      <c r="G281" s="90">
        <f>'Stavební rozpočet (SO 13)'!G115</f>
        <v>0</v>
      </c>
      <c r="H281" s="90">
        <f t="shared" si="300"/>
        <v>0</v>
      </c>
      <c r="I281" s="90">
        <f t="shared" si="301"/>
        <v>0</v>
      </c>
      <c r="J281" s="90">
        <f t="shared" si="302"/>
        <v>0</v>
      </c>
      <c r="K281" s="90">
        <v>0</v>
      </c>
      <c r="L281" s="90">
        <f t="shared" si="303"/>
        <v>0</v>
      </c>
      <c r="M281" s="91" t="s">
        <v>622</v>
      </c>
      <c r="O281" s="90"/>
      <c r="P281" s="90"/>
      <c r="Z281" s="90">
        <f t="shared" si="304"/>
        <v>0</v>
      </c>
      <c r="AB281" s="90">
        <f t="shared" si="305"/>
        <v>0</v>
      </c>
      <c r="AC281" s="90">
        <f t="shared" si="306"/>
        <v>0</v>
      </c>
      <c r="AD281" s="90">
        <f t="shared" si="307"/>
        <v>0</v>
      </c>
      <c r="AE281" s="90">
        <f t="shared" si="308"/>
        <v>0</v>
      </c>
      <c r="AF281" s="90">
        <f t="shared" si="309"/>
        <v>0</v>
      </c>
      <c r="AG281" s="90">
        <f t="shared" si="310"/>
        <v>0</v>
      </c>
      <c r="AH281" s="90">
        <f t="shared" si="311"/>
        <v>0</v>
      </c>
      <c r="AI281" s="154" t="s">
        <v>60</v>
      </c>
      <c r="AJ281" s="90">
        <f t="shared" si="312"/>
        <v>0</v>
      </c>
      <c r="AK281" s="90">
        <f t="shared" si="313"/>
        <v>0</v>
      </c>
      <c r="AL281" s="90">
        <f t="shared" si="314"/>
        <v>0</v>
      </c>
      <c r="AN281" s="90">
        <v>21</v>
      </c>
      <c r="AO281" s="90">
        <f t="shared" si="315"/>
        <v>0</v>
      </c>
      <c r="AP281" s="90">
        <f t="shared" si="316"/>
        <v>0</v>
      </c>
      <c r="AQ281" s="91" t="s">
        <v>85</v>
      </c>
      <c r="AV281" s="90">
        <f t="shared" si="317"/>
        <v>0</v>
      </c>
      <c r="AW281" s="90">
        <f t="shared" si="318"/>
        <v>0</v>
      </c>
      <c r="AX281" s="90">
        <f t="shared" si="319"/>
        <v>0</v>
      </c>
      <c r="AY281" s="91" t="s">
        <v>642</v>
      </c>
      <c r="AZ281" s="91" t="s">
        <v>1537</v>
      </c>
      <c r="BA281" s="154" t="s">
        <v>1542</v>
      </c>
      <c r="BC281" s="90">
        <f t="shared" si="320"/>
        <v>0</v>
      </c>
      <c r="BD281" s="90">
        <f t="shared" si="321"/>
        <v>0</v>
      </c>
      <c r="BE281" s="90">
        <v>0</v>
      </c>
      <c r="BF281" s="90">
        <f t="shared" si="322"/>
        <v>0</v>
      </c>
      <c r="BH281" s="90">
        <f t="shared" si="323"/>
        <v>0</v>
      </c>
      <c r="BI281" s="90">
        <f t="shared" si="324"/>
        <v>0</v>
      </c>
      <c r="BJ281" s="90">
        <f t="shared" si="325"/>
        <v>0</v>
      </c>
    </row>
    <row r="282" spans="1:62" ht="12.75">
      <c r="A282" s="88" t="s">
        <v>734</v>
      </c>
      <c r="B282" s="88" t="s">
        <v>60</v>
      </c>
      <c r="C282" s="88" t="s">
        <v>973</v>
      </c>
      <c r="D282" s="88" t="s">
        <v>1270</v>
      </c>
      <c r="E282" s="88" t="s">
        <v>606</v>
      </c>
      <c r="F282" s="90">
        <v>1</v>
      </c>
      <c r="G282" s="90">
        <f>'Stavební rozpočet (SO 13)'!G116</f>
        <v>0</v>
      </c>
      <c r="H282" s="90">
        <f t="shared" si="300"/>
        <v>0</v>
      </c>
      <c r="I282" s="90">
        <f t="shared" si="301"/>
        <v>0</v>
      </c>
      <c r="J282" s="90">
        <f t="shared" si="302"/>
        <v>0</v>
      </c>
      <c r="K282" s="90">
        <v>0</v>
      </c>
      <c r="L282" s="90">
        <f t="shared" si="303"/>
        <v>0</v>
      </c>
      <c r="M282" s="91" t="s">
        <v>622</v>
      </c>
      <c r="O282" s="90"/>
      <c r="P282" s="90"/>
      <c r="Z282" s="90">
        <f t="shared" si="304"/>
        <v>0</v>
      </c>
      <c r="AB282" s="90">
        <f t="shared" si="305"/>
        <v>0</v>
      </c>
      <c r="AC282" s="90">
        <f t="shared" si="306"/>
        <v>0</v>
      </c>
      <c r="AD282" s="90">
        <f t="shared" si="307"/>
        <v>0</v>
      </c>
      <c r="AE282" s="90">
        <f t="shared" si="308"/>
        <v>0</v>
      </c>
      <c r="AF282" s="90">
        <f t="shared" si="309"/>
        <v>0</v>
      </c>
      <c r="AG282" s="90">
        <f t="shared" si="310"/>
        <v>0</v>
      </c>
      <c r="AH282" s="90">
        <f t="shared" si="311"/>
        <v>0</v>
      </c>
      <c r="AI282" s="154" t="s">
        <v>60</v>
      </c>
      <c r="AJ282" s="90">
        <f t="shared" si="312"/>
        <v>0</v>
      </c>
      <c r="AK282" s="90">
        <f t="shared" si="313"/>
        <v>0</v>
      </c>
      <c r="AL282" s="90">
        <f t="shared" si="314"/>
        <v>0</v>
      </c>
      <c r="AN282" s="90">
        <v>21</v>
      </c>
      <c r="AO282" s="90">
        <f t="shared" si="315"/>
        <v>0</v>
      </c>
      <c r="AP282" s="90">
        <f t="shared" si="316"/>
        <v>0</v>
      </c>
      <c r="AQ282" s="91" t="s">
        <v>85</v>
      </c>
      <c r="AV282" s="90">
        <f t="shared" si="317"/>
        <v>0</v>
      </c>
      <c r="AW282" s="90">
        <f t="shared" si="318"/>
        <v>0</v>
      </c>
      <c r="AX282" s="90">
        <f t="shared" si="319"/>
        <v>0</v>
      </c>
      <c r="AY282" s="91" t="s">
        <v>642</v>
      </c>
      <c r="AZ282" s="91" t="s">
        <v>1537</v>
      </c>
      <c r="BA282" s="154" t="s">
        <v>1542</v>
      </c>
      <c r="BC282" s="90">
        <f t="shared" si="320"/>
        <v>0</v>
      </c>
      <c r="BD282" s="90">
        <f t="shared" si="321"/>
        <v>0</v>
      </c>
      <c r="BE282" s="90">
        <v>0</v>
      </c>
      <c r="BF282" s="90">
        <f t="shared" si="322"/>
        <v>0</v>
      </c>
      <c r="BH282" s="90">
        <f t="shared" si="323"/>
        <v>0</v>
      </c>
      <c r="BI282" s="90">
        <f t="shared" si="324"/>
        <v>0</v>
      </c>
      <c r="BJ282" s="90">
        <f t="shared" si="325"/>
        <v>0</v>
      </c>
    </row>
    <row r="283" spans="1:62" ht="12.75">
      <c r="A283" s="88" t="s">
        <v>735</v>
      </c>
      <c r="B283" s="88" t="s">
        <v>60</v>
      </c>
      <c r="C283" s="88" t="s">
        <v>974</v>
      </c>
      <c r="D283" s="88" t="s">
        <v>1271</v>
      </c>
      <c r="E283" s="88" t="s">
        <v>606</v>
      </c>
      <c r="F283" s="90">
        <v>3</v>
      </c>
      <c r="G283" s="90">
        <f>'Stavební rozpočet (SO 13)'!G117</f>
        <v>0</v>
      </c>
      <c r="H283" s="90">
        <f t="shared" si="300"/>
        <v>0</v>
      </c>
      <c r="I283" s="90">
        <f t="shared" si="301"/>
        <v>0</v>
      </c>
      <c r="J283" s="90">
        <f t="shared" si="302"/>
        <v>0</v>
      </c>
      <c r="K283" s="90">
        <v>0</v>
      </c>
      <c r="L283" s="90">
        <f t="shared" si="303"/>
        <v>0</v>
      </c>
      <c r="M283" s="91" t="s">
        <v>622</v>
      </c>
      <c r="O283" s="90"/>
      <c r="P283" s="90"/>
      <c r="Z283" s="90">
        <f t="shared" si="304"/>
        <v>0</v>
      </c>
      <c r="AB283" s="90">
        <f t="shared" si="305"/>
        <v>0</v>
      </c>
      <c r="AC283" s="90">
        <f t="shared" si="306"/>
        <v>0</v>
      </c>
      <c r="AD283" s="90">
        <f t="shared" si="307"/>
        <v>0</v>
      </c>
      <c r="AE283" s="90">
        <f t="shared" si="308"/>
        <v>0</v>
      </c>
      <c r="AF283" s="90">
        <f t="shared" si="309"/>
        <v>0</v>
      </c>
      <c r="AG283" s="90">
        <f t="shared" si="310"/>
        <v>0</v>
      </c>
      <c r="AH283" s="90">
        <f t="shared" si="311"/>
        <v>0</v>
      </c>
      <c r="AI283" s="154" t="s">
        <v>60</v>
      </c>
      <c r="AJ283" s="90">
        <f t="shared" si="312"/>
        <v>0</v>
      </c>
      <c r="AK283" s="90">
        <f t="shared" si="313"/>
        <v>0</v>
      </c>
      <c r="AL283" s="90">
        <f t="shared" si="314"/>
        <v>0</v>
      </c>
      <c r="AN283" s="90">
        <v>21</v>
      </c>
      <c r="AO283" s="90">
        <f t="shared" si="315"/>
        <v>0</v>
      </c>
      <c r="AP283" s="90">
        <f t="shared" si="316"/>
        <v>0</v>
      </c>
      <c r="AQ283" s="91" t="s">
        <v>85</v>
      </c>
      <c r="AV283" s="90">
        <f t="shared" si="317"/>
        <v>0</v>
      </c>
      <c r="AW283" s="90">
        <f t="shared" si="318"/>
        <v>0</v>
      </c>
      <c r="AX283" s="90">
        <f t="shared" si="319"/>
        <v>0</v>
      </c>
      <c r="AY283" s="91" t="s">
        <v>642</v>
      </c>
      <c r="AZ283" s="91" t="s">
        <v>1537</v>
      </c>
      <c r="BA283" s="154" t="s">
        <v>1542</v>
      </c>
      <c r="BC283" s="90">
        <f t="shared" si="320"/>
        <v>0</v>
      </c>
      <c r="BD283" s="90">
        <f t="shared" si="321"/>
        <v>0</v>
      </c>
      <c r="BE283" s="90">
        <v>0</v>
      </c>
      <c r="BF283" s="90">
        <f t="shared" si="322"/>
        <v>0</v>
      </c>
      <c r="BH283" s="90">
        <f t="shared" si="323"/>
        <v>0</v>
      </c>
      <c r="BI283" s="90">
        <f t="shared" si="324"/>
        <v>0</v>
      </c>
      <c r="BJ283" s="90">
        <f t="shared" si="325"/>
        <v>0</v>
      </c>
    </row>
    <row r="284" spans="1:62" ht="12.75">
      <c r="A284" s="88" t="s">
        <v>736</v>
      </c>
      <c r="B284" s="88" t="s">
        <v>60</v>
      </c>
      <c r="C284" s="88" t="s">
        <v>975</v>
      </c>
      <c r="D284" s="88" t="s">
        <v>1272</v>
      </c>
      <c r="E284" s="88" t="s">
        <v>606</v>
      </c>
      <c r="F284" s="90">
        <v>1</v>
      </c>
      <c r="G284" s="90">
        <f>'Stavební rozpočet (SO 13)'!G118</f>
        <v>0</v>
      </c>
      <c r="H284" s="90">
        <f t="shared" si="300"/>
        <v>0</v>
      </c>
      <c r="I284" s="90">
        <f t="shared" si="301"/>
        <v>0</v>
      </c>
      <c r="J284" s="90">
        <f t="shared" si="302"/>
        <v>0</v>
      </c>
      <c r="K284" s="90">
        <v>0</v>
      </c>
      <c r="L284" s="90">
        <f t="shared" si="303"/>
        <v>0</v>
      </c>
      <c r="M284" s="91" t="s">
        <v>622</v>
      </c>
      <c r="O284" s="90"/>
      <c r="P284" s="90"/>
      <c r="Z284" s="90">
        <f t="shared" si="304"/>
        <v>0</v>
      </c>
      <c r="AB284" s="90">
        <f t="shared" si="305"/>
        <v>0</v>
      </c>
      <c r="AC284" s="90">
        <f t="shared" si="306"/>
        <v>0</v>
      </c>
      <c r="AD284" s="90">
        <f t="shared" si="307"/>
        <v>0</v>
      </c>
      <c r="AE284" s="90">
        <f t="shared" si="308"/>
        <v>0</v>
      </c>
      <c r="AF284" s="90">
        <f t="shared" si="309"/>
        <v>0</v>
      </c>
      <c r="AG284" s="90">
        <f t="shared" si="310"/>
        <v>0</v>
      </c>
      <c r="AH284" s="90">
        <f t="shared" si="311"/>
        <v>0</v>
      </c>
      <c r="AI284" s="154" t="s">
        <v>60</v>
      </c>
      <c r="AJ284" s="90">
        <f t="shared" si="312"/>
        <v>0</v>
      </c>
      <c r="AK284" s="90">
        <f t="shared" si="313"/>
        <v>0</v>
      </c>
      <c r="AL284" s="90">
        <f t="shared" si="314"/>
        <v>0</v>
      </c>
      <c r="AN284" s="90">
        <v>21</v>
      </c>
      <c r="AO284" s="90">
        <f t="shared" si="315"/>
        <v>0</v>
      </c>
      <c r="AP284" s="90">
        <f t="shared" si="316"/>
        <v>0</v>
      </c>
      <c r="AQ284" s="91" t="s">
        <v>85</v>
      </c>
      <c r="AV284" s="90">
        <f t="shared" si="317"/>
        <v>0</v>
      </c>
      <c r="AW284" s="90">
        <f t="shared" si="318"/>
        <v>0</v>
      </c>
      <c r="AX284" s="90">
        <f t="shared" si="319"/>
        <v>0</v>
      </c>
      <c r="AY284" s="91" t="s">
        <v>642</v>
      </c>
      <c r="AZ284" s="91" t="s">
        <v>1537</v>
      </c>
      <c r="BA284" s="154" t="s">
        <v>1542</v>
      </c>
      <c r="BC284" s="90">
        <f t="shared" si="320"/>
        <v>0</v>
      </c>
      <c r="BD284" s="90">
        <f t="shared" si="321"/>
        <v>0</v>
      </c>
      <c r="BE284" s="90">
        <v>0</v>
      </c>
      <c r="BF284" s="90">
        <f t="shared" si="322"/>
        <v>0</v>
      </c>
      <c r="BH284" s="90">
        <f t="shared" si="323"/>
        <v>0</v>
      </c>
      <c r="BI284" s="90">
        <f t="shared" si="324"/>
        <v>0</v>
      </c>
      <c r="BJ284" s="90">
        <f t="shared" si="325"/>
        <v>0</v>
      </c>
    </row>
    <row r="285" spans="1:62" ht="12.75">
      <c r="A285" s="88" t="s">
        <v>737</v>
      </c>
      <c r="B285" s="88" t="s">
        <v>60</v>
      </c>
      <c r="C285" s="88" t="s">
        <v>976</v>
      </c>
      <c r="D285" s="88" t="s">
        <v>1273</v>
      </c>
      <c r="E285" s="88" t="s">
        <v>606</v>
      </c>
      <c r="F285" s="90">
        <v>1</v>
      </c>
      <c r="G285" s="90">
        <f>'Stavební rozpočet (SO 13)'!G119</f>
        <v>0</v>
      </c>
      <c r="H285" s="90">
        <f t="shared" si="300"/>
        <v>0</v>
      </c>
      <c r="I285" s="90">
        <f t="shared" si="301"/>
        <v>0</v>
      </c>
      <c r="J285" s="90">
        <f t="shared" si="302"/>
        <v>0</v>
      </c>
      <c r="K285" s="90">
        <v>0</v>
      </c>
      <c r="L285" s="90">
        <f t="shared" si="303"/>
        <v>0</v>
      </c>
      <c r="M285" s="91" t="s">
        <v>622</v>
      </c>
      <c r="O285" s="90"/>
      <c r="P285" s="90"/>
      <c r="Z285" s="90">
        <f t="shared" si="304"/>
        <v>0</v>
      </c>
      <c r="AB285" s="90">
        <f t="shared" si="305"/>
        <v>0</v>
      </c>
      <c r="AC285" s="90">
        <f t="shared" si="306"/>
        <v>0</v>
      </c>
      <c r="AD285" s="90">
        <f t="shared" si="307"/>
        <v>0</v>
      </c>
      <c r="AE285" s="90">
        <f t="shared" si="308"/>
        <v>0</v>
      </c>
      <c r="AF285" s="90">
        <f t="shared" si="309"/>
        <v>0</v>
      </c>
      <c r="AG285" s="90">
        <f t="shared" si="310"/>
        <v>0</v>
      </c>
      <c r="AH285" s="90">
        <f t="shared" si="311"/>
        <v>0</v>
      </c>
      <c r="AI285" s="154" t="s">
        <v>60</v>
      </c>
      <c r="AJ285" s="90">
        <f t="shared" si="312"/>
        <v>0</v>
      </c>
      <c r="AK285" s="90">
        <f t="shared" si="313"/>
        <v>0</v>
      </c>
      <c r="AL285" s="90">
        <f t="shared" si="314"/>
        <v>0</v>
      </c>
      <c r="AN285" s="90">
        <v>21</v>
      </c>
      <c r="AO285" s="90">
        <f t="shared" si="315"/>
        <v>0</v>
      </c>
      <c r="AP285" s="90">
        <f t="shared" si="316"/>
        <v>0</v>
      </c>
      <c r="AQ285" s="91" t="s">
        <v>85</v>
      </c>
      <c r="AV285" s="90">
        <f t="shared" si="317"/>
        <v>0</v>
      </c>
      <c r="AW285" s="90">
        <f t="shared" si="318"/>
        <v>0</v>
      </c>
      <c r="AX285" s="90">
        <f t="shared" si="319"/>
        <v>0</v>
      </c>
      <c r="AY285" s="91" t="s">
        <v>642</v>
      </c>
      <c r="AZ285" s="91" t="s">
        <v>1537</v>
      </c>
      <c r="BA285" s="154" t="s">
        <v>1542</v>
      </c>
      <c r="BC285" s="90">
        <f t="shared" si="320"/>
        <v>0</v>
      </c>
      <c r="BD285" s="90">
        <f t="shared" si="321"/>
        <v>0</v>
      </c>
      <c r="BE285" s="90">
        <v>0</v>
      </c>
      <c r="BF285" s="90">
        <f t="shared" si="322"/>
        <v>0</v>
      </c>
      <c r="BH285" s="90">
        <f t="shared" si="323"/>
        <v>0</v>
      </c>
      <c r="BI285" s="90">
        <f t="shared" si="324"/>
        <v>0</v>
      </c>
      <c r="BJ285" s="90">
        <f t="shared" si="325"/>
        <v>0</v>
      </c>
    </row>
    <row r="286" spans="1:62" ht="12.75">
      <c r="A286" s="88" t="s">
        <v>738</v>
      </c>
      <c r="B286" s="88" t="s">
        <v>60</v>
      </c>
      <c r="C286" s="88" t="s">
        <v>977</v>
      </c>
      <c r="D286" s="88" t="s">
        <v>1274</v>
      </c>
      <c r="E286" s="88" t="s">
        <v>606</v>
      </c>
      <c r="F286" s="90">
        <v>1</v>
      </c>
      <c r="G286" s="90">
        <f>'Stavební rozpočet (SO 13)'!G120</f>
        <v>0</v>
      </c>
      <c r="H286" s="90">
        <f t="shared" si="300"/>
        <v>0</v>
      </c>
      <c r="I286" s="90">
        <f t="shared" si="301"/>
        <v>0</v>
      </c>
      <c r="J286" s="90">
        <f t="shared" si="302"/>
        <v>0</v>
      </c>
      <c r="K286" s="90">
        <v>0</v>
      </c>
      <c r="L286" s="90">
        <f t="shared" si="303"/>
        <v>0</v>
      </c>
      <c r="M286" s="91" t="s">
        <v>622</v>
      </c>
      <c r="O286" s="90"/>
      <c r="P286" s="90"/>
      <c r="Z286" s="90">
        <f t="shared" si="304"/>
        <v>0</v>
      </c>
      <c r="AB286" s="90">
        <f t="shared" si="305"/>
        <v>0</v>
      </c>
      <c r="AC286" s="90">
        <f t="shared" si="306"/>
        <v>0</v>
      </c>
      <c r="AD286" s="90">
        <f t="shared" si="307"/>
        <v>0</v>
      </c>
      <c r="AE286" s="90">
        <f t="shared" si="308"/>
        <v>0</v>
      </c>
      <c r="AF286" s="90">
        <f t="shared" si="309"/>
        <v>0</v>
      </c>
      <c r="AG286" s="90">
        <f t="shared" si="310"/>
        <v>0</v>
      </c>
      <c r="AH286" s="90">
        <f t="shared" si="311"/>
        <v>0</v>
      </c>
      <c r="AI286" s="154" t="s">
        <v>60</v>
      </c>
      <c r="AJ286" s="90">
        <f t="shared" si="312"/>
        <v>0</v>
      </c>
      <c r="AK286" s="90">
        <f t="shared" si="313"/>
        <v>0</v>
      </c>
      <c r="AL286" s="90">
        <f t="shared" si="314"/>
        <v>0</v>
      </c>
      <c r="AN286" s="90">
        <v>21</v>
      </c>
      <c r="AO286" s="90">
        <f t="shared" si="315"/>
        <v>0</v>
      </c>
      <c r="AP286" s="90">
        <f t="shared" si="316"/>
        <v>0</v>
      </c>
      <c r="AQ286" s="91" t="s">
        <v>85</v>
      </c>
      <c r="AV286" s="90">
        <f t="shared" si="317"/>
        <v>0</v>
      </c>
      <c r="AW286" s="90">
        <f t="shared" si="318"/>
        <v>0</v>
      </c>
      <c r="AX286" s="90">
        <f t="shared" si="319"/>
        <v>0</v>
      </c>
      <c r="AY286" s="91" t="s">
        <v>642</v>
      </c>
      <c r="AZ286" s="91" t="s">
        <v>1537</v>
      </c>
      <c r="BA286" s="154" t="s">
        <v>1542</v>
      </c>
      <c r="BC286" s="90">
        <f t="shared" si="320"/>
        <v>0</v>
      </c>
      <c r="BD286" s="90">
        <f t="shared" si="321"/>
        <v>0</v>
      </c>
      <c r="BE286" s="90">
        <v>0</v>
      </c>
      <c r="BF286" s="90">
        <f t="shared" si="322"/>
        <v>0</v>
      </c>
      <c r="BH286" s="90">
        <f t="shared" si="323"/>
        <v>0</v>
      </c>
      <c r="BI286" s="90">
        <f t="shared" si="324"/>
        <v>0</v>
      </c>
      <c r="BJ286" s="90">
        <f t="shared" si="325"/>
        <v>0</v>
      </c>
    </row>
    <row r="287" spans="1:62" ht="12.75">
      <c r="A287" s="88" t="s">
        <v>739</v>
      </c>
      <c r="B287" s="88" t="s">
        <v>60</v>
      </c>
      <c r="C287" s="88" t="s">
        <v>978</v>
      </c>
      <c r="D287" s="88" t="s">
        <v>1275</v>
      </c>
      <c r="E287" s="88" t="s">
        <v>606</v>
      </c>
      <c r="F287" s="90">
        <v>0</v>
      </c>
      <c r="G287" s="90">
        <f>'Stavební rozpočet (SO 13)'!G121</f>
        <v>0</v>
      </c>
      <c r="H287" s="90">
        <f t="shared" si="300"/>
        <v>0</v>
      </c>
      <c r="I287" s="90">
        <f t="shared" si="301"/>
        <v>0</v>
      </c>
      <c r="J287" s="90">
        <f t="shared" si="302"/>
        <v>0</v>
      </c>
      <c r="K287" s="90">
        <v>0</v>
      </c>
      <c r="L287" s="90">
        <f t="shared" si="303"/>
        <v>0</v>
      </c>
      <c r="M287" s="91" t="s">
        <v>622</v>
      </c>
      <c r="O287" s="90"/>
      <c r="P287" s="90"/>
      <c r="Z287" s="90">
        <f t="shared" si="304"/>
        <v>0</v>
      </c>
      <c r="AB287" s="90">
        <f t="shared" si="305"/>
        <v>0</v>
      </c>
      <c r="AC287" s="90">
        <f t="shared" si="306"/>
        <v>0</v>
      </c>
      <c r="AD287" s="90">
        <f t="shared" si="307"/>
        <v>0</v>
      </c>
      <c r="AE287" s="90">
        <f t="shared" si="308"/>
        <v>0</v>
      </c>
      <c r="AF287" s="90">
        <f t="shared" si="309"/>
        <v>0</v>
      </c>
      <c r="AG287" s="90">
        <f t="shared" si="310"/>
        <v>0</v>
      </c>
      <c r="AH287" s="90">
        <f t="shared" si="311"/>
        <v>0</v>
      </c>
      <c r="AI287" s="154" t="s">
        <v>60</v>
      </c>
      <c r="AJ287" s="90">
        <f t="shared" si="312"/>
        <v>0</v>
      </c>
      <c r="AK287" s="90">
        <f t="shared" si="313"/>
        <v>0</v>
      </c>
      <c r="AL287" s="90">
        <f t="shared" si="314"/>
        <v>0</v>
      </c>
      <c r="AN287" s="90">
        <v>21</v>
      </c>
      <c r="AO287" s="90">
        <f t="shared" si="315"/>
        <v>0</v>
      </c>
      <c r="AP287" s="90">
        <f t="shared" si="316"/>
        <v>0</v>
      </c>
      <c r="AQ287" s="91" t="s">
        <v>85</v>
      </c>
      <c r="AV287" s="90">
        <f t="shared" si="317"/>
        <v>0</v>
      </c>
      <c r="AW287" s="90">
        <f t="shared" si="318"/>
        <v>0</v>
      </c>
      <c r="AX287" s="90">
        <f t="shared" si="319"/>
        <v>0</v>
      </c>
      <c r="AY287" s="91" t="s">
        <v>642</v>
      </c>
      <c r="AZ287" s="91" t="s">
        <v>1537</v>
      </c>
      <c r="BA287" s="154" t="s">
        <v>1542</v>
      </c>
      <c r="BC287" s="90">
        <f t="shared" si="320"/>
        <v>0</v>
      </c>
      <c r="BD287" s="90">
        <f t="shared" si="321"/>
        <v>0</v>
      </c>
      <c r="BE287" s="90">
        <v>0</v>
      </c>
      <c r="BF287" s="90">
        <f t="shared" si="322"/>
        <v>0</v>
      </c>
      <c r="BH287" s="90">
        <f t="shared" si="323"/>
        <v>0</v>
      </c>
      <c r="BI287" s="90">
        <f t="shared" si="324"/>
        <v>0</v>
      </c>
      <c r="BJ287" s="90">
        <f t="shared" si="325"/>
        <v>0</v>
      </c>
    </row>
    <row r="288" spans="1:62" ht="12.75">
      <c r="A288" s="88" t="s">
        <v>740</v>
      </c>
      <c r="B288" s="88" t="s">
        <v>60</v>
      </c>
      <c r="C288" s="88" t="s">
        <v>979</v>
      </c>
      <c r="D288" s="88" t="s">
        <v>1276</v>
      </c>
      <c r="E288" s="88" t="s">
        <v>606</v>
      </c>
      <c r="F288" s="90">
        <v>0</v>
      </c>
      <c r="G288" s="90">
        <f>'Stavební rozpočet (SO 13)'!G122</f>
        <v>0</v>
      </c>
      <c r="H288" s="90">
        <f t="shared" si="300"/>
        <v>0</v>
      </c>
      <c r="I288" s="90">
        <f t="shared" si="301"/>
        <v>0</v>
      </c>
      <c r="J288" s="90">
        <f t="shared" si="302"/>
        <v>0</v>
      </c>
      <c r="K288" s="90">
        <v>0</v>
      </c>
      <c r="L288" s="90">
        <f t="shared" si="303"/>
        <v>0</v>
      </c>
      <c r="M288" s="91" t="s">
        <v>622</v>
      </c>
      <c r="O288" s="90"/>
      <c r="P288" s="90"/>
      <c r="Z288" s="90">
        <f t="shared" si="304"/>
        <v>0</v>
      </c>
      <c r="AB288" s="90">
        <f t="shared" si="305"/>
        <v>0</v>
      </c>
      <c r="AC288" s="90">
        <f t="shared" si="306"/>
        <v>0</v>
      </c>
      <c r="AD288" s="90">
        <f t="shared" si="307"/>
        <v>0</v>
      </c>
      <c r="AE288" s="90">
        <f t="shared" si="308"/>
        <v>0</v>
      </c>
      <c r="AF288" s="90">
        <f t="shared" si="309"/>
        <v>0</v>
      </c>
      <c r="AG288" s="90">
        <f t="shared" si="310"/>
        <v>0</v>
      </c>
      <c r="AH288" s="90">
        <f t="shared" si="311"/>
        <v>0</v>
      </c>
      <c r="AI288" s="154" t="s">
        <v>60</v>
      </c>
      <c r="AJ288" s="90">
        <f t="shared" si="312"/>
        <v>0</v>
      </c>
      <c r="AK288" s="90">
        <f t="shared" si="313"/>
        <v>0</v>
      </c>
      <c r="AL288" s="90">
        <f t="shared" si="314"/>
        <v>0</v>
      </c>
      <c r="AN288" s="90">
        <v>21</v>
      </c>
      <c r="AO288" s="90">
        <f t="shared" si="315"/>
        <v>0</v>
      </c>
      <c r="AP288" s="90">
        <f t="shared" si="316"/>
        <v>0</v>
      </c>
      <c r="AQ288" s="91" t="s">
        <v>85</v>
      </c>
      <c r="AV288" s="90">
        <f t="shared" si="317"/>
        <v>0</v>
      </c>
      <c r="AW288" s="90">
        <f t="shared" si="318"/>
        <v>0</v>
      </c>
      <c r="AX288" s="90">
        <f t="shared" si="319"/>
        <v>0</v>
      </c>
      <c r="AY288" s="91" t="s">
        <v>642</v>
      </c>
      <c r="AZ288" s="91" t="s">
        <v>1537</v>
      </c>
      <c r="BA288" s="154" t="s">
        <v>1542</v>
      </c>
      <c r="BC288" s="90">
        <f t="shared" si="320"/>
        <v>0</v>
      </c>
      <c r="BD288" s="90">
        <f t="shared" si="321"/>
        <v>0</v>
      </c>
      <c r="BE288" s="90">
        <v>0</v>
      </c>
      <c r="BF288" s="90">
        <f t="shared" si="322"/>
        <v>0</v>
      </c>
      <c r="BH288" s="90">
        <f t="shared" si="323"/>
        <v>0</v>
      </c>
      <c r="BI288" s="90">
        <f t="shared" si="324"/>
        <v>0</v>
      </c>
      <c r="BJ288" s="90">
        <f t="shared" si="325"/>
        <v>0</v>
      </c>
    </row>
    <row r="289" spans="1:62" ht="12.75">
      <c r="A289" s="88" t="s">
        <v>741</v>
      </c>
      <c r="B289" s="88" t="s">
        <v>60</v>
      </c>
      <c r="C289" s="88" t="s">
        <v>980</v>
      </c>
      <c r="D289" s="88" t="s">
        <v>1277</v>
      </c>
      <c r="E289" s="88" t="s">
        <v>606</v>
      </c>
      <c r="F289" s="90">
        <v>0</v>
      </c>
      <c r="G289" s="90">
        <f>'Stavební rozpočet (SO 13)'!G123</f>
        <v>0</v>
      </c>
      <c r="H289" s="90">
        <f t="shared" si="300"/>
        <v>0</v>
      </c>
      <c r="I289" s="90">
        <f t="shared" si="301"/>
        <v>0</v>
      </c>
      <c r="J289" s="90">
        <f t="shared" si="302"/>
        <v>0</v>
      </c>
      <c r="K289" s="90">
        <v>0</v>
      </c>
      <c r="L289" s="90">
        <f t="shared" si="303"/>
        <v>0</v>
      </c>
      <c r="M289" s="91" t="s">
        <v>622</v>
      </c>
      <c r="O289" s="90"/>
      <c r="P289" s="90"/>
      <c r="Z289" s="90">
        <f t="shared" si="304"/>
        <v>0</v>
      </c>
      <c r="AB289" s="90">
        <f t="shared" si="305"/>
        <v>0</v>
      </c>
      <c r="AC289" s="90">
        <f t="shared" si="306"/>
        <v>0</v>
      </c>
      <c r="AD289" s="90">
        <f t="shared" si="307"/>
        <v>0</v>
      </c>
      <c r="AE289" s="90">
        <f t="shared" si="308"/>
        <v>0</v>
      </c>
      <c r="AF289" s="90">
        <f t="shared" si="309"/>
        <v>0</v>
      </c>
      <c r="AG289" s="90">
        <f t="shared" si="310"/>
        <v>0</v>
      </c>
      <c r="AH289" s="90">
        <f t="shared" si="311"/>
        <v>0</v>
      </c>
      <c r="AI289" s="154" t="s">
        <v>60</v>
      </c>
      <c r="AJ289" s="90">
        <f t="shared" si="312"/>
        <v>0</v>
      </c>
      <c r="AK289" s="90">
        <f t="shared" si="313"/>
        <v>0</v>
      </c>
      <c r="AL289" s="90">
        <f t="shared" si="314"/>
        <v>0</v>
      </c>
      <c r="AN289" s="90">
        <v>21</v>
      </c>
      <c r="AO289" s="90">
        <f t="shared" si="315"/>
        <v>0</v>
      </c>
      <c r="AP289" s="90">
        <f t="shared" si="316"/>
        <v>0</v>
      </c>
      <c r="AQ289" s="91" t="s">
        <v>85</v>
      </c>
      <c r="AV289" s="90">
        <f t="shared" si="317"/>
        <v>0</v>
      </c>
      <c r="AW289" s="90">
        <f t="shared" si="318"/>
        <v>0</v>
      </c>
      <c r="AX289" s="90">
        <f t="shared" si="319"/>
        <v>0</v>
      </c>
      <c r="AY289" s="91" t="s">
        <v>642</v>
      </c>
      <c r="AZ289" s="91" t="s">
        <v>1537</v>
      </c>
      <c r="BA289" s="154" t="s">
        <v>1542</v>
      </c>
      <c r="BC289" s="90">
        <f t="shared" si="320"/>
        <v>0</v>
      </c>
      <c r="BD289" s="90">
        <f t="shared" si="321"/>
        <v>0</v>
      </c>
      <c r="BE289" s="90">
        <v>0</v>
      </c>
      <c r="BF289" s="90">
        <f t="shared" si="322"/>
        <v>0</v>
      </c>
      <c r="BH289" s="90">
        <f t="shared" si="323"/>
        <v>0</v>
      </c>
      <c r="BI289" s="90">
        <f t="shared" si="324"/>
        <v>0</v>
      </c>
      <c r="BJ289" s="90">
        <f t="shared" si="325"/>
        <v>0</v>
      </c>
    </row>
    <row r="290" spans="1:62" ht="12.75">
      <c r="A290" s="88" t="s">
        <v>742</v>
      </c>
      <c r="B290" s="88" t="s">
        <v>60</v>
      </c>
      <c r="C290" s="88" t="s">
        <v>981</v>
      </c>
      <c r="D290" s="88" t="s">
        <v>1278</v>
      </c>
      <c r="E290" s="88" t="s">
        <v>606</v>
      </c>
      <c r="F290" s="90">
        <v>2</v>
      </c>
      <c r="G290" s="90">
        <f>'Stavební rozpočet (SO 13)'!G124</f>
        <v>0</v>
      </c>
      <c r="H290" s="90">
        <f t="shared" si="300"/>
        <v>0</v>
      </c>
      <c r="I290" s="90">
        <f t="shared" si="301"/>
        <v>0</v>
      </c>
      <c r="J290" s="90">
        <f t="shared" si="302"/>
        <v>0</v>
      </c>
      <c r="K290" s="90">
        <v>0</v>
      </c>
      <c r="L290" s="90">
        <f t="shared" si="303"/>
        <v>0</v>
      </c>
      <c r="M290" s="91" t="s">
        <v>622</v>
      </c>
      <c r="O290" s="90"/>
      <c r="P290" s="90"/>
      <c r="Z290" s="90">
        <f t="shared" si="304"/>
        <v>0</v>
      </c>
      <c r="AB290" s="90">
        <f t="shared" si="305"/>
        <v>0</v>
      </c>
      <c r="AC290" s="90">
        <f t="shared" si="306"/>
        <v>0</v>
      </c>
      <c r="AD290" s="90">
        <f t="shared" si="307"/>
        <v>0</v>
      </c>
      <c r="AE290" s="90">
        <f t="shared" si="308"/>
        <v>0</v>
      </c>
      <c r="AF290" s="90">
        <f t="shared" si="309"/>
        <v>0</v>
      </c>
      <c r="AG290" s="90">
        <f t="shared" si="310"/>
        <v>0</v>
      </c>
      <c r="AH290" s="90">
        <f t="shared" si="311"/>
        <v>0</v>
      </c>
      <c r="AI290" s="154" t="s">
        <v>60</v>
      </c>
      <c r="AJ290" s="90">
        <f t="shared" si="312"/>
        <v>0</v>
      </c>
      <c r="AK290" s="90">
        <f t="shared" si="313"/>
        <v>0</v>
      </c>
      <c r="AL290" s="90">
        <f t="shared" si="314"/>
        <v>0</v>
      </c>
      <c r="AN290" s="90">
        <v>21</v>
      </c>
      <c r="AO290" s="90">
        <f t="shared" si="315"/>
        <v>0</v>
      </c>
      <c r="AP290" s="90">
        <f t="shared" si="316"/>
        <v>0</v>
      </c>
      <c r="AQ290" s="91" t="s">
        <v>85</v>
      </c>
      <c r="AV290" s="90">
        <f t="shared" si="317"/>
        <v>0</v>
      </c>
      <c r="AW290" s="90">
        <f t="shared" si="318"/>
        <v>0</v>
      </c>
      <c r="AX290" s="90">
        <f t="shared" si="319"/>
        <v>0</v>
      </c>
      <c r="AY290" s="91" t="s">
        <v>642</v>
      </c>
      <c r="AZ290" s="91" t="s">
        <v>1537</v>
      </c>
      <c r="BA290" s="154" t="s">
        <v>1542</v>
      </c>
      <c r="BC290" s="90">
        <f t="shared" si="320"/>
        <v>0</v>
      </c>
      <c r="BD290" s="90">
        <f t="shared" si="321"/>
        <v>0</v>
      </c>
      <c r="BE290" s="90">
        <v>0</v>
      </c>
      <c r="BF290" s="90">
        <f t="shared" si="322"/>
        <v>0</v>
      </c>
      <c r="BH290" s="90">
        <f t="shared" si="323"/>
        <v>0</v>
      </c>
      <c r="BI290" s="90">
        <f t="shared" si="324"/>
        <v>0</v>
      </c>
      <c r="BJ290" s="90">
        <f t="shared" si="325"/>
        <v>0</v>
      </c>
    </row>
    <row r="291" spans="1:62" ht="12.75">
      <c r="A291" s="88" t="s">
        <v>743</v>
      </c>
      <c r="B291" s="88" t="s">
        <v>60</v>
      </c>
      <c r="C291" s="88" t="s">
        <v>982</v>
      </c>
      <c r="D291" s="88" t="s">
        <v>1279</v>
      </c>
      <c r="E291" s="88" t="s">
        <v>606</v>
      </c>
      <c r="F291" s="90">
        <v>1</v>
      </c>
      <c r="G291" s="90">
        <f>'Stavební rozpočet (SO 13)'!G125</f>
        <v>0</v>
      </c>
      <c r="H291" s="90">
        <f t="shared" si="300"/>
        <v>0</v>
      </c>
      <c r="I291" s="90">
        <f t="shared" si="301"/>
        <v>0</v>
      </c>
      <c r="J291" s="90">
        <f t="shared" si="302"/>
        <v>0</v>
      </c>
      <c r="K291" s="90">
        <v>0</v>
      </c>
      <c r="L291" s="90">
        <f t="shared" si="303"/>
        <v>0</v>
      </c>
      <c r="M291" s="91" t="s">
        <v>622</v>
      </c>
      <c r="O291" s="90"/>
      <c r="P291" s="90"/>
      <c r="Z291" s="90">
        <f t="shared" si="304"/>
        <v>0</v>
      </c>
      <c r="AB291" s="90">
        <f t="shared" si="305"/>
        <v>0</v>
      </c>
      <c r="AC291" s="90">
        <f t="shared" si="306"/>
        <v>0</v>
      </c>
      <c r="AD291" s="90">
        <f t="shared" si="307"/>
        <v>0</v>
      </c>
      <c r="AE291" s="90">
        <f t="shared" si="308"/>
        <v>0</v>
      </c>
      <c r="AF291" s="90">
        <f t="shared" si="309"/>
        <v>0</v>
      </c>
      <c r="AG291" s="90">
        <f t="shared" si="310"/>
        <v>0</v>
      </c>
      <c r="AH291" s="90">
        <f t="shared" si="311"/>
        <v>0</v>
      </c>
      <c r="AI291" s="154" t="s">
        <v>60</v>
      </c>
      <c r="AJ291" s="90">
        <f t="shared" si="312"/>
        <v>0</v>
      </c>
      <c r="AK291" s="90">
        <f t="shared" si="313"/>
        <v>0</v>
      </c>
      <c r="AL291" s="90">
        <f t="shared" si="314"/>
        <v>0</v>
      </c>
      <c r="AN291" s="90">
        <v>21</v>
      </c>
      <c r="AO291" s="90">
        <f t="shared" si="315"/>
        <v>0</v>
      </c>
      <c r="AP291" s="90">
        <f t="shared" si="316"/>
        <v>0</v>
      </c>
      <c r="AQ291" s="91" t="s">
        <v>85</v>
      </c>
      <c r="AV291" s="90">
        <f t="shared" si="317"/>
        <v>0</v>
      </c>
      <c r="AW291" s="90">
        <f t="shared" si="318"/>
        <v>0</v>
      </c>
      <c r="AX291" s="90">
        <f t="shared" si="319"/>
        <v>0</v>
      </c>
      <c r="AY291" s="91" t="s">
        <v>642</v>
      </c>
      <c r="AZ291" s="91" t="s">
        <v>1537</v>
      </c>
      <c r="BA291" s="154" t="s">
        <v>1542</v>
      </c>
      <c r="BC291" s="90">
        <f t="shared" si="320"/>
        <v>0</v>
      </c>
      <c r="BD291" s="90">
        <f t="shared" si="321"/>
        <v>0</v>
      </c>
      <c r="BE291" s="90">
        <v>0</v>
      </c>
      <c r="BF291" s="90">
        <f t="shared" si="322"/>
        <v>0</v>
      </c>
      <c r="BH291" s="90">
        <f t="shared" si="323"/>
        <v>0</v>
      </c>
      <c r="BI291" s="90">
        <f t="shared" si="324"/>
        <v>0</v>
      </c>
      <c r="BJ291" s="90">
        <f t="shared" si="325"/>
        <v>0</v>
      </c>
    </row>
    <row r="292" spans="1:62" ht="12.75">
      <c r="A292" s="88" t="s">
        <v>744</v>
      </c>
      <c r="B292" s="88" t="s">
        <v>60</v>
      </c>
      <c r="C292" s="88" t="s">
        <v>983</v>
      </c>
      <c r="D292" s="88" t="s">
        <v>1280</v>
      </c>
      <c r="E292" s="88" t="s">
        <v>606</v>
      </c>
      <c r="F292" s="90">
        <v>1</v>
      </c>
      <c r="G292" s="90">
        <f>'Stavební rozpočet (SO 13)'!G126</f>
        <v>0</v>
      </c>
      <c r="H292" s="90">
        <f aca="true" t="shared" si="326" ref="H292:H318">F292*AO292</f>
        <v>0</v>
      </c>
      <c r="I292" s="90">
        <f aca="true" t="shared" si="327" ref="I292:I318">F292*AP292</f>
        <v>0</v>
      </c>
      <c r="J292" s="90">
        <f aca="true" t="shared" si="328" ref="J292:J318">F292*G292</f>
        <v>0</v>
      </c>
      <c r="K292" s="90">
        <v>0</v>
      </c>
      <c r="L292" s="90">
        <f aca="true" t="shared" si="329" ref="L292:L318">F292*K292</f>
        <v>0</v>
      </c>
      <c r="M292" s="91" t="s">
        <v>622</v>
      </c>
      <c r="O292" s="90"/>
      <c r="P292" s="90"/>
      <c r="Z292" s="90">
        <f aca="true" t="shared" si="330" ref="Z292:Z318">IF(AQ292="5",BJ292,0)</f>
        <v>0</v>
      </c>
      <c r="AB292" s="90">
        <f aca="true" t="shared" si="331" ref="AB292:AB318">IF(AQ292="1",BH292,0)</f>
        <v>0</v>
      </c>
      <c r="AC292" s="90">
        <f aca="true" t="shared" si="332" ref="AC292:AC318">IF(AQ292="1",BI292,0)</f>
        <v>0</v>
      </c>
      <c r="AD292" s="90">
        <f aca="true" t="shared" si="333" ref="AD292:AD318">IF(AQ292="7",BH292,0)</f>
        <v>0</v>
      </c>
      <c r="AE292" s="90">
        <f aca="true" t="shared" si="334" ref="AE292:AE318">IF(AQ292="7",BI292,0)</f>
        <v>0</v>
      </c>
      <c r="AF292" s="90">
        <f aca="true" t="shared" si="335" ref="AF292:AF318">IF(AQ292="2",BH292,0)</f>
        <v>0</v>
      </c>
      <c r="AG292" s="90">
        <f aca="true" t="shared" si="336" ref="AG292:AG318">IF(AQ292="2",BI292,0)</f>
        <v>0</v>
      </c>
      <c r="AH292" s="90">
        <f aca="true" t="shared" si="337" ref="AH292:AH318">IF(AQ292="0",BJ292,0)</f>
        <v>0</v>
      </c>
      <c r="AI292" s="154" t="s">
        <v>60</v>
      </c>
      <c r="AJ292" s="90">
        <f aca="true" t="shared" si="338" ref="AJ292:AJ318">IF(AN292=0,J292,0)</f>
        <v>0</v>
      </c>
      <c r="AK292" s="90">
        <f aca="true" t="shared" si="339" ref="AK292:AK318">IF(AN292=15,J292,0)</f>
        <v>0</v>
      </c>
      <c r="AL292" s="90">
        <f aca="true" t="shared" si="340" ref="AL292:AL318">IF(AN292=21,J292,0)</f>
        <v>0</v>
      </c>
      <c r="AN292" s="90">
        <v>21</v>
      </c>
      <c r="AO292" s="90">
        <f aca="true" t="shared" si="341" ref="AO292:AO318">G292*0</f>
        <v>0</v>
      </c>
      <c r="AP292" s="90">
        <f aca="true" t="shared" si="342" ref="AP292:AP318">G292*(1-0)</f>
        <v>0</v>
      </c>
      <c r="AQ292" s="91" t="s">
        <v>85</v>
      </c>
      <c r="AV292" s="90">
        <f aca="true" t="shared" si="343" ref="AV292:AV318">AW292+AX292</f>
        <v>0</v>
      </c>
      <c r="AW292" s="90">
        <f aca="true" t="shared" si="344" ref="AW292:AW318">F292*AO292</f>
        <v>0</v>
      </c>
      <c r="AX292" s="90">
        <f aca="true" t="shared" si="345" ref="AX292:AX318">F292*AP292</f>
        <v>0</v>
      </c>
      <c r="AY292" s="91" t="s">
        <v>642</v>
      </c>
      <c r="AZ292" s="91" t="s">
        <v>1537</v>
      </c>
      <c r="BA292" s="154" t="s">
        <v>1542</v>
      </c>
      <c r="BC292" s="90">
        <f aca="true" t="shared" si="346" ref="BC292:BC318">AW292+AX292</f>
        <v>0</v>
      </c>
      <c r="BD292" s="90">
        <f aca="true" t="shared" si="347" ref="BD292:BD318">G292/(100-BE292)*100</f>
        <v>0</v>
      </c>
      <c r="BE292" s="90">
        <v>0</v>
      </c>
      <c r="BF292" s="90">
        <f aca="true" t="shared" si="348" ref="BF292:BF318">L292</f>
        <v>0</v>
      </c>
      <c r="BH292" s="90">
        <f aca="true" t="shared" si="349" ref="BH292:BH318">F292*AO292</f>
        <v>0</v>
      </c>
      <c r="BI292" s="90">
        <f aca="true" t="shared" si="350" ref="BI292:BI318">F292*AP292</f>
        <v>0</v>
      </c>
      <c r="BJ292" s="90">
        <f aca="true" t="shared" si="351" ref="BJ292:BJ318">F292*G292</f>
        <v>0</v>
      </c>
    </row>
    <row r="293" spans="1:62" ht="12.75">
      <c r="A293" s="88" t="s">
        <v>745</v>
      </c>
      <c r="B293" s="88" t="s">
        <v>60</v>
      </c>
      <c r="C293" s="88" t="s">
        <v>984</v>
      </c>
      <c r="D293" s="88" t="s">
        <v>1281</v>
      </c>
      <c r="E293" s="88" t="s">
        <v>606</v>
      </c>
      <c r="F293" s="90">
        <v>1</v>
      </c>
      <c r="G293" s="90">
        <f>'Stavební rozpočet (SO 13)'!G127</f>
        <v>0</v>
      </c>
      <c r="H293" s="90">
        <f t="shared" si="326"/>
        <v>0</v>
      </c>
      <c r="I293" s="90">
        <f t="shared" si="327"/>
        <v>0</v>
      </c>
      <c r="J293" s="90">
        <f t="shared" si="328"/>
        <v>0</v>
      </c>
      <c r="K293" s="90">
        <v>0</v>
      </c>
      <c r="L293" s="90">
        <f t="shared" si="329"/>
        <v>0</v>
      </c>
      <c r="M293" s="91" t="s">
        <v>622</v>
      </c>
      <c r="O293" s="90"/>
      <c r="P293" s="90"/>
      <c r="Z293" s="90">
        <f t="shared" si="330"/>
        <v>0</v>
      </c>
      <c r="AB293" s="90">
        <f t="shared" si="331"/>
        <v>0</v>
      </c>
      <c r="AC293" s="90">
        <f t="shared" si="332"/>
        <v>0</v>
      </c>
      <c r="AD293" s="90">
        <f t="shared" si="333"/>
        <v>0</v>
      </c>
      <c r="AE293" s="90">
        <f t="shared" si="334"/>
        <v>0</v>
      </c>
      <c r="AF293" s="90">
        <f t="shared" si="335"/>
        <v>0</v>
      </c>
      <c r="AG293" s="90">
        <f t="shared" si="336"/>
        <v>0</v>
      </c>
      <c r="AH293" s="90">
        <f t="shared" si="337"/>
        <v>0</v>
      </c>
      <c r="AI293" s="154" t="s">
        <v>60</v>
      </c>
      <c r="AJ293" s="90">
        <f t="shared" si="338"/>
        <v>0</v>
      </c>
      <c r="AK293" s="90">
        <f t="shared" si="339"/>
        <v>0</v>
      </c>
      <c r="AL293" s="90">
        <f t="shared" si="340"/>
        <v>0</v>
      </c>
      <c r="AN293" s="90">
        <v>21</v>
      </c>
      <c r="AO293" s="90">
        <f t="shared" si="341"/>
        <v>0</v>
      </c>
      <c r="AP293" s="90">
        <f t="shared" si="342"/>
        <v>0</v>
      </c>
      <c r="AQ293" s="91" t="s">
        <v>85</v>
      </c>
      <c r="AV293" s="90">
        <f t="shared" si="343"/>
        <v>0</v>
      </c>
      <c r="AW293" s="90">
        <f t="shared" si="344"/>
        <v>0</v>
      </c>
      <c r="AX293" s="90">
        <f t="shared" si="345"/>
        <v>0</v>
      </c>
      <c r="AY293" s="91" t="s">
        <v>642</v>
      </c>
      <c r="AZ293" s="91" t="s">
        <v>1537</v>
      </c>
      <c r="BA293" s="154" t="s">
        <v>1542</v>
      </c>
      <c r="BC293" s="90">
        <f t="shared" si="346"/>
        <v>0</v>
      </c>
      <c r="BD293" s="90">
        <f t="shared" si="347"/>
        <v>0</v>
      </c>
      <c r="BE293" s="90">
        <v>0</v>
      </c>
      <c r="BF293" s="90">
        <f t="shared" si="348"/>
        <v>0</v>
      </c>
      <c r="BH293" s="90">
        <f t="shared" si="349"/>
        <v>0</v>
      </c>
      <c r="BI293" s="90">
        <f t="shared" si="350"/>
        <v>0</v>
      </c>
      <c r="BJ293" s="90">
        <f t="shared" si="351"/>
        <v>0</v>
      </c>
    </row>
    <row r="294" spans="1:62" ht="12.75">
      <c r="A294" s="88" t="s">
        <v>746</v>
      </c>
      <c r="B294" s="88" t="s">
        <v>60</v>
      </c>
      <c r="C294" s="88" t="s">
        <v>985</v>
      </c>
      <c r="D294" s="88" t="s">
        <v>1282</v>
      </c>
      <c r="E294" s="88" t="s">
        <v>606</v>
      </c>
      <c r="F294" s="90">
        <v>1</v>
      </c>
      <c r="G294" s="90">
        <f>'Stavební rozpočet (SO 13)'!G128</f>
        <v>0</v>
      </c>
      <c r="H294" s="90">
        <f t="shared" si="326"/>
        <v>0</v>
      </c>
      <c r="I294" s="90">
        <f t="shared" si="327"/>
        <v>0</v>
      </c>
      <c r="J294" s="90">
        <f t="shared" si="328"/>
        <v>0</v>
      </c>
      <c r="K294" s="90">
        <v>0</v>
      </c>
      <c r="L294" s="90">
        <f t="shared" si="329"/>
        <v>0</v>
      </c>
      <c r="M294" s="91" t="s">
        <v>622</v>
      </c>
      <c r="O294" s="90"/>
      <c r="P294" s="90"/>
      <c r="Z294" s="90">
        <f t="shared" si="330"/>
        <v>0</v>
      </c>
      <c r="AB294" s="90">
        <f t="shared" si="331"/>
        <v>0</v>
      </c>
      <c r="AC294" s="90">
        <f t="shared" si="332"/>
        <v>0</v>
      </c>
      <c r="AD294" s="90">
        <f t="shared" si="333"/>
        <v>0</v>
      </c>
      <c r="AE294" s="90">
        <f t="shared" si="334"/>
        <v>0</v>
      </c>
      <c r="AF294" s="90">
        <f t="shared" si="335"/>
        <v>0</v>
      </c>
      <c r="AG294" s="90">
        <f t="shared" si="336"/>
        <v>0</v>
      </c>
      <c r="AH294" s="90">
        <f t="shared" si="337"/>
        <v>0</v>
      </c>
      <c r="AI294" s="154" t="s">
        <v>60</v>
      </c>
      <c r="AJ294" s="90">
        <f t="shared" si="338"/>
        <v>0</v>
      </c>
      <c r="AK294" s="90">
        <f t="shared" si="339"/>
        <v>0</v>
      </c>
      <c r="AL294" s="90">
        <f t="shared" si="340"/>
        <v>0</v>
      </c>
      <c r="AN294" s="90">
        <v>21</v>
      </c>
      <c r="AO294" s="90">
        <f t="shared" si="341"/>
        <v>0</v>
      </c>
      <c r="AP294" s="90">
        <f t="shared" si="342"/>
        <v>0</v>
      </c>
      <c r="AQ294" s="91" t="s">
        <v>85</v>
      </c>
      <c r="AV294" s="90">
        <f t="shared" si="343"/>
        <v>0</v>
      </c>
      <c r="AW294" s="90">
        <f t="shared" si="344"/>
        <v>0</v>
      </c>
      <c r="AX294" s="90">
        <f t="shared" si="345"/>
        <v>0</v>
      </c>
      <c r="AY294" s="91" t="s">
        <v>642</v>
      </c>
      <c r="AZ294" s="91" t="s">
        <v>1537</v>
      </c>
      <c r="BA294" s="154" t="s">
        <v>1542</v>
      </c>
      <c r="BC294" s="90">
        <f t="shared" si="346"/>
        <v>0</v>
      </c>
      <c r="BD294" s="90">
        <f t="shared" si="347"/>
        <v>0</v>
      </c>
      <c r="BE294" s="90">
        <v>0</v>
      </c>
      <c r="BF294" s="90">
        <f t="shared" si="348"/>
        <v>0</v>
      </c>
      <c r="BH294" s="90">
        <f t="shared" si="349"/>
        <v>0</v>
      </c>
      <c r="BI294" s="90">
        <f t="shared" si="350"/>
        <v>0</v>
      </c>
      <c r="BJ294" s="90">
        <f t="shared" si="351"/>
        <v>0</v>
      </c>
    </row>
    <row r="295" spans="1:62" ht="12.75">
      <c r="A295" s="88" t="s">
        <v>747</v>
      </c>
      <c r="B295" s="88" t="s">
        <v>60</v>
      </c>
      <c r="C295" s="88" t="s">
        <v>986</v>
      </c>
      <c r="D295" s="88" t="s">
        <v>1283</v>
      </c>
      <c r="E295" s="88" t="s">
        <v>606</v>
      </c>
      <c r="F295" s="90">
        <v>1</v>
      </c>
      <c r="G295" s="90">
        <f>'Stavební rozpočet (SO 13)'!G129</f>
        <v>0</v>
      </c>
      <c r="H295" s="90">
        <f t="shared" si="326"/>
        <v>0</v>
      </c>
      <c r="I295" s="90">
        <f t="shared" si="327"/>
        <v>0</v>
      </c>
      <c r="J295" s="90">
        <f t="shared" si="328"/>
        <v>0</v>
      </c>
      <c r="K295" s="90">
        <v>0</v>
      </c>
      <c r="L295" s="90">
        <f t="shared" si="329"/>
        <v>0</v>
      </c>
      <c r="M295" s="91" t="s">
        <v>622</v>
      </c>
      <c r="O295" s="90"/>
      <c r="P295" s="90"/>
      <c r="Z295" s="90">
        <f t="shared" si="330"/>
        <v>0</v>
      </c>
      <c r="AB295" s="90">
        <f t="shared" si="331"/>
        <v>0</v>
      </c>
      <c r="AC295" s="90">
        <f t="shared" si="332"/>
        <v>0</v>
      </c>
      <c r="AD295" s="90">
        <f t="shared" si="333"/>
        <v>0</v>
      </c>
      <c r="AE295" s="90">
        <f t="shared" si="334"/>
        <v>0</v>
      </c>
      <c r="AF295" s="90">
        <f t="shared" si="335"/>
        <v>0</v>
      </c>
      <c r="AG295" s="90">
        <f t="shared" si="336"/>
        <v>0</v>
      </c>
      <c r="AH295" s="90">
        <f t="shared" si="337"/>
        <v>0</v>
      </c>
      <c r="AI295" s="154" t="s">
        <v>60</v>
      </c>
      <c r="AJ295" s="90">
        <f t="shared" si="338"/>
        <v>0</v>
      </c>
      <c r="AK295" s="90">
        <f t="shared" si="339"/>
        <v>0</v>
      </c>
      <c r="AL295" s="90">
        <f t="shared" si="340"/>
        <v>0</v>
      </c>
      <c r="AN295" s="90">
        <v>21</v>
      </c>
      <c r="AO295" s="90">
        <f t="shared" si="341"/>
        <v>0</v>
      </c>
      <c r="AP295" s="90">
        <f t="shared" si="342"/>
        <v>0</v>
      </c>
      <c r="AQ295" s="91" t="s">
        <v>85</v>
      </c>
      <c r="AV295" s="90">
        <f t="shared" si="343"/>
        <v>0</v>
      </c>
      <c r="AW295" s="90">
        <f t="shared" si="344"/>
        <v>0</v>
      </c>
      <c r="AX295" s="90">
        <f t="shared" si="345"/>
        <v>0</v>
      </c>
      <c r="AY295" s="91" t="s">
        <v>642</v>
      </c>
      <c r="AZ295" s="91" t="s">
        <v>1537</v>
      </c>
      <c r="BA295" s="154" t="s">
        <v>1542</v>
      </c>
      <c r="BC295" s="90">
        <f t="shared" si="346"/>
        <v>0</v>
      </c>
      <c r="BD295" s="90">
        <f t="shared" si="347"/>
        <v>0</v>
      </c>
      <c r="BE295" s="90">
        <v>0</v>
      </c>
      <c r="BF295" s="90">
        <f t="shared" si="348"/>
        <v>0</v>
      </c>
      <c r="BH295" s="90">
        <f t="shared" si="349"/>
        <v>0</v>
      </c>
      <c r="BI295" s="90">
        <f t="shared" si="350"/>
        <v>0</v>
      </c>
      <c r="BJ295" s="90">
        <f t="shared" si="351"/>
        <v>0</v>
      </c>
    </row>
    <row r="296" spans="1:62" ht="12.75">
      <c r="A296" s="88" t="s">
        <v>748</v>
      </c>
      <c r="B296" s="88" t="s">
        <v>60</v>
      </c>
      <c r="C296" s="88" t="s">
        <v>987</v>
      </c>
      <c r="D296" s="88" t="s">
        <v>1284</v>
      </c>
      <c r="E296" s="88" t="s">
        <v>606</v>
      </c>
      <c r="F296" s="90">
        <v>0</v>
      </c>
      <c r="G296" s="90">
        <f>'Stavební rozpočet (SO 13)'!G130</f>
        <v>0</v>
      </c>
      <c r="H296" s="90">
        <f t="shared" si="326"/>
        <v>0</v>
      </c>
      <c r="I296" s="90">
        <f t="shared" si="327"/>
        <v>0</v>
      </c>
      <c r="J296" s="90">
        <f t="shared" si="328"/>
        <v>0</v>
      </c>
      <c r="K296" s="90">
        <v>0</v>
      </c>
      <c r="L296" s="90">
        <f t="shared" si="329"/>
        <v>0</v>
      </c>
      <c r="M296" s="91" t="s">
        <v>622</v>
      </c>
      <c r="O296" s="90"/>
      <c r="P296" s="90"/>
      <c r="Z296" s="90">
        <f t="shared" si="330"/>
        <v>0</v>
      </c>
      <c r="AB296" s="90">
        <f t="shared" si="331"/>
        <v>0</v>
      </c>
      <c r="AC296" s="90">
        <f t="shared" si="332"/>
        <v>0</v>
      </c>
      <c r="AD296" s="90">
        <f t="shared" si="333"/>
        <v>0</v>
      </c>
      <c r="AE296" s="90">
        <f t="shared" si="334"/>
        <v>0</v>
      </c>
      <c r="AF296" s="90">
        <f t="shared" si="335"/>
        <v>0</v>
      </c>
      <c r="AG296" s="90">
        <f t="shared" si="336"/>
        <v>0</v>
      </c>
      <c r="AH296" s="90">
        <f t="shared" si="337"/>
        <v>0</v>
      </c>
      <c r="AI296" s="154" t="s">
        <v>60</v>
      </c>
      <c r="AJ296" s="90">
        <f t="shared" si="338"/>
        <v>0</v>
      </c>
      <c r="AK296" s="90">
        <f t="shared" si="339"/>
        <v>0</v>
      </c>
      <c r="AL296" s="90">
        <f t="shared" si="340"/>
        <v>0</v>
      </c>
      <c r="AN296" s="90">
        <v>21</v>
      </c>
      <c r="AO296" s="90">
        <f t="shared" si="341"/>
        <v>0</v>
      </c>
      <c r="AP296" s="90">
        <f t="shared" si="342"/>
        <v>0</v>
      </c>
      <c r="AQ296" s="91" t="s">
        <v>85</v>
      </c>
      <c r="AV296" s="90">
        <f t="shared" si="343"/>
        <v>0</v>
      </c>
      <c r="AW296" s="90">
        <f t="shared" si="344"/>
        <v>0</v>
      </c>
      <c r="AX296" s="90">
        <f t="shared" si="345"/>
        <v>0</v>
      </c>
      <c r="AY296" s="91" t="s">
        <v>642</v>
      </c>
      <c r="AZ296" s="91" t="s">
        <v>1537</v>
      </c>
      <c r="BA296" s="154" t="s">
        <v>1542</v>
      </c>
      <c r="BC296" s="90">
        <f t="shared" si="346"/>
        <v>0</v>
      </c>
      <c r="BD296" s="90">
        <f t="shared" si="347"/>
        <v>0</v>
      </c>
      <c r="BE296" s="90">
        <v>0</v>
      </c>
      <c r="BF296" s="90">
        <f t="shared" si="348"/>
        <v>0</v>
      </c>
      <c r="BH296" s="90">
        <f t="shared" si="349"/>
        <v>0</v>
      </c>
      <c r="BI296" s="90">
        <f t="shared" si="350"/>
        <v>0</v>
      </c>
      <c r="BJ296" s="90">
        <f t="shared" si="351"/>
        <v>0</v>
      </c>
    </row>
    <row r="297" spans="1:62" ht="12.75">
      <c r="A297" s="88" t="s">
        <v>749</v>
      </c>
      <c r="B297" s="88" t="s">
        <v>60</v>
      </c>
      <c r="C297" s="88" t="s">
        <v>988</v>
      </c>
      <c r="D297" s="88" t="s">
        <v>1285</v>
      </c>
      <c r="E297" s="88" t="s">
        <v>606</v>
      </c>
      <c r="F297" s="90">
        <v>1</v>
      </c>
      <c r="G297" s="90">
        <f>'Stavební rozpočet (SO 13)'!G131</f>
        <v>0</v>
      </c>
      <c r="H297" s="90">
        <f t="shared" si="326"/>
        <v>0</v>
      </c>
      <c r="I297" s="90">
        <f t="shared" si="327"/>
        <v>0</v>
      </c>
      <c r="J297" s="90">
        <f t="shared" si="328"/>
        <v>0</v>
      </c>
      <c r="K297" s="90">
        <v>0</v>
      </c>
      <c r="L297" s="90">
        <f t="shared" si="329"/>
        <v>0</v>
      </c>
      <c r="M297" s="91" t="s">
        <v>622</v>
      </c>
      <c r="O297" s="90"/>
      <c r="P297" s="90"/>
      <c r="Z297" s="90">
        <f t="shared" si="330"/>
        <v>0</v>
      </c>
      <c r="AB297" s="90">
        <f t="shared" si="331"/>
        <v>0</v>
      </c>
      <c r="AC297" s="90">
        <f t="shared" si="332"/>
        <v>0</v>
      </c>
      <c r="AD297" s="90">
        <f t="shared" si="333"/>
        <v>0</v>
      </c>
      <c r="AE297" s="90">
        <f t="shared" si="334"/>
        <v>0</v>
      </c>
      <c r="AF297" s="90">
        <f t="shared" si="335"/>
        <v>0</v>
      </c>
      <c r="AG297" s="90">
        <f t="shared" si="336"/>
        <v>0</v>
      </c>
      <c r="AH297" s="90">
        <f t="shared" si="337"/>
        <v>0</v>
      </c>
      <c r="AI297" s="154" t="s">
        <v>60</v>
      </c>
      <c r="AJ297" s="90">
        <f t="shared" si="338"/>
        <v>0</v>
      </c>
      <c r="AK297" s="90">
        <f t="shared" si="339"/>
        <v>0</v>
      </c>
      <c r="AL297" s="90">
        <f t="shared" si="340"/>
        <v>0</v>
      </c>
      <c r="AN297" s="90">
        <v>21</v>
      </c>
      <c r="AO297" s="90">
        <f t="shared" si="341"/>
        <v>0</v>
      </c>
      <c r="AP297" s="90">
        <f t="shared" si="342"/>
        <v>0</v>
      </c>
      <c r="AQ297" s="91" t="s">
        <v>85</v>
      </c>
      <c r="AV297" s="90">
        <f t="shared" si="343"/>
        <v>0</v>
      </c>
      <c r="AW297" s="90">
        <f t="shared" si="344"/>
        <v>0</v>
      </c>
      <c r="AX297" s="90">
        <f t="shared" si="345"/>
        <v>0</v>
      </c>
      <c r="AY297" s="91" t="s">
        <v>642</v>
      </c>
      <c r="AZ297" s="91" t="s">
        <v>1537</v>
      </c>
      <c r="BA297" s="154" t="s">
        <v>1542</v>
      </c>
      <c r="BC297" s="90">
        <f t="shared" si="346"/>
        <v>0</v>
      </c>
      <c r="BD297" s="90">
        <f t="shared" si="347"/>
        <v>0</v>
      </c>
      <c r="BE297" s="90">
        <v>0</v>
      </c>
      <c r="BF297" s="90">
        <f t="shared" si="348"/>
        <v>0</v>
      </c>
      <c r="BH297" s="90">
        <f t="shared" si="349"/>
        <v>0</v>
      </c>
      <c r="BI297" s="90">
        <f t="shared" si="350"/>
        <v>0</v>
      </c>
      <c r="BJ297" s="90">
        <f t="shared" si="351"/>
        <v>0</v>
      </c>
    </row>
    <row r="298" spans="1:62" ht="12.75">
      <c r="A298" s="88" t="s">
        <v>750</v>
      </c>
      <c r="B298" s="88" t="s">
        <v>60</v>
      </c>
      <c r="C298" s="88" t="s">
        <v>989</v>
      </c>
      <c r="D298" s="88" t="s">
        <v>1286</v>
      </c>
      <c r="E298" s="88" t="s">
        <v>609</v>
      </c>
      <c r="F298" s="90">
        <v>2.6</v>
      </c>
      <c r="G298" s="90">
        <f>'Stavební rozpočet (SO 13)'!G132</f>
        <v>0</v>
      </c>
      <c r="H298" s="90">
        <f t="shared" si="326"/>
        <v>0</v>
      </c>
      <c r="I298" s="90">
        <f t="shared" si="327"/>
        <v>0</v>
      </c>
      <c r="J298" s="90">
        <f t="shared" si="328"/>
        <v>0</v>
      </c>
      <c r="K298" s="90">
        <v>0</v>
      </c>
      <c r="L298" s="90">
        <f t="shared" si="329"/>
        <v>0</v>
      </c>
      <c r="M298" s="91" t="s">
        <v>622</v>
      </c>
      <c r="O298" s="90"/>
      <c r="P298" s="90"/>
      <c r="Z298" s="90">
        <f t="shared" si="330"/>
        <v>0</v>
      </c>
      <c r="AB298" s="90">
        <f t="shared" si="331"/>
        <v>0</v>
      </c>
      <c r="AC298" s="90">
        <f t="shared" si="332"/>
        <v>0</v>
      </c>
      <c r="AD298" s="90">
        <f t="shared" si="333"/>
        <v>0</v>
      </c>
      <c r="AE298" s="90">
        <f t="shared" si="334"/>
        <v>0</v>
      </c>
      <c r="AF298" s="90">
        <f t="shared" si="335"/>
        <v>0</v>
      </c>
      <c r="AG298" s="90">
        <f t="shared" si="336"/>
        <v>0</v>
      </c>
      <c r="AH298" s="90">
        <f t="shared" si="337"/>
        <v>0</v>
      </c>
      <c r="AI298" s="154" t="s">
        <v>60</v>
      </c>
      <c r="AJ298" s="90">
        <f t="shared" si="338"/>
        <v>0</v>
      </c>
      <c r="AK298" s="90">
        <f t="shared" si="339"/>
        <v>0</v>
      </c>
      <c r="AL298" s="90">
        <f t="shared" si="340"/>
        <v>0</v>
      </c>
      <c r="AN298" s="90">
        <v>21</v>
      </c>
      <c r="AO298" s="90">
        <f t="shared" si="341"/>
        <v>0</v>
      </c>
      <c r="AP298" s="90">
        <f t="shared" si="342"/>
        <v>0</v>
      </c>
      <c r="AQ298" s="91" t="s">
        <v>85</v>
      </c>
      <c r="AV298" s="90">
        <f t="shared" si="343"/>
        <v>0</v>
      </c>
      <c r="AW298" s="90">
        <f t="shared" si="344"/>
        <v>0</v>
      </c>
      <c r="AX298" s="90">
        <f t="shared" si="345"/>
        <v>0</v>
      </c>
      <c r="AY298" s="91" t="s">
        <v>642</v>
      </c>
      <c r="AZ298" s="91" t="s">
        <v>1537</v>
      </c>
      <c r="BA298" s="154" t="s">
        <v>1542</v>
      </c>
      <c r="BC298" s="90">
        <f t="shared" si="346"/>
        <v>0</v>
      </c>
      <c r="BD298" s="90">
        <f t="shared" si="347"/>
        <v>0</v>
      </c>
      <c r="BE298" s="90">
        <v>0</v>
      </c>
      <c r="BF298" s="90">
        <f t="shared" si="348"/>
        <v>0</v>
      </c>
      <c r="BH298" s="90">
        <f t="shared" si="349"/>
        <v>0</v>
      </c>
      <c r="BI298" s="90">
        <f t="shared" si="350"/>
        <v>0</v>
      </c>
      <c r="BJ298" s="90">
        <f t="shared" si="351"/>
        <v>0</v>
      </c>
    </row>
    <row r="299" spans="1:62" ht="12.75">
      <c r="A299" s="88" t="s">
        <v>751</v>
      </c>
      <c r="B299" s="88" t="s">
        <v>60</v>
      </c>
      <c r="C299" s="88" t="s">
        <v>990</v>
      </c>
      <c r="D299" s="88" t="s">
        <v>1287</v>
      </c>
      <c r="E299" s="88" t="s">
        <v>609</v>
      </c>
      <c r="F299" s="90">
        <v>2.6</v>
      </c>
      <c r="G299" s="90">
        <f>'Stavební rozpočet (SO 13)'!G133</f>
        <v>0</v>
      </c>
      <c r="H299" s="90">
        <f t="shared" si="326"/>
        <v>0</v>
      </c>
      <c r="I299" s="90">
        <f t="shared" si="327"/>
        <v>0</v>
      </c>
      <c r="J299" s="90">
        <f t="shared" si="328"/>
        <v>0</v>
      </c>
      <c r="K299" s="90">
        <v>0</v>
      </c>
      <c r="L299" s="90">
        <f t="shared" si="329"/>
        <v>0</v>
      </c>
      <c r="M299" s="91" t="s">
        <v>622</v>
      </c>
      <c r="O299" s="90"/>
      <c r="P299" s="90"/>
      <c r="Z299" s="90">
        <f t="shared" si="330"/>
        <v>0</v>
      </c>
      <c r="AB299" s="90">
        <f t="shared" si="331"/>
        <v>0</v>
      </c>
      <c r="AC299" s="90">
        <f t="shared" si="332"/>
        <v>0</v>
      </c>
      <c r="AD299" s="90">
        <f t="shared" si="333"/>
        <v>0</v>
      </c>
      <c r="AE299" s="90">
        <f t="shared" si="334"/>
        <v>0</v>
      </c>
      <c r="AF299" s="90">
        <f t="shared" si="335"/>
        <v>0</v>
      </c>
      <c r="AG299" s="90">
        <f t="shared" si="336"/>
        <v>0</v>
      </c>
      <c r="AH299" s="90">
        <f t="shared" si="337"/>
        <v>0</v>
      </c>
      <c r="AI299" s="154" t="s">
        <v>60</v>
      </c>
      <c r="AJ299" s="90">
        <f t="shared" si="338"/>
        <v>0</v>
      </c>
      <c r="AK299" s="90">
        <f t="shared" si="339"/>
        <v>0</v>
      </c>
      <c r="AL299" s="90">
        <f t="shared" si="340"/>
        <v>0</v>
      </c>
      <c r="AN299" s="90">
        <v>21</v>
      </c>
      <c r="AO299" s="90">
        <f t="shared" si="341"/>
        <v>0</v>
      </c>
      <c r="AP299" s="90">
        <f t="shared" si="342"/>
        <v>0</v>
      </c>
      <c r="AQ299" s="91" t="s">
        <v>85</v>
      </c>
      <c r="AV299" s="90">
        <f t="shared" si="343"/>
        <v>0</v>
      </c>
      <c r="AW299" s="90">
        <f t="shared" si="344"/>
        <v>0</v>
      </c>
      <c r="AX299" s="90">
        <f t="shared" si="345"/>
        <v>0</v>
      </c>
      <c r="AY299" s="91" t="s">
        <v>642</v>
      </c>
      <c r="AZ299" s="91" t="s">
        <v>1537</v>
      </c>
      <c r="BA299" s="154" t="s">
        <v>1542</v>
      </c>
      <c r="BC299" s="90">
        <f t="shared" si="346"/>
        <v>0</v>
      </c>
      <c r="BD299" s="90">
        <f t="shared" si="347"/>
        <v>0</v>
      </c>
      <c r="BE299" s="90">
        <v>0</v>
      </c>
      <c r="BF299" s="90">
        <f t="shared" si="348"/>
        <v>0</v>
      </c>
      <c r="BH299" s="90">
        <f t="shared" si="349"/>
        <v>0</v>
      </c>
      <c r="BI299" s="90">
        <f t="shared" si="350"/>
        <v>0</v>
      </c>
      <c r="BJ299" s="90">
        <f t="shared" si="351"/>
        <v>0</v>
      </c>
    </row>
    <row r="300" spans="1:62" ht="12.75">
      <c r="A300" s="88" t="s">
        <v>752</v>
      </c>
      <c r="B300" s="88" t="s">
        <v>60</v>
      </c>
      <c r="C300" s="88" t="s">
        <v>991</v>
      </c>
      <c r="D300" s="88" t="s">
        <v>1288</v>
      </c>
      <c r="E300" s="88" t="s">
        <v>606</v>
      </c>
      <c r="F300" s="90">
        <v>1</v>
      </c>
      <c r="G300" s="90">
        <f>'Stavební rozpočet (SO 13)'!G134</f>
        <v>0</v>
      </c>
      <c r="H300" s="90">
        <f t="shared" si="326"/>
        <v>0</v>
      </c>
      <c r="I300" s="90">
        <f t="shared" si="327"/>
        <v>0</v>
      </c>
      <c r="J300" s="90">
        <f t="shared" si="328"/>
        <v>0</v>
      </c>
      <c r="K300" s="90">
        <v>0</v>
      </c>
      <c r="L300" s="90">
        <f t="shared" si="329"/>
        <v>0</v>
      </c>
      <c r="M300" s="91" t="s">
        <v>622</v>
      </c>
      <c r="O300" s="90"/>
      <c r="P300" s="90"/>
      <c r="Z300" s="90">
        <f t="shared" si="330"/>
        <v>0</v>
      </c>
      <c r="AB300" s="90">
        <f t="shared" si="331"/>
        <v>0</v>
      </c>
      <c r="AC300" s="90">
        <f t="shared" si="332"/>
        <v>0</v>
      </c>
      <c r="AD300" s="90">
        <f t="shared" si="333"/>
        <v>0</v>
      </c>
      <c r="AE300" s="90">
        <f t="shared" si="334"/>
        <v>0</v>
      </c>
      <c r="AF300" s="90">
        <f t="shared" si="335"/>
        <v>0</v>
      </c>
      <c r="AG300" s="90">
        <f t="shared" si="336"/>
        <v>0</v>
      </c>
      <c r="AH300" s="90">
        <f t="shared" si="337"/>
        <v>0</v>
      </c>
      <c r="AI300" s="154" t="s">
        <v>60</v>
      </c>
      <c r="AJ300" s="90">
        <f t="shared" si="338"/>
        <v>0</v>
      </c>
      <c r="AK300" s="90">
        <f t="shared" si="339"/>
        <v>0</v>
      </c>
      <c r="AL300" s="90">
        <f t="shared" si="340"/>
        <v>0</v>
      </c>
      <c r="AN300" s="90">
        <v>21</v>
      </c>
      <c r="AO300" s="90">
        <f t="shared" si="341"/>
        <v>0</v>
      </c>
      <c r="AP300" s="90">
        <f t="shared" si="342"/>
        <v>0</v>
      </c>
      <c r="AQ300" s="91" t="s">
        <v>85</v>
      </c>
      <c r="AV300" s="90">
        <f t="shared" si="343"/>
        <v>0</v>
      </c>
      <c r="AW300" s="90">
        <f t="shared" si="344"/>
        <v>0</v>
      </c>
      <c r="AX300" s="90">
        <f t="shared" si="345"/>
        <v>0</v>
      </c>
      <c r="AY300" s="91" t="s">
        <v>642</v>
      </c>
      <c r="AZ300" s="91" t="s">
        <v>1537</v>
      </c>
      <c r="BA300" s="154" t="s">
        <v>1542</v>
      </c>
      <c r="BC300" s="90">
        <f t="shared" si="346"/>
        <v>0</v>
      </c>
      <c r="BD300" s="90">
        <f t="shared" si="347"/>
        <v>0</v>
      </c>
      <c r="BE300" s="90">
        <v>0</v>
      </c>
      <c r="BF300" s="90">
        <f t="shared" si="348"/>
        <v>0</v>
      </c>
      <c r="BH300" s="90">
        <f t="shared" si="349"/>
        <v>0</v>
      </c>
      <c r="BI300" s="90">
        <f t="shared" si="350"/>
        <v>0</v>
      </c>
      <c r="BJ300" s="90">
        <f t="shared" si="351"/>
        <v>0</v>
      </c>
    </row>
    <row r="301" spans="1:62" ht="12.75">
      <c r="A301" s="88" t="s">
        <v>753</v>
      </c>
      <c r="B301" s="88" t="s">
        <v>60</v>
      </c>
      <c r="C301" s="88" t="s">
        <v>992</v>
      </c>
      <c r="D301" s="88" t="s">
        <v>1289</v>
      </c>
      <c r="E301" s="88" t="s">
        <v>609</v>
      </c>
      <c r="F301" s="90">
        <v>13.4</v>
      </c>
      <c r="G301" s="90">
        <f>'Stavební rozpočet (SO 13)'!G135</f>
        <v>0</v>
      </c>
      <c r="H301" s="90">
        <f t="shared" si="326"/>
        <v>0</v>
      </c>
      <c r="I301" s="90">
        <f t="shared" si="327"/>
        <v>0</v>
      </c>
      <c r="J301" s="90">
        <f t="shared" si="328"/>
        <v>0</v>
      </c>
      <c r="K301" s="90">
        <v>0</v>
      </c>
      <c r="L301" s="90">
        <f t="shared" si="329"/>
        <v>0</v>
      </c>
      <c r="M301" s="91" t="s">
        <v>622</v>
      </c>
      <c r="O301" s="90"/>
      <c r="P301" s="90"/>
      <c r="Z301" s="90">
        <f t="shared" si="330"/>
        <v>0</v>
      </c>
      <c r="AB301" s="90">
        <f t="shared" si="331"/>
        <v>0</v>
      </c>
      <c r="AC301" s="90">
        <f t="shared" si="332"/>
        <v>0</v>
      </c>
      <c r="AD301" s="90">
        <f t="shared" si="333"/>
        <v>0</v>
      </c>
      <c r="AE301" s="90">
        <f t="shared" si="334"/>
        <v>0</v>
      </c>
      <c r="AF301" s="90">
        <f t="shared" si="335"/>
        <v>0</v>
      </c>
      <c r="AG301" s="90">
        <f t="shared" si="336"/>
        <v>0</v>
      </c>
      <c r="AH301" s="90">
        <f t="shared" si="337"/>
        <v>0</v>
      </c>
      <c r="AI301" s="154" t="s">
        <v>60</v>
      </c>
      <c r="AJ301" s="90">
        <f t="shared" si="338"/>
        <v>0</v>
      </c>
      <c r="AK301" s="90">
        <f t="shared" si="339"/>
        <v>0</v>
      </c>
      <c r="AL301" s="90">
        <f t="shared" si="340"/>
        <v>0</v>
      </c>
      <c r="AN301" s="90">
        <v>21</v>
      </c>
      <c r="AO301" s="90">
        <f t="shared" si="341"/>
        <v>0</v>
      </c>
      <c r="AP301" s="90">
        <f t="shared" si="342"/>
        <v>0</v>
      </c>
      <c r="AQ301" s="91" t="s">
        <v>85</v>
      </c>
      <c r="AV301" s="90">
        <f t="shared" si="343"/>
        <v>0</v>
      </c>
      <c r="AW301" s="90">
        <f t="shared" si="344"/>
        <v>0</v>
      </c>
      <c r="AX301" s="90">
        <f t="shared" si="345"/>
        <v>0</v>
      </c>
      <c r="AY301" s="91" t="s">
        <v>642</v>
      </c>
      <c r="AZ301" s="91" t="s">
        <v>1537</v>
      </c>
      <c r="BA301" s="154" t="s">
        <v>1542</v>
      </c>
      <c r="BC301" s="90">
        <f t="shared" si="346"/>
        <v>0</v>
      </c>
      <c r="BD301" s="90">
        <f t="shared" si="347"/>
        <v>0</v>
      </c>
      <c r="BE301" s="90">
        <v>0</v>
      </c>
      <c r="BF301" s="90">
        <f t="shared" si="348"/>
        <v>0</v>
      </c>
      <c r="BH301" s="90">
        <f t="shared" si="349"/>
        <v>0</v>
      </c>
      <c r="BI301" s="90">
        <f t="shared" si="350"/>
        <v>0</v>
      </c>
      <c r="BJ301" s="90">
        <f t="shared" si="351"/>
        <v>0</v>
      </c>
    </row>
    <row r="302" spans="1:62" ht="12.75">
      <c r="A302" s="88" t="s">
        <v>754</v>
      </c>
      <c r="B302" s="88" t="s">
        <v>60</v>
      </c>
      <c r="C302" s="88" t="s">
        <v>993</v>
      </c>
      <c r="D302" s="88" t="s">
        <v>1290</v>
      </c>
      <c r="E302" s="88" t="s">
        <v>609</v>
      </c>
      <c r="F302" s="90">
        <v>13.2</v>
      </c>
      <c r="G302" s="90">
        <f>'Stavební rozpočet (SO 13)'!G136</f>
        <v>0</v>
      </c>
      <c r="H302" s="90">
        <f t="shared" si="326"/>
        <v>0</v>
      </c>
      <c r="I302" s="90">
        <f t="shared" si="327"/>
        <v>0</v>
      </c>
      <c r="J302" s="90">
        <f t="shared" si="328"/>
        <v>0</v>
      </c>
      <c r="K302" s="90">
        <v>0</v>
      </c>
      <c r="L302" s="90">
        <f t="shared" si="329"/>
        <v>0</v>
      </c>
      <c r="M302" s="91" t="s">
        <v>622</v>
      </c>
      <c r="O302" s="90"/>
      <c r="P302" s="90"/>
      <c r="Z302" s="90">
        <f t="shared" si="330"/>
        <v>0</v>
      </c>
      <c r="AB302" s="90">
        <f t="shared" si="331"/>
        <v>0</v>
      </c>
      <c r="AC302" s="90">
        <f t="shared" si="332"/>
        <v>0</v>
      </c>
      <c r="AD302" s="90">
        <f t="shared" si="333"/>
        <v>0</v>
      </c>
      <c r="AE302" s="90">
        <f t="shared" si="334"/>
        <v>0</v>
      </c>
      <c r="AF302" s="90">
        <f t="shared" si="335"/>
        <v>0</v>
      </c>
      <c r="AG302" s="90">
        <f t="shared" si="336"/>
        <v>0</v>
      </c>
      <c r="AH302" s="90">
        <f t="shared" si="337"/>
        <v>0</v>
      </c>
      <c r="AI302" s="154" t="s">
        <v>60</v>
      </c>
      <c r="AJ302" s="90">
        <f t="shared" si="338"/>
        <v>0</v>
      </c>
      <c r="AK302" s="90">
        <f t="shared" si="339"/>
        <v>0</v>
      </c>
      <c r="AL302" s="90">
        <f t="shared" si="340"/>
        <v>0</v>
      </c>
      <c r="AN302" s="90">
        <v>21</v>
      </c>
      <c r="AO302" s="90">
        <f t="shared" si="341"/>
        <v>0</v>
      </c>
      <c r="AP302" s="90">
        <f t="shared" si="342"/>
        <v>0</v>
      </c>
      <c r="AQ302" s="91" t="s">
        <v>85</v>
      </c>
      <c r="AV302" s="90">
        <f t="shared" si="343"/>
        <v>0</v>
      </c>
      <c r="AW302" s="90">
        <f t="shared" si="344"/>
        <v>0</v>
      </c>
      <c r="AX302" s="90">
        <f t="shared" si="345"/>
        <v>0</v>
      </c>
      <c r="AY302" s="91" t="s">
        <v>642</v>
      </c>
      <c r="AZ302" s="91" t="s">
        <v>1537</v>
      </c>
      <c r="BA302" s="154" t="s">
        <v>1542</v>
      </c>
      <c r="BC302" s="90">
        <f t="shared" si="346"/>
        <v>0</v>
      </c>
      <c r="BD302" s="90">
        <f t="shared" si="347"/>
        <v>0</v>
      </c>
      <c r="BE302" s="90">
        <v>0</v>
      </c>
      <c r="BF302" s="90">
        <f t="shared" si="348"/>
        <v>0</v>
      </c>
      <c r="BH302" s="90">
        <f t="shared" si="349"/>
        <v>0</v>
      </c>
      <c r="BI302" s="90">
        <f t="shared" si="350"/>
        <v>0</v>
      </c>
      <c r="BJ302" s="90">
        <f t="shared" si="351"/>
        <v>0</v>
      </c>
    </row>
    <row r="303" spans="1:62" ht="12.75">
      <c r="A303" s="88" t="s">
        <v>755</v>
      </c>
      <c r="B303" s="88" t="s">
        <v>60</v>
      </c>
      <c r="C303" s="88" t="s">
        <v>994</v>
      </c>
      <c r="D303" s="88" t="s">
        <v>1291</v>
      </c>
      <c r="E303" s="88" t="s">
        <v>609</v>
      </c>
      <c r="F303" s="90">
        <v>33.4</v>
      </c>
      <c r="G303" s="90">
        <f>'Stavební rozpočet (SO 13)'!G137</f>
        <v>0</v>
      </c>
      <c r="H303" s="90">
        <f t="shared" si="326"/>
        <v>0</v>
      </c>
      <c r="I303" s="90">
        <f t="shared" si="327"/>
        <v>0</v>
      </c>
      <c r="J303" s="90">
        <f t="shared" si="328"/>
        <v>0</v>
      </c>
      <c r="K303" s="90">
        <v>0</v>
      </c>
      <c r="L303" s="90">
        <f t="shared" si="329"/>
        <v>0</v>
      </c>
      <c r="M303" s="91" t="s">
        <v>622</v>
      </c>
      <c r="O303" s="90"/>
      <c r="P303" s="90"/>
      <c r="Z303" s="90">
        <f t="shared" si="330"/>
        <v>0</v>
      </c>
      <c r="AB303" s="90">
        <f t="shared" si="331"/>
        <v>0</v>
      </c>
      <c r="AC303" s="90">
        <f t="shared" si="332"/>
        <v>0</v>
      </c>
      <c r="AD303" s="90">
        <f t="shared" si="333"/>
        <v>0</v>
      </c>
      <c r="AE303" s="90">
        <f t="shared" si="334"/>
        <v>0</v>
      </c>
      <c r="AF303" s="90">
        <f t="shared" si="335"/>
        <v>0</v>
      </c>
      <c r="AG303" s="90">
        <f t="shared" si="336"/>
        <v>0</v>
      </c>
      <c r="AH303" s="90">
        <f t="shared" si="337"/>
        <v>0</v>
      </c>
      <c r="AI303" s="154" t="s">
        <v>60</v>
      </c>
      <c r="AJ303" s="90">
        <f t="shared" si="338"/>
        <v>0</v>
      </c>
      <c r="AK303" s="90">
        <f t="shared" si="339"/>
        <v>0</v>
      </c>
      <c r="AL303" s="90">
        <f t="shared" si="340"/>
        <v>0</v>
      </c>
      <c r="AN303" s="90">
        <v>21</v>
      </c>
      <c r="AO303" s="90">
        <f t="shared" si="341"/>
        <v>0</v>
      </c>
      <c r="AP303" s="90">
        <f t="shared" si="342"/>
        <v>0</v>
      </c>
      <c r="AQ303" s="91" t="s">
        <v>85</v>
      </c>
      <c r="AV303" s="90">
        <f t="shared" si="343"/>
        <v>0</v>
      </c>
      <c r="AW303" s="90">
        <f t="shared" si="344"/>
        <v>0</v>
      </c>
      <c r="AX303" s="90">
        <f t="shared" si="345"/>
        <v>0</v>
      </c>
      <c r="AY303" s="91" t="s">
        <v>642</v>
      </c>
      <c r="AZ303" s="91" t="s">
        <v>1537</v>
      </c>
      <c r="BA303" s="154" t="s">
        <v>1542</v>
      </c>
      <c r="BC303" s="90">
        <f t="shared" si="346"/>
        <v>0</v>
      </c>
      <c r="BD303" s="90">
        <f t="shared" si="347"/>
        <v>0</v>
      </c>
      <c r="BE303" s="90">
        <v>0</v>
      </c>
      <c r="BF303" s="90">
        <f t="shared" si="348"/>
        <v>0</v>
      </c>
      <c r="BH303" s="90">
        <f t="shared" si="349"/>
        <v>0</v>
      </c>
      <c r="BI303" s="90">
        <f t="shared" si="350"/>
        <v>0</v>
      </c>
      <c r="BJ303" s="90">
        <f t="shared" si="351"/>
        <v>0</v>
      </c>
    </row>
    <row r="304" spans="1:62" ht="12.75">
      <c r="A304" s="88" t="s">
        <v>756</v>
      </c>
      <c r="B304" s="88" t="s">
        <v>60</v>
      </c>
      <c r="C304" s="88" t="s">
        <v>995</v>
      </c>
      <c r="D304" s="88" t="s">
        <v>1292</v>
      </c>
      <c r="E304" s="88" t="s">
        <v>606</v>
      </c>
      <c r="F304" s="90">
        <v>6</v>
      </c>
      <c r="G304" s="90">
        <f>'Stavební rozpočet (SO 13)'!G138</f>
        <v>0</v>
      </c>
      <c r="H304" s="90">
        <f t="shared" si="326"/>
        <v>0</v>
      </c>
      <c r="I304" s="90">
        <f t="shared" si="327"/>
        <v>0</v>
      </c>
      <c r="J304" s="90">
        <f t="shared" si="328"/>
        <v>0</v>
      </c>
      <c r="K304" s="90">
        <v>0</v>
      </c>
      <c r="L304" s="90">
        <f t="shared" si="329"/>
        <v>0</v>
      </c>
      <c r="M304" s="91" t="s">
        <v>622</v>
      </c>
      <c r="O304" s="90"/>
      <c r="P304" s="90"/>
      <c r="Z304" s="90">
        <f t="shared" si="330"/>
        <v>0</v>
      </c>
      <c r="AB304" s="90">
        <f t="shared" si="331"/>
        <v>0</v>
      </c>
      <c r="AC304" s="90">
        <f t="shared" si="332"/>
        <v>0</v>
      </c>
      <c r="AD304" s="90">
        <f t="shared" si="333"/>
        <v>0</v>
      </c>
      <c r="AE304" s="90">
        <f t="shared" si="334"/>
        <v>0</v>
      </c>
      <c r="AF304" s="90">
        <f t="shared" si="335"/>
        <v>0</v>
      </c>
      <c r="AG304" s="90">
        <f t="shared" si="336"/>
        <v>0</v>
      </c>
      <c r="AH304" s="90">
        <f t="shared" si="337"/>
        <v>0</v>
      </c>
      <c r="AI304" s="154" t="s">
        <v>60</v>
      </c>
      <c r="AJ304" s="90">
        <f t="shared" si="338"/>
        <v>0</v>
      </c>
      <c r="AK304" s="90">
        <f t="shared" si="339"/>
        <v>0</v>
      </c>
      <c r="AL304" s="90">
        <f t="shared" si="340"/>
        <v>0</v>
      </c>
      <c r="AN304" s="90">
        <v>21</v>
      </c>
      <c r="AO304" s="90">
        <f t="shared" si="341"/>
        <v>0</v>
      </c>
      <c r="AP304" s="90">
        <f t="shared" si="342"/>
        <v>0</v>
      </c>
      <c r="AQ304" s="91" t="s">
        <v>85</v>
      </c>
      <c r="AV304" s="90">
        <f t="shared" si="343"/>
        <v>0</v>
      </c>
      <c r="AW304" s="90">
        <f t="shared" si="344"/>
        <v>0</v>
      </c>
      <c r="AX304" s="90">
        <f t="shared" si="345"/>
        <v>0</v>
      </c>
      <c r="AY304" s="91" t="s">
        <v>642</v>
      </c>
      <c r="AZ304" s="91" t="s">
        <v>1537</v>
      </c>
      <c r="BA304" s="154" t="s">
        <v>1542</v>
      </c>
      <c r="BC304" s="90">
        <f t="shared" si="346"/>
        <v>0</v>
      </c>
      <c r="BD304" s="90">
        <f t="shared" si="347"/>
        <v>0</v>
      </c>
      <c r="BE304" s="90">
        <v>0</v>
      </c>
      <c r="BF304" s="90">
        <f t="shared" si="348"/>
        <v>0</v>
      </c>
      <c r="BH304" s="90">
        <f t="shared" si="349"/>
        <v>0</v>
      </c>
      <c r="BI304" s="90">
        <f t="shared" si="350"/>
        <v>0</v>
      </c>
      <c r="BJ304" s="90">
        <f t="shared" si="351"/>
        <v>0</v>
      </c>
    </row>
    <row r="305" spans="1:62" ht="12.75">
      <c r="A305" s="88" t="s">
        <v>757</v>
      </c>
      <c r="B305" s="88" t="s">
        <v>60</v>
      </c>
      <c r="C305" s="88" t="s">
        <v>996</v>
      </c>
      <c r="D305" s="88" t="s">
        <v>1246</v>
      </c>
      <c r="E305" s="88" t="s">
        <v>606</v>
      </c>
      <c r="F305" s="90">
        <v>3</v>
      </c>
      <c r="G305" s="90">
        <f>'Stavební rozpočet (SO 13)'!G139</f>
        <v>0</v>
      </c>
      <c r="H305" s="90">
        <f t="shared" si="326"/>
        <v>0</v>
      </c>
      <c r="I305" s="90">
        <f t="shared" si="327"/>
        <v>0</v>
      </c>
      <c r="J305" s="90">
        <f t="shared" si="328"/>
        <v>0</v>
      </c>
      <c r="K305" s="90">
        <v>0</v>
      </c>
      <c r="L305" s="90">
        <f t="shared" si="329"/>
        <v>0</v>
      </c>
      <c r="M305" s="91" t="s">
        <v>622</v>
      </c>
      <c r="O305" s="90"/>
      <c r="P305" s="90"/>
      <c r="Z305" s="90">
        <f t="shared" si="330"/>
        <v>0</v>
      </c>
      <c r="AB305" s="90">
        <f t="shared" si="331"/>
        <v>0</v>
      </c>
      <c r="AC305" s="90">
        <f t="shared" si="332"/>
        <v>0</v>
      </c>
      <c r="AD305" s="90">
        <f t="shared" si="333"/>
        <v>0</v>
      </c>
      <c r="AE305" s="90">
        <f t="shared" si="334"/>
        <v>0</v>
      </c>
      <c r="AF305" s="90">
        <f t="shared" si="335"/>
        <v>0</v>
      </c>
      <c r="AG305" s="90">
        <f t="shared" si="336"/>
        <v>0</v>
      </c>
      <c r="AH305" s="90">
        <f t="shared" si="337"/>
        <v>0</v>
      </c>
      <c r="AI305" s="154" t="s">
        <v>60</v>
      </c>
      <c r="AJ305" s="90">
        <f t="shared" si="338"/>
        <v>0</v>
      </c>
      <c r="AK305" s="90">
        <f t="shared" si="339"/>
        <v>0</v>
      </c>
      <c r="AL305" s="90">
        <f t="shared" si="340"/>
        <v>0</v>
      </c>
      <c r="AN305" s="90">
        <v>21</v>
      </c>
      <c r="AO305" s="90">
        <f t="shared" si="341"/>
        <v>0</v>
      </c>
      <c r="AP305" s="90">
        <f t="shared" si="342"/>
        <v>0</v>
      </c>
      <c r="AQ305" s="91" t="s">
        <v>85</v>
      </c>
      <c r="AV305" s="90">
        <f t="shared" si="343"/>
        <v>0</v>
      </c>
      <c r="AW305" s="90">
        <f t="shared" si="344"/>
        <v>0</v>
      </c>
      <c r="AX305" s="90">
        <f t="shared" si="345"/>
        <v>0</v>
      </c>
      <c r="AY305" s="91" t="s">
        <v>642</v>
      </c>
      <c r="AZ305" s="91" t="s">
        <v>1537</v>
      </c>
      <c r="BA305" s="154" t="s">
        <v>1542</v>
      </c>
      <c r="BC305" s="90">
        <f t="shared" si="346"/>
        <v>0</v>
      </c>
      <c r="BD305" s="90">
        <f t="shared" si="347"/>
        <v>0</v>
      </c>
      <c r="BE305" s="90">
        <v>0</v>
      </c>
      <c r="BF305" s="90">
        <f t="shared" si="348"/>
        <v>0</v>
      </c>
      <c r="BH305" s="90">
        <f t="shared" si="349"/>
        <v>0</v>
      </c>
      <c r="BI305" s="90">
        <f t="shared" si="350"/>
        <v>0</v>
      </c>
      <c r="BJ305" s="90">
        <f t="shared" si="351"/>
        <v>0</v>
      </c>
    </row>
    <row r="306" spans="1:62" ht="12.75">
      <c r="A306" s="88" t="s">
        <v>758</v>
      </c>
      <c r="B306" s="88" t="s">
        <v>60</v>
      </c>
      <c r="C306" s="88" t="s">
        <v>997</v>
      </c>
      <c r="D306" s="88" t="s">
        <v>1293</v>
      </c>
      <c r="E306" s="88" t="s">
        <v>606</v>
      </c>
      <c r="F306" s="90">
        <v>3</v>
      </c>
      <c r="G306" s="90">
        <f>'Stavební rozpočet (SO 13)'!G140</f>
        <v>0</v>
      </c>
      <c r="H306" s="90">
        <f t="shared" si="326"/>
        <v>0</v>
      </c>
      <c r="I306" s="90">
        <f t="shared" si="327"/>
        <v>0</v>
      </c>
      <c r="J306" s="90">
        <f t="shared" si="328"/>
        <v>0</v>
      </c>
      <c r="K306" s="90">
        <v>0</v>
      </c>
      <c r="L306" s="90">
        <f t="shared" si="329"/>
        <v>0</v>
      </c>
      <c r="M306" s="91" t="s">
        <v>622</v>
      </c>
      <c r="O306" s="90"/>
      <c r="P306" s="90"/>
      <c r="Z306" s="90">
        <f t="shared" si="330"/>
        <v>0</v>
      </c>
      <c r="AB306" s="90">
        <f t="shared" si="331"/>
        <v>0</v>
      </c>
      <c r="AC306" s="90">
        <f t="shared" si="332"/>
        <v>0</v>
      </c>
      <c r="AD306" s="90">
        <f t="shared" si="333"/>
        <v>0</v>
      </c>
      <c r="AE306" s="90">
        <f t="shared" si="334"/>
        <v>0</v>
      </c>
      <c r="AF306" s="90">
        <f t="shared" si="335"/>
        <v>0</v>
      </c>
      <c r="AG306" s="90">
        <f t="shared" si="336"/>
        <v>0</v>
      </c>
      <c r="AH306" s="90">
        <f t="shared" si="337"/>
        <v>0</v>
      </c>
      <c r="AI306" s="154" t="s">
        <v>60</v>
      </c>
      <c r="AJ306" s="90">
        <f t="shared" si="338"/>
        <v>0</v>
      </c>
      <c r="AK306" s="90">
        <f t="shared" si="339"/>
        <v>0</v>
      </c>
      <c r="AL306" s="90">
        <f t="shared" si="340"/>
        <v>0</v>
      </c>
      <c r="AN306" s="90">
        <v>21</v>
      </c>
      <c r="AO306" s="90">
        <f t="shared" si="341"/>
        <v>0</v>
      </c>
      <c r="AP306" s="90">
        <f t="shared" si="342"/>
        <v>0</v>
      </c>
      <c r="AQ306" s="91" t="s">
        <v>85</v>
      </c>
      <c r="AV306" s="90">
        <f t="shared" si="343"/>
        <v>0</v>
      </c>
      <c r="AW306" s="90">
        <f t="shared" si="344"/>
        <v>0</v>
      </c>
      <c r="AX306" s="90">
        <f t="shared" si="345"/>
        <v>0</v>
      </c>
      <c r="AY306" s="91" t="s">
        <v>642</v>
      </c>
      <c r="AZ306" s="91" t="s">
        <v>1537</v>
      </c>
      <c r="BA306" s="154" t="s">
        <v>1542</v>
      </c>
      <c r="BC306" s="90">
        <f t="shared" si="346"/>
        <v>0</v>
      </c>
      <c r="BD306" s="90">
        <f t="shared" si="347"/>
        <v>0</v>
      </c>
      <c r="BE306" s="90">
        <v>0</v>
      </c>
      <c r="BF306" s="90">
        <f t="shared" si="348"/>
        <v>0</v>
      </c>
      <c r="BH306" s="90">
        <f t="shared" si="349"/>
        <v>0</v>
      </c>
      <c r="BI306" s="90">
        <f t="shared" si="350"/>
        <v>0</v>
      </c>
      <c r="BJ306" s="90">
        <f t="shared" si="351"/>
        <v>0</v>
      </c>
    </row>
    <row r="307" spans="1:62" ht="12.75">
      <c r="A307" s="88" t="s">
        <v>759</v>
      </c>
      <c r="B307" s="88" t="s">
        <v>60</v>
      </c>
      <c r="C307" s="88" t="s">
        <v>998</v>
      </c>
      <c r="D307" s="88" t="s">
        <v>497</v>
      </c>
      <c r="E307" s="88" t="s">
        <v>611</v>
      </c>
      <c r="F307" s="90">
        <v>25</v>
      </c>
      <c r="G307" s="90">
        <f>'Stavební rozpočet (SO 13)'!G141</f>
        <v>0</v>
      </c>
      <c r="H307" s="90">
        <f t="shared" si="326"/>
        <v>0</v>
      </c>
      <c r="I307" s="90">
        <f t="shared" si="327"/>
        <v>0</v>
      </c>
      <c r="J307" s="90">
        <f t="shared" si="328"/>
        <v>0</v>
      </c>
      <c r="K307" s="90">
        <v>0</v>
      </c>
      <c r="L307" s="90">
        <f t="shared" si="329"/>
        <v>0</v>
      </c>
      <c r="M307" s="91" t="s">
        <v>622</v>
      </c>
      <c r="O307" s="90"/>
      <c r="P307" s="90"/>
      <c r="Z307" s="90">
        <f t="shared" si="330"/>
        <v>0</v>
      </c>
      <c r="AB307" s="90">
        <f t="shared" si="331"/>
        <v>0</v>
      </c>
      <c r="AC307" s="90">
        <f t="shared" si="332"/>
        <v>0</v>
      </c>
      <c r="AD307" s="90">
        <f t="shared" si="333"/>
        <v>0</v>
      </c>
      <c r="AE307" s="90">
        <f t="shared" si="334"/>
        <v>0</v>
      </c>
      <c r="AF307" s="90">
        <f t="shared" si="335"/>
        <v>0</v>
      </c>
      <c r="AG307" s="90">
        <f t="shared" si="336"/>
        <v>0</v>
      </c>
      <c r="AH307" s="90">
        <f t="shared" si="337"/>
        <v>0</v>
      </c>
      <c r="AI307" s="154" t="s">
        <v>60</v>
      </c>
      <c r="AJ307" s="90">
        <f t="shared" si="338"/>
        <v>0</v>
      </c>
      <c r="AK307" s="90">
        <f t="shared" si="339"/>
        <v>0</v>
      </c>
      <c r="AL307" s="90">
        <f t="shared" si="340"/>
        <v>0</v>
      </c>
      <c r="AN307" s="90">
        <v>21</v>
      </c>
      <c r="AO307" s="90">
        <f t="shared" si="341"/>
        <v>0</v>
      </c>
      <c r="AP307" s="90">
        <f t="shared" si="342"/>
        <v>0</v>
      </c>
      <c r="AQ307" s="91" t="s">
        <v>85</v>
      </c>
      <c r="AV307" s="90">
        <f t="shared" si="343"/>
        <v>0</v>
      </c>
      <c r="AW307" s="90">
        <f t="shared" si="344"/>
        <v>0</v>
      </c>
      <c r="AX307" s="90">
        <f t="shared" si="345"/>
        <v>0</v>
      </c>
      <c r="AY307" s="91" t="s">
        <v>642</v>
      </c>
      <c r="AZ307" s="91" t="s">
        <v>1537</v>
      </c>
      <c r="BA307" s="154" t="s">
        <v>1542</v>
      </c>
      <c r="BC307" s="90">
        <f t="shared" si="346"/>
        <v>0</v>
      </c>
      <c r="BD307" s="90">
        <f t="shared" si="347"/>
        <v>0</v>
      </c>
      <c r="BE307" s="90">
        <v>0</v>
      </c>
      <c r="BF307" s="90">
        <f t="shared" si="348"/>
        <v>0</v>
      </c>
      <c r="BH307" s="90">
        <f t="shared" si="349"/>
        <v>0</v>
      </c>
      <c r="BI307" s="90">
        <f t="shared" si="350"/>
        <v>0</v>
      </c>
      <c r="BJ307" s="90">
        <f t="shared" si="351"/>
        <v>0</v>
      </c>
    </row>
    <row r="308" spans="1:62" ht="12.75">
      <c r="A308" s="88" t="s">
        <v>760</v>
      </c>
      <c r="B308" s="88" t="s">
        <v>60</v>
      </c>
      <c r="C308" s="88" t="s">
        <v>999</v>
      </c>
      <c r="D308" s="88" t="s">
        <v>1294</v>
      </c>
      <c r="E308" s="88" t="s">
        <v>609</v>
      </c>
      <c r="F308" s="90">
        <v>155.6</v>
      </c>
      <c r="G308" s="90">
        <f>'Stavební rozpočet (SO 13)'!G142</f>
        <v>0</v>
      </c>
      <c r="H308" s="90">
        <f t="shared" si="326"/>
        <v>0</v>
      </c>
      <c r="I308" s="90">
        <f t="shared" si="327"/>
        <v>0</v>
      </c>
      <c r="J308" s="90">
        <f t="shared" si="328"/>
        <v>0</v>
      </c>
      <c r="K308" s="90">
        <v>0</v>
      </c>
      <c r="L308" s="90">
        <f t="shared" si="329"/>
        <v>0</v>
      </c>
      <c r="M308" s="91" t="s">
        <v>622</v>
      </c>
      <c r="O308" s="90"/>
      <c r="P308" s="90"/>
      <c r="Z308" s="90">
        <f t="shared" si="330"/>
        <v>0</v>
      </c>
      <c r="AB308" s="90">
        <f t="shared" si="331"/>
        <v>0</v>
      </c>
      <c r="AC308" s="90">
        <f t="shared" si="332"/>
        <v>0</v>
      </c>
      <c r="AD308" s="90">
        <f t="shared" si="333"/>
        <v>0</v>
      </c>
      <c r="AE308" s="90">
        <f t="shared" si="334"/>
        <v>0</v>
      </c>
      <c r="AF308" s="90">
        <f t="shared" si="335"/>
        <v>0</v>
      </c>
      <c r="AG308" s="90">
        <f t="shared" si="336"/>
        <v>0</v>
      </c>
      <c r="AH308" s="90">
        <f t="shared" si="337"/>
        <v>0</v>
      </c>
      <c r="AI308" s="154" t="s">
        <v>60</v>
      </c>
      <c r="AJ308" s="90">
        <f t="shared" si="338"/>
        <v>0</v>
      </c>
      <c r="AK308" s="90">
        <f t="shared" si="339"/>
        <v>0</v>
      </c>
      <c r="AL308" s="90">
        <f t="shared" si="340"/>
        <v>0</v>
      </c>
      <c r="AN308" s="90">
        <v>21</v>
      </c>
      <c r="AO308" s="90">
        <f t="shared" si="341"/>
        <v>0</v>
      </c>
      <c r="AP308" s="90">
        <f t="shared" si="342"/>
        <v>0</v>
      </c>
      <c r="AQ308" s="91" t="s">
        <v>85</v>
      </c>
      <c r="AV308" s="90">
        <f t="shared" si="343"/>
        <v>0</v>
      </c>
      <c r="AW308" s="90">
        <f t="shared" si="344"/>
        <v>0</v>
      </c>
      <c r="AX308" s="90">
        <f t="shared" si="345"/>
        <v>0</v>
      </c>
      <c r="AY308" s="91" t="s">
        <v>642</v>
      </c>
      <c r="AZ308" s="91" t="s">
        <v>1537</v>
      </c>
      <c r="BA308" s="154" t="s">
        <v>1542</v>
      </c>
      <c r="BC308" s="90">
        <f t="shared" si="346"/>
        <v>0</v>
      </c>
      <c r="BD308" s="90">
        <f t="shared" si="347"/>
        <v>0</v>
      </c>
      <c r="BE308" s="90">
        <v>0</v>
      </c>
      <c r="BF308" s="90">
        <f t="shared" si="348"/>
        <v>0</v>
      </c>
      <c r="BH308" s="90">
        <f t="shared" si="349"/>
        <v>0</v>
      </c>
      <c r="BI308" s="90">
        <f t="shared" si="350"/>
        <v>0</v>
      </c>
      <c r="BJ308" s="90">
        <f t="shared" si="351"/>
        <v>0</v>
      </c>
    </row>
    <row r="309" spans="1:62" ht="12.75">
      <c r="A309" s="88" t="s">
        <v>761</v>
      </c>
      <c r="B309" s="88" t="s">
        <v>60</v>
      </c>
      <c r="C309" s="88" t="s">
        <v>1000</v>
      </c>
      <c r="D309" s="88" t="s">
        <v>487</v>
      </c>
      <c r="E309" s="88" t="s">
        <v>609</v>
      </c>
      <c r="F309" s="90">
        <v>155.6</v>
      </c>
      <c r="G309" s="90">
        <f>'Stavební rozpočet (SO 13)'!G143</f>
        <v>0</v>
      </c>
      <c r="H309" s="90">
        <f t="shared" si="326"/>
        <v>0</v>
      </c>
      <c r="I309" s="90">
        <f t="shared" si="327"/>
        <v>0</v>
      </c>
      <c r="J309" s="90">
        <f t="shared" si="328"/>
        <v>0</v>
      </c>
      <c r="K309" s="90">
        <v>0</v>
      </c>
      <c r="L309" s="90">
        <f t="shared" si="329"/>
        <v>0</v>
      </c>
      <c r="M309" s="91" t="s">
        <v>622</v>
      </c>
      <c r="O309" s="90"/>
      <c r="P309" s="90"/>
      <c r="Z309" s="90">
        <f t="shared" si="330"/>
        <v>0</v>
      </c>
      <c r="AB309" s="90">
        <f t="shared" si="331"/>
        <v>0</v>
      </c>
      <c r="AC309" s="90">
        <f t="shared" si="332"/>
        <v>0</v>
      </c>
      <c r="AD309" s="90">
        <f t="shared" si="333"/>
        <v>0</v>
      </c>
      <c r="AE309" s="90">
        <f t="shared" si="334"/>
        <v>0</v>
      </c>
      <c r="AF309" s="90">
        <f t="shared" si="335"/>
        <v>0</v>
      </c>
      <c r="AG309" s="90">
        <f t="shared" si="336"/>
        <v>0</v>
      </c>
      <c r="AH309" s="90">
        <f t="shared" si="337"/>
        <v>0</v>
      </c>
      <c r="AI309" s="154" t="s">
        <v>60</v>
      </c>
      <c r="AJ309" s="90">
        <f t="shared" si="338"/>
        <v>0</v>
      </c>
      <c r="AK309" s="90">
        <f t="shared" si="339"/>
        <v>0</v>
      </c>
      <c r="AL309" s="90">
        <f t="shared" si="340"/>
        <v>0</v>
      </c>
      <c r="AN309" s="90">
        <v>21</v>
      </c>
      <c r="AO309" s="90">
        <f t="shared" si="341"/>
        <v>0</v>
      </c>
      <c r="AP309" s="90">
        <f t="shared" si="342"/>
        <v>0</v>
      </c>
      <c r="AQ309" s="91" t="s">
        <v>85</v>
      </c>
      <c r="AV309" s="90">
        <f t="shared" si="343"/>
        <v>0</v>
      </c>
      <c r="AW309" s="90">
        <f t="shared" si="344"/>
        <v>0</v>
      </c>
      <c r="AX309" s="90">
        <f t="shared" si="345"/>
        <v>0</v>
      </c>
      <c r="AY309" s="91" t="s">
        <v>642</v>
      </c>
      <c r="AZ309" s="91" t="s">
        <v>1537</v>
      </c>
      <c r="BA309" s="154" t="s">
        <v>1542</v>
      </c>
      <c r="BC309" s="90">
        <f t="shared" si="346"/>
        <v>0</v>
      </c>
      <c r="BD309" s="90">
        <f t="shared" si="347"/>
        <v>0</v>
      </c>
      <c r="BE309" s="90">
        <v>0</v>
      </c>
      <c r="BF309" s="90">
        <f t="shared" si="348"/>
        <v>0</v>
      </c>
      <c r="BH309" s="90">
        <f t="shared" si="349"/>
        <v>0</v>
      </c>
      <c r="BI309" s="90">
        <f t="shared" si="350"/>
        <v>0</v>
      </c>
      <c r="BJ309" s="90">
        <f t="shared" si="351"/>
        <v>0</v>
      </c>
    </row>
    <row r="310" spans="1:62" ht="12.75">
      <c r="A310" s="88" t="s">
        <v>762</v>
      </c>
      <c r="B310" s="88" t="s">
        <v>60</v>
      </c>
      <c r="C310" s="88" t="s">
        <v>1001</v>
      </c>
      <c r="D310" s="88" t="s">
        <v>488</v>
      </c>
      <c r="E310" s="88" t="s">
        <v>609</v>
      </c>
      <c r="F310" s="90">
        <v>155.6</v>
      </c>
      <c r="G310" s="90">
        <f>'Stavební rozpočet (SO 13)'!G144</f>
        <v>0</v>
      </c>
      <c r="H310" s="90">
        <f t="shared" si="326"/>
        <v>0</v>
      </c>
      <c r="I310" s="90">
        <f t="shared" si="327"/>
        <v>0</v>
      </c>
      <c r="J310" s="90">
        <f t="shared" si="328"/>
        <v>0</v>
      </c>
      <c r="K310" s="90">
        <v>0</v>
      </c>
      <c r="L310" s="90">
        <f t="shared" si="329"/>
        <v>0</v>
      </c>
      <c r="M310" s="91" t="s">
        <v>622</v>
      </c>
      <c r="O310" s="90"/>
      <c r="P310" s="90"/>
      <c r="Z310" s="90">
        <f t="shared" si="330"/>
        <v>0</v>
      </c>
      <c r="AB310" s="90">
        <f t="shared" si="331"/>
        <v>0</v>
      </c>
      <c r="AC310" s="90">
        <f t="shared" si="332"/>
        <v>0</v>
      </c>
      <c r="AD310" s="90">
        <f t="shared" si="333"/>
        <v>0</v>
      </c>
      <c r="AE310" s="90">
        <f t="shared" si="334"/>
        <v>0</v>
      </c>
      <c r="AF310" s="90">
        <f t="shared" si="335"/>
        <v>0</v>
      </c>
      <c r="AG310" s="90">
        <f t="shared" si="336"/>
        <v>0</v>
      </c>
      <c r="AH310" s="90">
        <f t="shared" si="337"/>
        <v>0</v>
      </c>
      <c r="AI310" s="154" t="s">
        <v>60</v>
      </c>
      <c r="AJ310" s="90">
        <f t="shared" si="338"/>
        <v>0</v>
      </c>
      <c r="AK310" s="90">
        <f t="shared" si="339"/>
        <v>0</v>
      </c>
      <c r="AL310" s="90">
        <f t="shared" si="340"/>
        <v>0</v>
      </c>
      <c r="AN310" s="90">
        <v>21</v>
      </c>
      <c r="AO310" s="90">
        <f t="shared" si="341"/>
        <v>0</v>
      </c>
      <c r="AP310" s="90">
        <f t="shared" si="342"/>
        <v>0</v>
      </c>
      <c r="AQ310" s="91" t="s">
        <v>85</v>
      </c>
      <c r="AV310" s="90">
        <f t="shared" si="343"/>
        <v>0</v>
      </c>
      <c r="AW310" s="90">
        <f t="shared" si="344"/>
        <v>0</v>
      </c>
      <c r="AX310" s="90">
        <f t="shared" si="345"/>
        <v>0</v>
      </c>
      <c r="AY310" s="91" t="s">
        <v>642</v>
      </c>
      <c r="AZ310" s="91" t="s">
        <v>1537</v>
      </c>
      <c r="BA310" s="154" t="s">
        <v>1542</v>
      </c>
      <c r="BC310" s="90">
        <f t="shared" si="346"/>
        <v>0</v>
      </c>
      <c r="BD310" s="90">
        <f t="shared" si="347"/>
        <v>0</v>
      </c>
      <c r="BE310" s="90">
        <v>0</v>
      </c>
      <c r="BF310" s="90">
        <f t="shared" si="348"/>
        <v>0</v>
      </c>
      <c r="BH310" s="90">
        <f t="shared" si="349"/>
        <v>0</v>
      </c>
      <c r="BI310" s="90">
        <f t="shared" si="350"/>
        <v>0</v>
      </c>
      <c r="BJ310" s="90">
        <f t="shared" si="351"/>
        <v>0</v>
      </c>
    </row>
    <row r="311" spans="1:62" ht="12.75">
      <c r="A311" s="88" t="s">
        <v>763</v>
      </c>
      <c r="B311" s="88" t="s">
        <v>60</v>
      </c>
      <c r="C311" s="88" t="s">
        <v>1002</v>
      </c>
      <c r="D311" s="88" t="s">
        <v>1295</v>
      </c>
      <c r="E311" s="88" t="s">
        <v>606</v>
      </c>
      <c r="F311" s="90">
        <v>8</v>
      </c>
      <c r="G311" s="90">
        <f>'Stavební rozpočet (SO 13)'!G145</f>
        <v>0</v>
      </c>
      <c r="H311" s="90">
        <f t="shared" si="326"/>
        <v>0</v>
      </c>
      <c r="I311" s="90">
        <f t="shared" si="327"/>
        <v>0</v>
      </c>
      <c r="J311" s="90">
        <f t="shared" si="328"/>
        <v>0</v>
      </c>
      <c r="K311" s="90">
        <v>0</v>
      </c>
      <c r="L311" s="90">
        <f t="shared" si="329"/>
        <v>0</v>
      </c>
      <c r="M311" s="91" t="s">
        <v>622</v>
      </c>
      <c r="O311" s="90"/>
      <c r="P311" s="90"/>
      <c r="Z311" s="90">
        <f t="shared" si="330"/>
        <v>0</v>
      </c>
      <c r="AB311" s="90">
        <f t="shared" si="331"/>
        <v>0</v>
      </c>
      <c r="AC311" s="90">
        <f t="shared" si="332"/>
        <v>0</v>
      </c>
      <c r="AD311" s="90">
        <f t="shared" si="333"/>
        <v>0</v>
      </c>
      <c r="AE311" s="90">
        <f t="shared" si="334"/>
        <v>0</v>
      </c>
      <c r="AF311" s="90">
        <f t="shared" si="335"/>
        <v>0</v>
      </c>
      <c r="AG311" s="90">
        <f t="shared" si="336"/>
        <v>0</v>
      </c>
      <c r="AH311" s="90">
        <f t="shared" si="337"/>
        <v>0</v>
      </c>
      <c r="AI311" s="154" t="s">
        <v>60</v>
      </c>
      <c r="AJ311" s="90">
        <f t="shared" si="338"/>
        <v>0</v>
      </c>
      <c r="AK311" s="90">
        <f t="shared" si="339"/>
        <v>0</v>
      </c>
      <c r="AL311" s="90">
        <f t="shared" si="340"/>
        <v>0</v>
      </c>
      <c r="AN311" s="90">
        <v>21</v>
      </c>
      <c r="AO311" s="90">
        <f t="shared" si="341"/>
        <v>0</v>
      </c>
      <c r="AP311" s="90">
        <f t="shared" si="342"/>
        <v>0</v>
      </c>
      <c r="AQ311" s="91" t="s">
        <v>85</v>
      </c>
      <c r="AV311" s="90">
        <f t="shared" si="343"/>
        <v>0</v>
      </c>
      <c r="AW311" s="90">
        <f t="shared" si="344"/>
        <v>0</v>
      </c>
      <c r="AX311" s="90">
        <f t="shared" si="345"/>
        <v>0</v>
      </c>
      <c r="AY311" s="91" t="s">
        <v>642</v>
      </c>
      <c r="AZ311" s="91" t="s">
        <v>1537</v>
      </c>
      <c r="BA311" s="154" t="s">
        <v>1542</v>
      </c>
      <c r="BC311" s="90">
        <f t="shared" si="346"/>
        <v>0</v>
      </c>
      <c r="BD311" s="90">
        <f t="shared" si="347"/>
        <v>0</v>
      </c>
      <c r="BE311" s="90">
        <v>0</v>
      </c>
      <c r="BF311" s="90">
        <f t="shared" si="348"/>
        <v>0</v>
      </c>
      <c r="BH311" s="90">
        <f t="shared" si="349"/>
        <v>0</v>
      </c>
      <c r="BI311" s="90">
        <f t="shared" si="350"/>
        <v>0</v>
      </c>
      <c r="BJ311" s="90">
        <f t="shared" si="351"/>
        <v>0</v>
      </c>
    </row>
    <row r="312" spans="1:62" ht="12.75">
      <c r="A312" s="88" t="s">
        <v>764</v>
      </c>
      <c r="B312" s="88" t="s">
        <v>60</v>
      </c>
      <c r="C312" s="88" t="s">
        <v>1003</v>
      </c>
      <c r="D312" s="88" t="s">
        <v>1296</v>
      </c>
      <c r="E312" s="88" t="s">
        <v>606</v>
      </c>
      <c r="F312" s="90">
        <v>1</v>
      </c>
      <c r="G312" s="90">
        <f>'Stavební rozpočet (SO 13)'!G146</f>
        <v>0</v>
      </c>
      <c r="H312" s="90">
        <f t="shared" si="326"/>
        <v>0</v>
      </c>
      <c r="I312" s="90">
        <f t="shared" si="327"/>
        <v>0</v>
      </c>
      <c r="J312" s="90">
        <f t="shared" si="328"/>
        <v>0</v>
      </c>
      <c r="K312" s="90">
        <v>0</v>
      </c>
      <c r="L312" s="90">
        <f t="shared" si="329"/>
        <v>0</v>
      </c>
      <c r="M312" s="91" t="s">
        <v>622</v>
      </c>
      <c r="O312" s="90"/>
      <c r="P312" s="90"/>
      <c r="Z312" s="90">
        <f t="shared" si="330"/>
        <v>0</v>
      </c>
      <c r="AB312" s="90">
        <f t="shared" si="331"/>
        <v>0</v>
      </c>
      <c r="AC312" s="90">
        <f t="shared" si="332"/>
        <v>0</v>
      </c>
      <c r="AD312" s="90">
        <f t="shared" si="333"/>
        <v>0</v>
      </c>
      <c r="AE312" s="90">
        <f t="shared" si="334"/>
        <v>0</v>
      </c>
      <c r="AF312" s="90">
        <f t="shared" si="335"/>
        <v>0</v>
      </c>
      <c r="AG312" s="90">
        <f t="shared" si="336"/>
        <v>0</v>
      </c>
      <c r="AH312" s="90">
        <f t="shared" si="337"/>
        <v>0</v>
      </c>
      <c r="AI312" s="154" t="s">
        <v>60</v>
      </c>
      <c r="AJ312" s="90">
        <f t="shared" si="338"/>
        <v>0</v>
      </c>
      <c r="AK312" s="90">
        <f t="shared" si="339"/>
        <v>0</v>
      </c>
      <c r="AL312" s="90">
        <f t="shared" si="340"/>
        <v>0</v>
      </c>
      <c r="AN312" s="90">
        <v>21</v>
      </c>
      <c r="AO312" s="90">
        <f t="shared" si="341"/>
        <v>0</v>
      </c>
      <c r="AP312" s="90">
        <f t="shared" si="342"/>
        <v>0</v>
      </c>
      <c r="AQ312" s="91" t="s">
        <v>85</v>
      </c>
      <c r="AV312" s="90">
        <f t="shared" si="343"/>
        <v>0</v>
      </c>
      <c r="AW312" s="90">
        <f t="shared" si="344"/>
        <v>0</v>
      </c>
      <c r="AX312" s="90">
        <f t="shared" si="345"/>
        <v>0</v>
      </c>
      <c r="AY312" s="91" t="s">
        <v>642</v>
      </c>
      <c r="AZ312" s="91" t="s">
        <v>1537</v>
      </c>
      <c r="BA312" s="154" t="s">
        <v>1542</v>
      </c>
      <c r="BC312" s="90">
        <f t="shared" si="346"/>
        <v>0</v>
      </c>
      <c r="BD312" s="90">
        <f t="shared" si="347"/>
        <v>0</v>
      </c>
      <c r="BE312" s="90">
        <v>0</v>
      </c>
      <c r="BF312" s="90">
        <f t="shared" si="348"/>
        <v>0</v>
      </c>
      <c r="BH312" s="90">
        <f t="shared" si="349"/>
        <v>0</v>
      </c>
      <c r="BI312" s="90">
        <f t="shared" si="350"/>
        <v>0</v>
      </c>
      <c r="BJ312" s="90">
        <f t="shared" si="351"/>
        <v>0</v>
      </c>
    </row>
    <row r="313" spans="1:62" ht="12.75">
      <c r="A313" s="88" t="s">
        <v>765</v>
      </c>
      <c r="B313" s="88" t="s">
        <v>60</v>
      </c>
      <c r="C313" s="88" t="s">
        <v>1004</v>
      </c>
      <c r="D313" s="88" t="s">
        <v>501</v>
      </c>
      <c r="E313" s="88" t="s">
        <v>611</v>
      </c>
      <c r="F313" s="90">
        <v>15</v>
      </c>
      <c r="G313" s="90">
        <f>'Stavební rozpočet (SO 13)'!G147</f>
        <v>0</v>
      </c>
      <c r="H313" s="90">
        <f t="shared" si="326"/>
        <v>0</v>
      </c>
      <c r="I313" s="90">
        <f t="shared" si="327"/>
        <v>0</v>
      </c>
      <c r="J313" s="90">
        <f t="shared" si="328"/>
        <v>0</v>
      </c>
      <c r="K313" s="90">
        <v>0</v>
      </c>
      <c r="L313" s="90">
        <f t="shared" si="329"/>
        <v>0</v>
      </c>
      <c r="M313" s="91" t="s">
        <v>622</v>
      </c>
      <c r="O313" s="90"/>
      <c r="P313" s="90"/>
      <c r="Z313" s="90">
        <f t="shared" si="330"/>
        <v>0</v>
      </c>
      <c r="AB313" s="90">
        <f t="shared" si="331"/>
        <v>0</v>
      </c>
      <c r="AC313" s="90">
        <f t="shared" si="332"/>
        <v>0</v>
      </c>
      <c r="AD313" s="90">
        <f t="shared" si="333"/>
        <v>0</v>
      </c>
      <c r="AE313" s="90">
        <f t="shared" si="334"/>
        <v>0</v>
      </c>
      <c r="AF313" s="90">
        <f t="shared" si="335"/>
        <v>0</v>
      </c>
      <c r="AG313" s="90">
        <f t="shared" si="336"/>
        <v>0</v>
      </c>
      <c r="AH313" s="90">
        <f t="shared" si="337"/>
        <v>0</v>
      </c>
      <c r="AI313" s="154" t="s">
        <v>60</v>
      </c>
      <c r="AJ313" s="90">
        <f t="shared" si="338"/>
        <v>0</v>
      </c>
      <c r="AK313" s="90">
        <f t="shared" si="339"/>
        <v>0</v>
      </c>
      <c r="AL313" s="90">
        <f t="shared" si="340"/>
        <v>0</v>
      </c>
      <c r="AN313" s="90">
        <v>21</v>
      </c>
      <c r="AO313" s="90">
        <f t="shared" si="341"/>
        <v>0</v>
      </c>
      <c r="AP313" s="90">
        <f t="shared" si="342"/>
        <v>0</v>
      </c>
      <c r="AQ313" s="91" t="s">
        <v>85</v>
      </c>
      <c r="AV313" s="90">
        <f t="shared" si="343"/>
        <v>0</v>
      </c>
      <c r="AW313" s="90">
        <f t="shared" si="344"/>
        <v>0</v>
      </c>
      <c r="AX313" s="90">
        <f t="shared" si="345"/>
        <v>0</v>
      </c>
      <c r="AY313" s="91" t="s">
        <v>642</v>
      </c>
      <c r="AZ313" s="91" t="s">
        <v>1537</v>
      </c>
      <c r="BA313" s="154" t="s">
        <v>1542</v>
      </c>
      <c r="BC313" s="90">
        <f t="shared" si="346"/>
        <v>0</v>
      </c>
      <c r="BD313" s="90">
        <f t="shared" si="347"/>
        <v>0</v>
      </c>
      <c r="BE313" s="90">
        <v>0</v>
      </c>
      <c r="BF313" s="90">
        <f t="shared" si="348"/>
        <v>0</v>
      </c>
      <c r="BH313" s="90">
        <f t="shared" si="349"/>
        <v>0</v>
      </c>
      <c r="BI313" s="90">
        <f t="shared" si="350"/>
        <v>0</v>
      </c>
      <c r="BJ313" s="90">
        <f t="shared" si="351"/>
        <v>0</v>
      </c>
    </row>
    <row r="314" spans="1:62" ht="12.75">
      <c r="A314" s="88" t="s">
        <v>766</v>
      </c>
      <c r="B314" s="88" t="s">
        <v>60</v>
      </c>
      <c r="C314" s="88" t="s">
        <v>1005</v>
      </c>
      <c r="D314" s="88" t="s">
        <v>489</v>
      </c>
      <c r="E314" s="88" t="s">
        <v>606</v>
      </c>
      <c r="F314" s="90">
        <v>1</v>
      </c>
      <c r="G314" s="90">
        <f>'Stavební rozpočet (SO 13)'!G148</f>
        <v>0</v>
      </c>
      <c r="H314" s="90">
        <f t="shared" si="326"/>
        <v>0</v>
      </c>
      <c r="I314" s="90">
        <f t="shared" si="327"/>
        <v>0</v>
      </c>
      <c r="J314" s="90">
        <f t="shared" si="328"/>
        <v>0</v>
      </c>
      <c r="K314" s="90">
        <v>0</v>
      </c>
      <c r="L314" s="90">
        <f t="shared" si="329"/>
        <v>0</v>
      </c>
      <c r="M314" s="91" t="s">
        <v>622</v>
      </c>
      <c r="O314" s="90"/>
      <c r="P314" s="90"/>
      <c r="Z314" s="90">
        <f t="shared" si="330"/>
        <v>0</v>
      </c>
      <c r="AB314" s="90">
        <f t="shared" si="331"/>
        <v>0</v>
      </c>
      <c r="AC314" s="90">
        <f t="shared" si="332"/>
        <v>0</v>
      </c>
      <c r="AD314" s="90">
        <f t="shared" si="333"/>
        <v>0</v>
      </c>
      <c r="AE314" s="90">
        <f t="shared" si="334"/>
        <v>0</v>
      </c>
      <c r="AF314" s="90">
        <f t="shared" si="335"/>
        <v>0</v>
      </c>
      <c r="AG314" s="90">
        <f t="shared" si="336"/>
        <v>0</v>
      </c>
      <c r="AH314" s="90">
        <f t="shared" si="337"/>
        <v>0</v>
      </c>
      <c r="AI314" s="154" t="s">
        <v>60</v>
      </c>
      <c r="AJ314" s="90">
        <f t="shared" si="338"/>
        <v>0</v>
      </c>
      <c r="AK314" s="90">
        <f t="shared" si="339"/>
        <v>0</v>
      </c>
      <c r="AL314" s="90">
        <f t="shared" si="340"/>
        <v>0</v>
      </c>
      <c r="AN314" s="90">
        <v>21</v>
      </c>
      <c r="AO314" s="90">
        <f t="shared" si="341"/>
        <v>0</v>
      </c>
      <c r="AP314" s="90">
        <f t="shared" si="342"/>
        <v>0</v>
      </c>
      <c r="AQ314" s="91" t="s">
        <v>85</v>
      </c>
      <c r="AV314" s="90">
        <f t="shared" si="343"/>
        <v>0</v>
      </c>
      <c r="AW314" s="90">
        <f t="shared" si="344"/>
        <v>0</v>
      </c>
      <c r="AX314" s="90">
        <f t="shared" si="345"/>
        <v>0</v>
      </c>
      <c r="AY314" s="91" t="s">
        <v>642</v>
      </c>
      <c r="AZ314" s="91" t="s">
        <v>1537</v>
      </c>
      <c r="BA314" s="154" t="s">
        <v>1542</v>
      </c>
      <c r="BC314" s="90">
        <f t="shared" si="346"/>
        <v>0</v>
      </c>
      <c r="BD314" s="90">
        <f t="shared" si="347"/>
        <v>0</v>
      </c>
      <c r="BE314" s="90">
        <v>0</v>
      </c>
      <c r="BF314" s="90">
        <f t="shared" si="348"/>
        <v>0</v>
      </c>
      <c r="BH314" s="90">
        <f t="shared" si="349"/>
        <v>0</v>
      </c>
      <c r="BI314" s="90">
        <f t="shared" si="350"/>
        <v>0</v>
      </c>
      <c r="BJ314" s="90">
        <f t="shared" si="351"/>
        <v>0</v>
      </c>
    </row>
    <row r="315" spans="1:62" ht="12.75">
      <c r="A315" s="88" t="s">
        <v>767</v>
      </c>
      <c r="B315" s="88" t="s">
        <v>60</v>
      </c>
      <c r="C315" s="88" t="s">
        <v>1006</v>
      </c>
      <c r="D315" s="88" t="s">
        <v>490</v>
      </c>
      <c r="E315" s="88" t="s">
        <v>606</v>
      </c>
      <c r="F315" s="90">
        <v>1</v>
      </c>
      <c r="G315" s="90">
        <f>'Stavební rozpočet (SO 13)'!G149</f>
        <v>0</v>
      </c>
      <c r="H315" s="90">
        <f t="shared" si="326"/>
        <v>0</v>
      </c>
      <c r="I315" s="90">
        <f t="shared" si="327"/>
        <v>0</v>
      </c>
      <c r="J315" s="90">
        <f t="shared" si="328"/>
        <v>0</v>
      </c>
      <c r="K315" s="90">
        <v>0</v>
      </c>
      <c r="L315" s="90">
        <f t="shared" si="329"/>
        <v>0</v>
      </c>
      <c r="M315" s="91" t="s">
        <v>622</v>
      </c>
      <c r="O315" s="90"/>
      <c r="P315" s="90"/>
      <c r="Z315" s="90">
        <f t="shared" si="330"/>
        <v>0</v>
      </c>
      <c r="AB315" s="90">
        <f t="shared" si="331"/>
        <v>0</v>
      </c>
      <c r="AC315" s="90">
        <f t="shared" si="332"/>
        <v>0</v>
      </c>
      <c r="AD315" s="90">
        <f t="shared" si="333"/>
        <v>0</v>
      </c>
      <c r="AE315" s="90">
        <f t="shared" si="334"/>
        <v>0</v>
      </c>
      <c r="AF315" s="90">
        <f t="shared" si="335"/>
        <v>0</v>
      </c>
      <c r="AG315" s="90">
        <f t="shared" si="336"/>
        <v>0</v>
      </c>
      <c r="AH315" s="90">
        <f t="shared" si="337"/>
        <v>0</v>
      </c>
      <c r="AI315" s="154" t="s">
        <v>60</v>
      </c>
      <c r="AJ315" s="90">
        <f t="shared" si="338"/>
        <v>0</v>
      </c>
      <c r="AK315" s="90">
        <f t="shared" si="339"/>
        <v>0</v>
      </c>
      <c r="AL315" s="90">
        <f t="shared" si="340"/>
        <v>0</v>
      </c>
      <c r="AN315" s="90">
        <v>21</v>
      </c>
      <c r="AO315" s="90">
        <f t="shared" si="341"/>
        <v>0</v>
      </c>
      <c r="AP315" s="90">
        <f t="shared" si="342"/>
        <v>0</v>
      </c>
      <c r="AQ315" s="91" t="s">
        <v>85</v>
      </c>
      <c r="AV315" s="90">
        <f t="shared" si="343"/>
        <v>0</v>
      </c>
      <c r="AW315" s="90">
        <f t="shared" si="344"/>
        <v>0</v>
      </c>
      <c r="AX315" s="90">
        <f t="shared" si="345"/>
        <v>0</v>
      </c>
      <c r="AY315" s="91" t="s">
        <v>642</v>
      </c>
      <c r="AZ315" s="91" t="s">
        <v>1537</v>
      </c>
      <c r="BA315" s="154" t="s">
        <v>1542</v>
      </c>
      <c r="BC315" s="90">
        <f t="shared" si="346"/>
        <v>0</v>
      </c>
      <c r="BD315" s="90">
        <f t="shared" si="347"/>
        <v>0</v>
      </c>
      <c r="BE315" s="90">
        <v>0</v>
      </c>
      <c r="BF315" s="90">
        <f t="shared" si="348"/>
        <v>0</v>
      </c>
      <c r="BH315" s="90">
        <f t="shared" si="349"/>
        <v>0</v>
      </c>
      <c r="BI315" s="90">
        <f t="shared" si="350"/>
        <v>0</v>
      </c>
      <c r="BJ315" s="90">
        <f t="shared" si="351"/>
        <v>0</v>
      </c>
    </row>
    <row r="316" spans="1:62" ht="12.75">
      <c r="A316" s="88" t="s">
        <v>768</v>
      </c>
      <c r="B316" s="88" t="s">
        <v>60</v>
      </c>
      <c r="C316" s="88" t="s">
        <v>1007</v>
      </c>
      <c r="D316" s="88" t="s">
        <v>491</v>
      </c>
      <c r="E316" s="88" t="s">
        <v>606</v>
      </c>
      <c r="F316" s="90">
        <v>1</v>
      </c>
      <c r="G316" s="90">
        <f>'Stavební rozpočet (SO 13)'!G150</f>
        <v>0</v>
      </c>
      <c r="H316" s="90">
        <f t="shared" si="326"/>
        <v>0</v>
      </c>
      <c r="I316" s="90">
        <f t="shared" si="327"/>
        <v>0</v>
      </c>
      <c r="J316" s="90">
        <f t="shared" si="328"/>
        <v>0</v>
      </c>
      <c r="K316" s="90">
        <v>0</v>
      </c>
      <c r="L316" s="90">
        <f t="shared" si="329"/>
        <v>0</v>
      </c>
      <c r="M316" s="91" t="s">
        <v>622</v>
      </c>
      <c r="O316" s="90"/>
      <c r="P316" s="90"/>
      <c r="Z316" s="90">
        <f t="shared" si="330"/>
        <v>0</v>
      </c>
      <c r="AB316" s="90">
        <f t="shared" si="331"/>
        <v>0</v>
      </c>
      <c r="AC316" s="90">
        <f t="shared" si="332"/>
        <v>0</v>
      </c>
      <c r="AD316" s="90">
        <f t="shared" si="333"/>
        <v>0</v>
      </c>
      <c r="AE316" s="90">
        <f t="shared" si="334"/>
        <v>0</v>
      </c>
      <c r="AF316" s="90">
        <f t="shared" si="335"/>
        <v>0</v>
      </c>
      <c r="AG316" s="90">
        <f t="shared" si="336"/>
        <v>0</v>
      </c>
      <c r="AH316" s="90">
        <f t="shared" si="337"/>
        <v>0</v>
      </c>
      <c r="AI316" s="154" t="s">
        <v>60</v>
      </c>
      <c r="AJ316" s="90">
        <f t="shared" si="338"/>
        <v>0</v>
      </c>
      <c r="AK316" s="90">
        <f t="shared" si="339"/>
        <v>0</v>
      </c>
      <c r="AL316" s="90">
        <f t="shared" si="340"/>
        <v>0</v>
      </c>
      <c r="AN316" s="90">
        <v>21</v>
      </c>
      <c r="AO316" s="90">
        <f t="shared" si="341"/>
        <v>0</v>
      </c>
      <c r="AP316" s="90">
        <f t="shared" si="342"/>
        <v>0</v>
      </c>
      <c r="AQ316" s="91" t="s">
        <v>85</v>
      </c>
      <c r="AV316" s="90">
        <f t="shared" si="343"/>
        <v>0</v>
      </c>
      <c r="AW316" s="90">
        <f t="shared" si="344"/>
        <v>0</v>
      </c>
      <c r="AX316" s="90">
        <f t="shared" si="345"/>
        <v>0</v>
      </c>
      <c r="AY316" s="91" t="s">
        <v>642</v>
      </c>
      <c r="AZ316" s="91" t="s">
        <v>1537</v>
      </c>
      <c r="BA316" s="154" t="s">
        <v>1542</v>
      </c>
      <c r="BC316" s="90">
        <f t="shared" si="346"/>
        <v>0</v>
      </c>
      <c r="BD316" s="90">
        <f t="shared" si="347"/>
        <v>0</v>
      </c>
      <c r="BE316" s="90">
        <v>0</v>
      </c>
      <c r="BF316" s="90">
        <f t="shared" si="348"/>
        <v>0</v>
      </c>
      <c r="BH316" s="90">
        <f t="shared" si="349"/>
        <v>0</v>
      </c>
      <c r="BI316" s="90">
        <f t="shared" si="350"/>
        <v>0</v>
      </c>
      <c r="BJ316" s="90">
        <f t="shared" si="351"/>
        <v>0</v>
      </c>
    </row>
    <row r="317" spans="1:62" ht="12.75">
      <c r="A317" s="88" t="s">
        <v>769</v>
      </c>
      <c r="B317" s="88" t="s">
        <v>60</v>
      </c>
      <c r="C317" s="88" t="s">
        <v>1008</v>
      </c>
      <c r="D317" s="88" t="s">
        <v>492</v>
      </c>
      <c r="E317" s="88" t="s">
        <v>606</v>
      </c>
      <c r="F317" s="90">
        <v>1</v>
      </c>
      <c r="G317" s="90">
        <f>'Stavební rozpočet (SO 13)'!G151</f>
        <v>0</v>
      </c>
      <c r="H317" s="90">
        <f t="shared" si="326"/>
        <v>0</v>
      </c>
      <c r="I317" s="90">
        <f t="shared" si="327"/>
        <v>0</v>
      </c>
      <c r="J317" s="90">
        <f t="shared" si="328"/>
        <v>0</v>
      </c>
      <c r="K317" s="90">
        <v>0</v>
      </c>
      <c r="L317" s="90">
        <f t="shared" si="329"/>
        <v>0</v>
      </c>
      <c r="M317" s="91" t="s">
        <v>622</v>
      </c>
      <c r="O317" s="90"/>
      <c r="P317" s="90"/>
      <c r="Z317" s="90">
        <f t="shared" si="330"/>
        <v>0</v>
      </c>
      <c r="AB317" s="90">
        <f t="shared" si="331"/>
        <v>0</v>
      </c>
      <c r="AC317" s="90">
        <f t="shared" si="332"/>
        <v>0</v>
      </c>
      <c r="AD317" s="90">
        <f t="shared" si="333"/>
        <v>0</v>
      </c>
      <c r="AE317" s="90">
        <f t="shared" si="334"/>
        <v>0</v>
      </c>
      <c r="AF317" s="90">
        <f t="shared" si="335"/>
        <v>0</v>
      </c>
      <c r="AG317" s="90">
        <f t="shared" si="336"/>
        <v>0</v>
      </c>
      <c r="AH317" s="90">
        <f t="shared" si="337"/>
        <v>0</v>
      </c>
      <c r="AI317" s="154" t="s">
        <v>60</v>
      </c>
      <c r="AJ317" s="90">
        <f t="shared" si="338"/>
        <v>0</v>
      </c>
      <c r="AK317" s="90">
        <f t="shared" si="339"/>
        <v>0</v>
      </c>
      <c r="AL317" s="90">
        <f t="shared" si="340"/>
        <v>0</v>
      </c>
      <c r="AN317" s="90">
        <v>21</v>
      </c>
      <c r="AO317" s="90">
        <f t="shared" si="341"/>
        <v>0</v>
      </c>
      <c r="AP317" s="90">
        <f t="shared" si="342"/>
        <v>0</v>
      </c>
      <c r="AQ317" s="91" t="s">
        <v>85</v>
      </c>
      <c r="AV317" s="90">
        <f t="shared" si="343"/>
        <v>0</v>
      </c>
      <c r="AW317" s="90">
        <f t="shared" si="344"/>
        <v>0</v>
      </c>
      <c r="AX317" s="90">
        <f t="shared" si="345"/>
        <v>0</v>
      </c>
      <c r="AY317" s="91" t="s">
        <v>642</v>
      </c>
      <c r="AZ317" s="91" t="s">
        <v>1537</v>
      </c>
      <c r="BA317" s="154" t="s">
        <v>1542</v>
      </c>
      <c r="BC317" s="90">
        <f t="shared" si="346"/>
        <v>0</v>
      </c>
      <c r="BD317" s="90">
        <f t="shared" si="347"/>
        <v>0</v>
      </c>
      <c r="BE317" s="90">
        <v>0</v>
      </c>
      <c r="BF317" s="90">
        <f t="shared" si="348"/>
        <v>0</v>
      </c>
      <c r="BH317" s="90">
        <f t="shared" si="349"/>
        <v>0</v>
      </c>
      <c r="BI317" s="90">
        <f t="shared" si="350"/>
        <v>0</v>
      </c>
      <c r="BJ317" s="90">
        <f t="shared" si="351"/>
        <v>0</v>
      </c>
    </row>
    <row r="318" spans="1:62" ht="12.75">
      <c r="A318" s="88" t="s">
        <v>770</v>
      </c>
      <c r="B318" s="88" t="s">
        <v>60</v>
      </c>
      <c r="C318" s="88" t="s">
        <v>1009</v>
      </c>
      <c r="D318" s="88" t="s">
        <v>493</v>
      </c>
      <c r="E318" s="88" t="s">
        <v>606</v>
      </c>
      <c r="F318" s="90">
        <v>1</v>
      </c>
      <c r="G318" s="90">
        <f>'Stavební rozpočet (SO 13)'!G152</f>
        <v>0</v>
      </c>
      <c r="H318" s="90">
        <f t="shared" si="326"/>
        <v>0</v>
      </c>
      <c r="I318" s="90">
        <f t="shared" si="327"/>
        <v>0</v>
      </c>
      <c r="J318" s="90">
        <f t="shared" si="328"/>
        <v>0</v>
      </c>
      <c r="K318" s="90">
        <v>0</v>
      </c>
      <c r="L318" s="90">
        <f t="shared" si="329"/>
        <v>0</v>
      </c>
      <c r="M318" s="91" t="s">
        <v>622</v>
      </c>
      <c r="O318" s="90"/>
      <c r="P318" s="90"/>
      <c r="Z318" s="90">
        <f t="shared" si="330"/>
        <v>0</v>
      </c>
      <c r="AB318" s="90">
        <f t="shared" si="331"/>
        <v>0</v>
      </c>
      <c r="AC318" s="90">
        <f t="shared" si="332"/>
        <v>0</v>
      </c>
      <c r="AD318" s="90">
        <f t="shared" si="333"/>
        <v>0</v>
      </c>
      <c r="AE318" s="90">
        <f t="shared" si="334"/>
        <v>0</v>
      </c>
      <c r="AF318" s="90">
        <f t="shared" si="335"/>
        <v>0</v>
      </c>
      <c r="AG318" s="90">
        <f t="shared" si="336"/>
        <v>0</v>
      </c>
      <c r="AH318" s="90">
        <f t="shared" si="337"/>
        <v>0</v>
      </c>
      <c r="AI318" s="154" t="s">
        <v>60</v>
      </c>
      <c r="AJ318" s="90">
        <f t="shared" si="338"/>
        <v>0</v>
      </c>
      <c r="AK318" s="90">
        <f t="shared" si="339"/>
        <v>0</v>
      </c>
      <c r="AL318" s="90">
        <f t="shared" si="340"/>
        <v>0</v>
      </c>
      <c r="AN318" s="90">
        <v>21</v>
      </c>
      <c r="AO318" s="90">
        <f t="shared" si="341"/>
        <v>0</v>
      </c>
      <c r="AP318" s="90">
        <f t="shared" si="342"/>
        <v>0</v>
      </c>
      <c r="AQ318" s="91" t="s">
        <v>85</v>
      </c>
      <c r="AV318" s="90">
        <f t="shared" si="343"/>
        <v>0</v>
      </c>
      <c r="AW318" s="90">
        <f t="shared" si="344"/>
        <v>0</v>
      </c>
      <c r="AX318" s="90">
        <f t="shared" si="345"/>
        <v>0</v>
      </c>
      <c r="AY318" s="91" t="s">
        <v>642</v>
      </c>
      <c r="AZ318" s="91" t="s">
        <v>1537</v>
      </c>
      <c r="BA318" s="154" t="s">
        <v>1542</v>
      </c>
      <c r="BC318" s="90">
        <f t="shared" si="346"/>
        <v>0</v>
      </c>
      <c r="BD318" s="90">
        <f t="shared" si="347"/>
        <v>0</v>
      </c>
      <c r="BE318" s="90">
        <v>0</v>
      </c>
      <c r="BF318" s="90">
        <f t="shared" si="348"/>
        <v>0</v>
      </c>
      <c r="BH318" s="90">
        <f t="shared" si="349"/>
        <v>0</v>
      </c>
      <c r="BI318" s="90">
        <f t="shared" si="350"/>
        <v>0</v>
      </c>
      <c r="BJ318" s="90">
        <f t="shared" si="351"/>
        <v>0</v>
      </c>
    </row>
    <row r="319" spans="1:47" ht="12.75">
      <c r="A319" s="159"/>
      <c r="B319" s="160" t="s">
        <v>60</v>
      </c>
      <c r="C319" s="160" t="s">
        <v>301</v>
      </c>
      <c r="D319" s="160" t="s">
        <v>494</v>
      </c>
      <c r="E319" s="159" t="s">
        <v>57</v>
      </c>
      <c r="F319" s="159" t="s">
        <v>57</v>
      </c>
      <c r="G319" s="159"/>
      <c r="H319" s="161">
        <f>SUM(H320:H366)</f>
        <v>0</v>
      </c>
      <c r="I319" s="161">
        <f>SUM(I320:I366)</f>
        <v>0</v>
      </c>
      <c r="J319" s="161">
        <f>SUM(J320:J366)</f>
        <v>0</v>
      </c>
      <c r="K319" s="154"/>
      <c r="L319" s="161">
        <f>SUM(L320:L366)</f>
        <v>0</v>
      </c>
      <c r="M319" s="154"/>
      <c r="O319" s="159"/>
      <c r="P319" s="159"/>
      <c r="AI319" s="154" t="s">
        <v>60</v>
      </c>
      <c r="AS319" s="161">
        <f>SUM(AJ320:AJ366)</f>
        <v>0</v>
      </c>
      <c r="AT319" s="161">
        <f>SUM(AK320:AK366)</f>
        <v>0</v>
      </c>
      <c r="AU319" s="161">
        <f>SUM(AL320:AL366)</f>
        <v>0</v>
      </c>
    </row>
    <row r="320" spans="1:62" ht="12.75">
      <c r="A320" s="88" t="s">
        <v>771</v>
      </c>
      <c r="B320" s="88" t="s">
        <v>60</v>
      </c>
      <c r="C320" s="88" t="s">
        <v>302</v>
      </c>
      <c r="D320" s="88" t="s">
        <v>495</v>
      </c>
      <c r="E320" s="88" t="s">
        <v>609</v>
      </c>
      <c r="F320" s="90">
        <v>0</v>
      </c>
      <c r="G320" s="90">
        <f>'Stavební rozpočet (SO 13)'!G154</f>
        <v>0</v>
      </c>
      <c r="H320" s="90">
        <f aca="true" t="shared" si="352" ref="H320:H366">F320*AO320</f>
        <v>0</v>
      </c>
      <c r="I320" s="90">
        <f aca="true" t="shared" si="353" ref="I320:I366">F320*AP320</f>
        <v>0</v>
      </c>
      <c r="J320" s="90">
        <f aca="true" t="shared" si="354" ref="J320:J366">F320*G320</f>
        <v>0</v>
      </c>
      <c r="K320" s="90">
        <v>0</v>
      </c>
      <c r="L320" s="90">
        <f aca="true" t="shared" si="355" ref="L320:L366">F320*K320</f>
        <v>0</v>
      </c>
      <c r="M320" s="91" t="s">
        <v>622</v>
      </c>
      <c r="O320" s="90"/>
      <c r="P320" s="90"/>
      <c r="Z320" s="90">
        <f aca="true" t="shared" si="356" ref="Z320:Z366">IF(AQ320="5",BJ320,0)</f>
        <v>0</v>
      </c>
      <c r="AB320" s="90">
        <f aca="true" t="shared" si="357" ref="AB320:AB366">IF(AQ320="1",BH320,0)</f>
        <v>0</v>
      </c>
      <c r="AC320" s="90">
        <f aca="true" t="shared" si="358" ref="AC320:AC366">IF(AQ320="1",BI320,0)</f>
        <v>0</v>
      </c>
      <c r="AD320" s="90">
        <f aca="true" t="shared" si="359" ref="AD320:AD366">IF(AQ320="7",BH320,0)</f>
        <v>0</v>
      </c>
      <c r="AE320" s="90">
        <f aca="true" t="shared" si="360" ref="AE320:AE366">IF(AQ320="7",BI320,0)</f>
        <v>0</v>
      </c>
      <c r="AF320" s="90">
        <f aca="true" t="shared" si="361" ref="AF320:AF366">IF(AQ320="2",BH320,0)</f>
        <v>0</v>
      </c>
      <c r="AG320" s="90">
        <f aca="true" t="shared" si="362" ref="AG320:AG366">IF(AQ320="2",BI320,0)</f>
        <v>0</v>
      </c>
      <c r="AH320" s="90">
        <f aca="true" t="shared" si="363" ref="AH320:AH366">IF(AQ320="0",BJ320,0)</f>
        <v>0</v>
      </c>
      <c r="AI320" s="154" t="s">
        <v>60</v>
      </c>
      <c r="AJ320" s="90">
        <f aca="true" t="shared" si="364" ref="AJ320:AJ366">IF(AN320=0,J320,0)</f>
        <v>0</v>
      </c>
      <c r="AK320" s="90">
        <f aca="true" t="shared" si="365" ref="AK320:AK366">IF(AN320=15,J320,0)</f>
        <v>0</v>
      </c>
      <c r="AL320" s="90">
        <f aca="true" t="shared" si="366" ref="AL320:AL366">IF(AN320=21,J320,0)</f>
        <v>0</v>
      </c>
      <c r="AN320" s="90">
        <v>21</v>
      </c>
      <c r="AO320" s="90">
        <f aca="true" t="shared" si="367" ref="AO320:AO366">G320*0</f>
        <v>0</v>
      </c>
      <c r="AP320" s="90">
        <f aca="true" t="shared" si="368" ref="AP320:AP366">G320*(1-0)</f>
        <v>0</v>
      </c>
      <c r="AQ320" s="91" t="s">
        <v>85</v>
      </c>
      <c r="AV320" s="90">
        <f aca="true" t="shared" si="369" ref="AV320:AV366">AW320+AX320</f>
        <v>0</v>
      </c>
      <c r="AW320" s="90">
        <f aca="true" t="shared" si="370" ref="AW320:AW366">F320*AO320</f>
        <v>0</v>
      </c>
      <c r="AX320" s="90">
        <f aca="true" t="shared" si="371" ref="AX320:AX366">F320*AP320</f>
        <v>0</v>
      </c>
      <c r="AY320" s="91" t="s">
        <v>643</v>
      </c>
      <c r="AZ320" s="91" t="s">
        <v>1537</v>
      </c>
      <c r="BA320" s="154" t="s">
        <v>1542</v>
      </c>
      <c r="BC320" s="90">
        <f aca="true" t="shared" si="372" ref="BC320:BC366">AW320+AX320</f>
        <v>0</v>
      </c>
      <c r="BD320" s="90">
        <f aca="true" t="shared" si="373" ref="BD320:BD366">G320/(100-BE320)*100</f>
        <v>0</v>
      </c>
      <c r="BE320" s="90">
        <v>0</v>
      </c>
      <c r="BF320" s="90">
        <f aca="true" t="shared" si="374" ref="BF320:BF366">L320</f>
        <v>0</v>
      </c>
      <c r="BH320" s="90">
        <f aca="true" t="shared" si="375" ref="BH320:BH366">F320*AO320</f>
        <v>0</v>
      </c>
      <c r="BI320" s="90">
        <f aca="true" t="shared" si="376" ref="BI320:BI366">F320*AP320</f>
        <v>0</v>
      </c>
      <c r="BJ320" s="90">
        <f aca="true" t="shared" si="377" ref="BJ320:BJ366">F320*G320</f>
        <v>0</v>
      </c>
    </row>
    <row r="321" spans="1:62" ht="12.75">
      <c r="A321" s="88" t="s">
        <v>772</v>
      </c>
      <c r="B321" s="88" t="s">
        <v>60</v>
      </c>
      <c r="C321" s="88" t="s">
        <v>303</v>
      </c>
      <c r="D321" s="88" t="s">
        <v>1297</v>
      </c>
      <c r="E321" s="88" t="s">
        <v>609</v>
      </c>
      <c r="F321" s="90">
        <v>76.5</v>
      </c>
      <c r="G321" s="90">
        <f>'Stavební rozpočet (SO 13)'!G155</f>
        <v>0</v>
      </c>
      <c r="H321" s="90">
        <f t="shared" si="352"/>
        <v>0</v>
      </c>
      <c r="I321" s="90">
        <f t="shared" si="353"/>
        <v>0</v>
      </c>
      <c r="J321" s="90">
        <f t="shared" si="354"/>
        <v>0</v>
      </c>
      <c r="K321" s="90">
        <v>0</v>
      </c>
      <c r="L321" s="90">
        <f t="shared" si="355"/>
        <v>0</v>
      </c>
      <c r="M321" s="91" t="s">
        <v>622</v>
      </c>
      <c r="O321" s="90"/>
      <c r="P321" s="90"/>
      <c r="Z321" s="90">
        <f t="shared" si="356"/>
        <v>0</v>
      </c>
      <c r="AB321" s="90">
        <f t="shared" si="357"/>
        <v>0</v>
      </c>
      <c r="AC321" s="90">
        <f t="shared" si="358"/>
        <v>0</v>
      </c>
      <c r="AD321" s="90">
        <f t="shared" si="359"/>
        <v>0</v>
      </c>
      <c r="AE321" s="90">
        <f t="shared" si="360"/>
        <v>0</v>
      </c>
      <c r="AF321" s="90">
        <f t="shared" si="361"/>
        <v>0</v>
      </c>
      <c r="AG321" s="90">
        <f t="shared" si="362"/>
        <v>0</v>
      </c>
      <c r="AH321" s="90">
        <f t="shared" si="363"/>
        <v>0</v>
      </c>
      <c r="AI321" s="154" t="s">
        <v>60</v>
      </c>
      <c r="AJ321" s="90">
        <f t="shared" si="364"/>
        <v>0</v>
      </c>
      <c r="AK321" s="90">
        <f t="shared" si="365"/>
        <v>0</v>
      </c>
      <c r="AL321" s="90">
        <f t="shared" si="366"/>
        <v>0</v>
      </c>
      <c r="AN321" s="90">
        <v>21</v>
      </c>
      <c r="AO321" s="90">
        <f t="shared" si="367"/>
        <v>0</v>
      </c>
      <c r="AP321" s="90">
        <f t="shared" si="368"/>
        <v>0</v>
      </c>
      <c r="AQ321" s="91" t="s">
        <v>85</v>
      </c>
      <c r="AV321" s="90">
        <f t="shared" si="369"/>
        <v>0</v>
      </c>
      <c r="AW321" s="90">
        <f t="shared" si="370"/>
        <v>0</v>
      </c>
      <c r="AX321" s="90">
        <f t="shared" si="371"/>
        <v>0</v>
      </c>
      <c r="AY321" s="91" t="s">
        <v>643</v>
      </c>
      <c r="AZ321" s="91" t="s">
        <v>1537</v>
      </c>
      <c r="BA321" s="154" t="s">
        <v>1542</v>
      </c>
      <c r="BC321" s="90">
        <f t="shared" si="372"/>
        <v>0</v>
      </c>
      <c r="BD321" s="90">
        <f t="shared" si="373"/>
        <v>0</v>
      </c>
      <c r="BE321" s="90">
        <v>0</v>
      </c>
      <c r="BF321" s="90">
        <f t="shared" si="374"/>
        <v>0</v>
      </c>
      <c r="BH321" s="90">
        <f t="shared" si="375"/>
        <v>0</v>
      </c>
      <c r="BI321" s="90">
        <f t="shared" si="376"/>
        <v>0</v>
      </c>
      <c r="BJ321" s="90">
        <f t="shared" si="377"/>
        <v>0</v>
      </c>
    </row>
    <row r="322" spans="1:62" ht="12.75">
      <c r="A322" s="88" t="s">
        <v>773</v>
      </c>
      <c r="B322" s="88" t="s">
        <v>60</v>
      </c>
      <c r="C322" s="88" t="s">
        <v>1010</v>
      </c>
      <c r="D322" s="88" t="s">
        <v>1298</v>
      </c>
      <c r="E322" s="88" t="s">
        <v>609</v>
      </c>
      <c r="F322" s="90">
        <v>9.3</v>
      </c>
      <c r="G322" s="90">
        <f>'Stavební rozpočet (SO 13)'!G156</f>
        <v>0</v>
      </c>
      <c r="H322" s="90">
        <f t="shared" si="352"/>
        <v>0</v>
      </c>
      <c r="I322" s="90">
        <f t="shared" si="353"/>
        <v>0</v>
      </c>
      <c r="J322" s="90">
        <f t="shared" si="354"/>
        <v>0</v>
      </c>
      <c r="K322" s="90">
        <v>0</v>
      </c>
      <c r="L322" s="90">
        <f t="shared" si="355"/>
        <v>0</v>
      </c>
      <c r="M322" s="91" t="s">
        <v>622</v>
      </c>
      <c r="O322" s="90"/>
      <c r="P322" s="90"/>
      <c r="Z322" s="90">
        <f t="shared" si="356"/>
        <v>0</v>
      </c>
      <c r="AB322" s="90">
        <f t="shared" si="357"/>
        <v>0</v>
      </c>
      <c r="AC322" s="90">
        <f t="shared" si="358"/>
        <v>0</v>
      </c>
      <c r="AD322" s="90">
        <f t="shared" si="359"/>
        <v>0</v>
      </c>
      <c r="AE322" s="90">
        <f t="shared" si="360"/>
        <v>0</v>
      </c>
      <c r="AF322" s="90">
        <f t="shared" si="361"/>
        <v>0</v>
      </c>
      <c r="AG322" s="90">
        <f t="shared" si="362"/>
        <v>0</v>
      </c>
      <c r="AH322" s="90">
        <f t="shared" si="363"/>
        <v>0</v>
      </c>
      <c r="AI322" s="154" t="s">
        <v>60</v>
      </c>
      <c r="AJ322" s="90">
        <f t="shared" si="364"/>
        <v>0</v>
      </c>
      <c r="AK322" s="90">
        <f t="shared" si="365"/>
        <v>0</v>
      </c>
      <c r="AL322" s="90">
        <f t="shared" si="366"/>
        <v>0</v>
      </c>
      <c r="AN322" s="90">
        <v>21</v>
      </c>
      <c r="AO322" s="90">
        <f t="shared" si="367"/>
        <v>0</v>
      </c>
      <c r="AP322" s="90">
        <f t="shared" si="368"/>
        <v>0</v>
      </c>
      <c r="AQ322" s="91" t="s">
        <v>85</v>
      </c>
      <c r="AV322" s="90">
        <f t="shared" si="369"/>
        <v>0</v>
      </c>
      <c r="AW322" s="90">
        <f t="shared" si="370"/>
        <v>0</v>
      </c>
      <c r="AX322" s="90">
        <f t="shared" si="371"/>
        <v>0</v>
      </c>
      <c r="AY322" s="91" t="s">
        <v>643</v>
      </c>
      <c r="AZ322" s="91" t="s">
        <v>1537</v>
      </c>
      <c r="BA322" s="154" t="s">
        <v>1542</v>
      </c>
      <c r="BC322" s="90">
        <f t="shared" si="372"/>
        <v>0</v>
      </c>
      <c r="BD322" s="90">
        <f t="shared" si="373"/>
        <v>0</v>
      </c>
      <c r="BE322" s="90">
        <v>0</v>
      </c>
      <c r="BF322" s="90">
        <f t="shared" si="374"/>
        <v>0</v>
      </c>
      <c r="BH322" s="90">
        <f t="shared" si="375"/>
        <v>0</v>
      </c>
      <c r="BI322" s="90">
        <f t="shared" si="376"/>
        <v>0</v>
      </c>
      <c r="BJ322" s="90">
        <f t="shared" si="377"/>
        <v>0</v>
      </c>
    </row>
    <row r="323" spans="1:62" ht="12.75">
      <c r="A323" s="88" t="s">
        <v>774</v>
      </c>
      <c r="B323" s="88" t="s">
        <v>60</v>
      </c>
      <c r="C323" s="88" t="s">
        <v>1011</v>
      </c>
      <c r="D323" s="88" t="s">
        <v>1299</v>
      </c>
      <c r="E323" s="88" t="s">
        <v>609</v>
      </c>
      <c r="F323" s="90">
        <v>5.8</v>
      </c>
      <c r="G323" s="90">
        <f>'Stavební rozpočet (SO 13)'!G157</f>
        <v>0</v>
      </c>
      <c r="H323" s="90">
        <f t="shared" si="352"/>
        <v>0</v>
      </c>
      <c r="I323" s="90">
        <f t="shared" si="353"/>
        <v>0</v>
      </c>
      <c r="J323" s="90">
        <f t="shared" si="354"/>
        <v>0</v>
      </c>
      <c r="K323" s="90">
        <v>0</v>
      </c>
      <c r="L323" s="90">
        <f t="shared" si="355"/>
        <v>0</v>
      </c>
      <c r="M323" s="91" t="s">
        <v>622</v>
      </c>
      <c r="O323" s="90"/>
      <c r="P323" s="90"/>
      <c r="Z323" s="90">
        <f t="shared" si="356"/>
        <v>0</v>
      </c>
      <c r="AB323" s="90">
        <f t="shared" si="357"/>
        <v>0</v>
      </c>
      <c r="AC323" s="90">
        <f t="shared" si="358"/>
        <v>0</v>
      </c>
      <c r="AD323" s="90">
        <f t="shared" si="359"/>
        <v>0</v>
      </c>
      <c r="AE323" s="90">
        <f t="shared" si="360"/>
        <v>0</v>
      </c>
      <c r="AF323" s="90">
        <f t="shared" si="361"/>
        <v>0</v>
      </c>
      <c r="AG323" s="90">
        <f t="shared" si="362"/>
        <v>0</v>
      </c>
      <c r="AH323" s="90">
        <f t="shared" si="363"/>
        <v>0</v>
      </c>
      <c r="AI323" s="154" t="s">
        <v>60</v>
      </c>
      <c r="AJ323" s="90">
        <f t="shared" si="364"/>
        <v>0</v>
      </c>
      <c r="AK323" s="90">
        <f t="shared" si="365"/>
        <v>0</v>
      </c>
      <c r="AL323" s="90">
        <f t="shared" si="366"/>
        <v>0</v>
      </c>
      <c r="AN323" s="90">
        <v>21</v>
      </c>
      <c r="AO323" s="90">
        <f t="shared" si="367"/>
        <v>0</v>
      </c>
      <c r="AP323" s="90">
        <f t="shared" si="368"/>
        <v>0</v>
      </c>
      <c r="AQ323" s="91" t="s">
        <v>85</v>
      </c>
      <c r="AV323" s="90">
        <f t="shared" si="369"/>
        <v>0</v>
      </c>
      <c r="AW323" s="90">
        <f t="shared" si="370"/>
        <v>0</v>
      </c>
      <c r="AX323" s="90">
        <f t="shared" si="371"/>
        <v>0</v>
      </c>
      <c r="AY323" s="91" t="s">
        <v>643</v>
      </c>
      <c r="AZ323" s="91" t="s">
        <v>1537</v>
      </c>
      <c r="BA323" s="154" t="s">
        <v>1542</v>
      </c>
      <c r="BC323" s="90">
        <f t="shared" si="372"/>
        <v>0</v>
      </c>
      <c r="BD323" s="90">
        <f t="shared" si="373"/>
        <v>0</v>
      </c>
      <c r="BE323" s="90">
        <v>0</v>
      </c>
      <c r="BF323" s="90">
        <f t="shared" si="374"/>
        <v>0</v>
      </c>
      <c r="BH323" s="90">
        <f t="shared" si="375"/>
        <v>0</v>
      </c>
      <c r="BI323" s="90">
        <f t="shared" si="376"/>
        <v>0</v>
      </c>
      <c r="BJ323" s="90">
        <f t="shared" si="377"/>
        <v>0</v>
      </c>
    </row>
    <row r="324" spans="1:62" ht="12.75">
      <c r="A324" s="88" t="s">
        <v>775</v>
      </c>
      <c r="B324" s="88" t="s">
        <v>60</v>
      </c>
      <c r="C324" s="88" t="s">
        <v>304</v>
      </c>
      <c r="D324" s="88" t="s">
        <v>1300</v>
      </c>
      <c r="E324" s="88" t="s">
        <v>609</v>
      </c>
      <c r="F324" s="90">
        <v>0.5</v>
      </c>
      <c r="G324" s="90">
        <f>'Stavební rozpočet (SO 13)'!G158</f>
        <v>0</v>
      </c>
      <c r="H324" s="90">
        <f t="shared" si="352"/>
        <v>0</v>
      </c>
      <c r="I324" s="90">
        <f t="shared" si="353"/>
        <v>0</v>
      </c>
      <c r="J324" s="90">
        <f t="shared" si="354"/>
        <v>0</v>
      </c>
      <c r="K324" s="90">
        <v>0</v>
      </c>
      <c r="L324" s="90">
        <f t="shared" si="355"/>
        <v>0</v>
      </c>
      <c r="M324" s="91" t="s">
        <v>622</v>
      </c>
      <c r="O324" s="90"/>
      <c r="P324" s="90"/>
      <c r="Z324" s="90">
        <f t="shared" si="356"/>
        <v>0</v>
      </c>
      <c r="AB324" s="90">
        <f t="shared" si="357"/>
        <v>0</v>
      </c>
      <c r="AC324" s="90">
        <f t="shared" si="358"/>
        <v>0</v>
      </c>
      <c r="AD324" s="90">
        <f t="shared" si="359"/>
        <v>0</v>
      </c>
      <c r="AE324" s="90">
        <f t="shared" si="360"/>
        <v>0</v>
      </c>
      <c r="AF324" s="90">
        <f t="shared" si="361"/>
        <v>0</v>
      </c>
      <c r="AG324" s="90">
        <f t="shared" si="362"/>
        <v>0</v>
      </c>
      <c r="AH324" s="90">
        <f t="shared" si="363"/>
        <v>0</v>
      </c>
      <c r="AI324" s="154" t="s">
        <v>60</v>
      </c>
      <c r="AJ324" s="90">
        <f t="shared" si="364"/>
        <v>0</v>
      </c>
      <c r="AK324" s="90">
        <f t="shared" si="365"/>
        <v>0</v>
      </c>
      <c r="AL324" s="90">
        <f t="shared" si="366"/>
        <v>0</v>
      </c>
      <c r="AN324" s="90">
        <v>21</v>
      </c>
      <c r="AO324" s="90">
        <f t="shared" si="367"/>
        <v>0</v>
      </c>
      <c r="AP324" s="90">
        <f t="shared" si="368"/>
        <v>0</v>
      </c>
      <c r="AQ324" s="91" t="s">
        <v>85</v>
      </c>
      <c r="AV324" s="90">
        <f t="shared" si="369"/>
        <v>0</v>
      </c>
      <c r="AW324" s="90">
        <f t="shared" si="370"/>
        <v>0</v>
      </c>
      <c r="AX324" s="90">
        <f t="shared" si="371"/>
        <v>0</v>
      </c>
      <c r="AY324" s="91" t="s">
        <v>643</v>
      </c>
      <c r="AZ324" s="91" t="s">
        <v>1537</v>
      </c>
      <c r="BA324" s="154" t="s">
        <v>1542</v>
      </c>
      <c r="BC324" s="90">
        <f t="shared" si="372"/>
        <v>0</v>
      </c>
      <c r="BD324" s="90">
        <f t="shared" si="373"/>
        <v>0</v>
      </c>
      <c r="BE324" s="90">
        <v>0</v>
      </c>
      <c r="BF324" s="90">
        <f t="shared" si="374"/>
        <v>0</v>
      </c>
      <c r="BH324" s="90">
        <f t="shared" si="375"/>
        <v>0</v>
      </c>
      <c r="BI324" s="90">
        <f t="shared" si="376"/>
        <v>0</v>
      </c>
      <c r="BJ324" s="90">
        <f t="shared" si="377"/>
        <v>0</v>
      </c>
    </row>
    <row r="325" spans="1:62" ht="12.75">
      <c r="A325" s="88" t="s">
        <v>776</v>
      </c>
      <c r="B325" s="88" t="s">
        <v>60</v>
      </c>
      <c r="C325" s="88" t="s">
        <v>1012</v>
      </c>
      <c r="D325" s="88" t="s">
        <v>1301</v>
      </c>
      <c r="E325" s="88" t="s">
        <v>609</v>
      </c>
      <c r="F325" s="90">
        <v>3.1</v>
      </c>
      <c r="G325" s="90">
        <f>'Stavební rozpočet (SO 13)'!G159</f>
        <v>0</v>
      </c>
      <c r="H325" s="90">
        <f t="shared" si="352"/>
        <v>0</v>
      </c>
      <c r="I325" s="90">
        <f t="shared" si="353"/>
        <v>0</v>
      </c>
      <c r="J325" s="90">
        <f t="shared" si="354"/>
        <v>0</v>
      </c>
      <c r="K325" s="90">
        <v>0</v>
      </c>
      <c r="L325" s="90">
        <f t="shared" si="355"/>
        <v>0</v>
      </c>
      <c r="M325" s="91" t="s">
        <v>622</v>
      </c>
      <c r="O325" s="90"/>
      <c r="P325" s="90"/>
      <c r="Z325" s="90">
        <f t="shared" si="356"/>
        <v>0</v>
      </c>
      <c r="AB325" s="90">
        <f t="shared" si="357"/>
        <v>0</v>
      </c>
      <c r="AC325" s="90">
        <f t="shared" si="358"/>
        <v>0</v>
      </c>
      <c r="AD325" s="90">
        <f t="shared" si="359"/>
        <v>0</v>
      </c>
      <c r="AE325" s="90">
        <f t="shared" si="360"/>
        <v>0</v>
      </c>
      <c r="AF325" s="90">
        <f t="shared" si="361"/>
        <v>0</v>
      </c>
      <c r="AG325" s="90">
        <f t="shared" si="362"/>
        <v>0</v>
      </c>
      <c r="AH325" s="90">
        <f t="shared" si="363"/>
        <v>0</v>
      </c>
      <c r="AI325" s="154" t="s">
        <v>60</v>
      </c>
      <c r="AJ325" s="90">
        <f t="shared" si="364"/>
        <v>0</v>
      </c>
      <c r="AK325" s="90">
        <f t="shared" si="365"/>
        <v>0</v>
      </c>
      <c r="AL325" s="90">
        <f t="shared" si="366"/>
        <v>0</v>
      </c>
      <c r="AN325" s="90">
        <v>21</v>
      </c>
      <c r="AO325" s="90">
        <f t="shared" si="367"/>
        <v>0</v>
      </c>
      <c r="AP325" s="90">
        <f t="shared" si="368"/>
        <v>0</v>
      </c>
      <c r="AQ325" s="91" t="s">
        <v>85</v>
      </c>
      <c r="AV325" s="90">
        <f t="shared" si="369"/>
        <v>0</v>
      </c>
      <c r="AW325" s="90">
        <f t="shared" si="370"/>
        <v>0</v>
      </c>
      <c r="AX325" s="90">
        <f t="shared" si="371"/>
        <v>0</v>
      </c>
      <c r="AY325" s="91" t="s">
        <v>643</v>
      </c>
      <c r="AZ325" s="91" t="s">
        <v>1537</v>
      </c>
      <c r="BA325" s="154" t="s">
        <v>1542</v>
      </c>
      <c r="BC325" s="90">
        <f t="shared" si="372"/>
        <v>0</v>
      </c>
      <c r="BD325" s="90">
        <f t="shared" si="373"/>
        <v>0</v>
      </c>
      <c r="BE325" s="90">
        <v>0</v>
      </c>
      <c r="BF325" s="90">
        <f t="shared" si="374"/>
        <v>0</v>
      </c>
      <c r="BH325" s="90">
        <f t="shared" si="375"/>
        <v>0</v>
      </c>
      <c r="BI325" s="90">
        <f t="shared" si="376"/>
        <v>0</v>
      </c>
      <c r="BJ325" s="90">
        <f t="shared" si="377"/>
        <v>0</v>
      </c>
    </row>
    <row r="326" spans="1:62" ht="12.75">
      <c r="A326" s="88" t="s">
        <v>777</v>
      </c>
      <c r="B326" s="88" t="s">
        <v>60</v>
      </c>
      <c r="C326" s="88" t="s">
        <v>305</v>
      </c>
      <c r="D326" s="88" t="s">
        <v>1302</v>
      </c>
      <c r="E326" s="88" t="s">
        <v>609</v>
      </c>
      <c r="F326" s="90">
        <v>18.9</v>
      </c>
      <c r="G326" s="90">
        <f>'Stavební rozpočet (SO 13)'!G160</f>
        <v>0</v>
      </c>
      <c r="H326" s="90">
        <f t="shared" si="352"/>
        <v>0</v>
      </c>
      <c r="I326" s="90">
        <f t="shared" si="353"/>
        <v>0</v>
      </c>
      <c r="J326" s="90">
        <f t="shared" si="354"/>
        <v>0</v>
      </c>
      <c r="K326" s="90">
        <v>0</v>
      </c>
      <c r="L326" s="90">
        <f t="shared" si="355"/>
        <v>0</v>
      </c>
      <c r="M326" s="91" t="s">
        <v>622</v>
      </c>
      <c r="O326" s="90"/>
      <c r="P326" s="90"/>
      <c r="Z326" s="90">
        <f t="shared" si="356"/>
        <v>0</v>
      </c>
      <c r="AB326" s="90">
        <f t="shared" si="357"/>
        <v>0</v>
      </c>
      <c r="AC326" s="90">
        <f t="shared" si="358"/>
        <v>0</v>
      </c>
      <c r="AD326" s="90">
        <f t="shared" si="359"/>
        <v>0</v>
      </c>
      <c r="AE326" s="90">
        <f t="shared" si="360"/>
        <v>0</v>
      </c>
      <c r="AF326" s="90">
        <f t="shared" si="361"/>
        <v>0</v>
      </c>
      <c r="AG326" s="90">
        <f t="shared" si="362"/>
        <v>0</v>
      </c>
      <c r="AH326" s="90">
        <f t="shared" si="363"/>
        <v>0</v>
      </c>
      <c r="AI326" s="154" t="s">
        <v>60</v>
      </c>
      <c r="AJ326" s="90">
        <f t="shared" si="364"/>
        <v>0</v>
      </c>
      <c r="AK326" s="90">
        <f t="shared" si="365"/>
        <v>0</v>
      </c>
      <c r="AL326" s="90">
        <f t="shared" si="366"/>
        <v>0</v>
      </c>
      <c r="AN326" s="90">
        <v>21</v>
      </c>
      <c r="AO326" s="90">
        <f t="shared" si="367"/>
        <v>0</v>
      </c>
      <c r="AP326" s="90">
        <f t="shared" si="368"/>
        <v>0</v>
      </c>
      <c r="AQ326" s="91" t="s">
        <v>85</v>
      </c>
      <c r="AV326" s="90">
        <f t="shared" si="369"/>
        <v>0</v>
      </c>
      <c r="AW326" s="90">
        <f t="shared" si="370"/>
        <v>0</v>
      </c>
      <c r="AX326" s="90">
        <f t="shared" si="371"/>
        <v>0</v>
      </c>
      <c r="AY326" s="91" t="s">
        <v>643</v>
      </c>
      <c r="AZ326" s="91" t="s">
        <v>1537</v>
      </c>
      <c r="BA326" s="154" t="s">
        <v>1542</v>
      </c>
      <c r="BC326" s="90">
        <f t="shared" si="372"/>
        <v>0</v>
      </c>
      <c r="BD326" s="90">
        <f t="shared" si="373"/>
        <v>0</v>
      </c>
      <c r="BE326" s="90">
        <v>0</v>
      </c>
      <c r="BF326" s="90">
        <f t="shared" si="374"/>
        <v>0</v>
      </c>
      <c r="BH326" s="90">
        <f t="shared" si="375"/>
        <v>0</v>
      </c>
      <c r="BI326" s="90">
        <f t="shared" si="376"/>
        <v>0</v>
      </c>
      <c r="BJ326" s="90">
        <f t="shared" si="377"/>
        <v>0</v>
      </c>
    </row>
    <row r="327" spans="1:62" ht="12.75">
      <c r="A327" s="88" t="s">
        <v>778</v>
      </c>
      <c r="B327" s="88" t="s">
        <v>60</v>
      </c>
      <c r="C327" s="88" t="s">
        <v>306</v>
      </c>
      <c r="D327" s="88" t="s">
        <v>1303</v>
      </c>
      <c r="E327" s="88" t="s">
        <v>609</v>
      </c>
      <c r="F327" s="90">
        <v>5.9</v>
      </c>
      <c r="G327" s="90">
        <f>'Stavební rozpočet (SO 13)'!G161</f>
        <v>0</v>
      </c>
      <c r="H327" s="90">
        <f t="shared" si="352"/>
        <v>0</v>
      </c>
      <c r="I327" s="90">
        <f t="shared" si="353"/>
        <v>0</v>
      </c>
      <c r="J327" s="90">
        <f t="shared" si="354"/>
        <v>0</v>
      </c>
      <c r="K327" s="90">
        <v>0</v>
      </c>
      <c r="L327" s="90">
        <f t="shared" si="355"/>
        <v>0</v>
      </c>
      <c r="M327" s="91" t="s">
        <v>622</v>
      </c>
      <c r="O327" s="90"/>
      <c r="P327" s="90"/>
      <c r="Z327" s="90">
        <f t="shared" si="356"/>
        <v>0</v>
      </c>
      <c r="AB327" s="90">
        <f t="shared" si="357"/>
        <v>0</v>
      </c>
      <c r="AC327" s="90">
        <f t="shared" si="358"/>
        <v>0</v>
      </c>
      <c r="AD327" s="90">
        <f t="shared" si="359"/>
        <v>0</v>
      </c>
      <c r="AE327" s="90">
        <f t="shared" si="360"/>
        <v>0</v>
      </c>
      <c r="AF327" s="90">
        <f t="shared" si="361"/>
        <v>0</v>
      </c>
      <c r="AG327" s="90">
        <f t="shared" si="362"/>
        <v>0</v>
      </c>
      <c r="AH327" s="90">
        <f t="shared" si="363"/>
        <v>0</v>
      </c>
      <c r="AI327" s="154" t="s">
        <v>60</v>
      </c>
      <c r="AJ327" s="90">
        <f t="shared" si="364"/>
        <v>0</v>
      </c>
      <c r="AK327" s="90">
        <f t="shared" si="365"/>
        <v>0</v>
      </c>
      <c r="AL327" s="90">
        <f t="shared" si="366"/>
        <v>0</v>
      </c>
      <c r="AN327" s="90">
        <v>21</v>
      </c>
      <c r="AO327" s="90">
        <f t="shared" si="367"/>
        <v>0</v>
      </c>
      <c r="AP327" s="90">
        <f t="shared" si="368"/>
        <v>0</v>
      </c>
      <c r="AQ327" s="91" t="s">
        <v>85</v>
      </c>
      <c r="AV327" s="90">
        <f t="shared" si="369"/>
        <v>0</v>
      </c>
      <c r="AW327" s="90">
        <f t="shared" si="370"/>
        <v>0</v>
      </c>
      <c r="AX327" s="90">
        <f t="shared" si="371"/>
        <v>0</v>
      </c>
      <c r="AY327" s="91" t="s">
        <v>643</v>
      </c>
      <c r="AZ327" s="91" t="s">
        <v>1537</v>
      </c>
      <c r="BA327" s="154" t="s">
        <v>1542</v>
      </c>
      <c r="BC327" s="90">
        <f t="shared" si="372"/>
        <v>0</v>
      </c>
      <c r="BD327" s="90">
        <f t="shared" si="373"/>
        <v>0</v>
      </c>
      <c r="BE327" s="90">
        <v>0</v>
      </c>
      <c r="BF327" s="90">
        <f t="shared" si="374"/>
        <v>0</v>
      </c>
      <c r="BH327" s="90">
        <f t="shared" si="375"/>
        <v>0</v>
      </c>
      <c r="BI327" s="90">
        <f t="shared" si="376"/>
        <v>0</v>
      </c>
      <c r="BJ327" s="90">
        <f t="shared" si="377"/>
        <v>0</v>
      </c>
    </row>
    <row r="328" spans="1:62" ht="12.75">
      <c r="A328" s="88" t="s">
        <v>779</v>
      </c>
      <c r="B328" s="88" t="s">
        <v>60</v>
      </c>
      <c r="C328" s="88" t="s">
        <v>307</v>
      </c>
      <c r="D328" s="88" t="s">
        <v>1304</v>
      </c>
      <c r="E328" s="88" t="s">
        <v>609</v>
      </c>
      <c r="F328" s="90">
        <v>58.7</v>
      </c>
      <c r="G328" s="90">
        <f>'Stavební rozpočet (SO 13)'!G162</f>
        <v>0</v>
      </c>
      <c r="H328" s="90">
        <f t="shared" si="352"/>
        <v>0</v>
      </c>
      <c r="I328" s="90">
        <f t="shared" si="353"/>
        <v>0</v>
      </c>
      <c r="J328" s="90">
        <f t="shared" si="354"/>
        <v>0</v>
      </c>
      <c r="K328" s="90">
        <v>0</v>
      </c>
      <c r="L328" s="90">
        <f t="shared" si="355"/>
        <v>0</v>
      </c>
      <c r="M328" s="91" t="s">
        <v>622</v>
      </c>
      <c r="O328" s="90"/>
      <c r="P328" s="90"/>
      <c r="Z328" s="90">
        <f t="shared" si="356"/>
        <v>0</v>
      </c>
      <c r="AB328" s="90">
        <f t="shared" si="357"/>
        <v>0</v>
      </c>
      <c r="AC328" s="90">
        <f t="shared" si="358"/>
        <v>0</v>
      </c>
      <c r="AD328" s="90">
        <f t="shared" si="359"/>
        <v>0</v>
      </c>
      <c r="AE328" s="90">
        <f t="shared" si="360"/>
        <v>0</v>
      </c>
      <c r="AF328" s="90">
        <f t="shared" si="361"/>
        <v>0</v>
      </c>
      <c r="AG328" s="90">
        <f t="shared" si="362"/>
        <v>0</v>
      </c>
      <c r="AH328" s="90">
        <f t="shared" si="363"/>
        <v>0</v>
      </c>
      <c r="AI328" s="154" t="s">
        <v>60</v>
      </c>
      <c r="AJ328" s="90">
        <f t="shared" si="364"/>
        <v>0</v>
      </c>
      <c r="AK328" s="90">
        <f t="shared" si="365"/>
        <v>0</v>
      </c>
      <c r="AL328" s="90">
        <f t="shared" si="366"/>
        <v>0</v>
      </c>
      <c r="AN328" s="90">
        <v>21</v>
      </c>
      <c r="AO328" s="90">
        <f t="shared" si="367"/>
        <v>0</v>
      </c>
      <c r="AP328" s="90">
        <f t="shared" si="368"/>
        <v>0</v>
      </c>
      <c r="AQ328" s="91" t="s">
        <v>85</v>
      </c>
      <c r="AV328" s="90">
        <f t="shared" si="369"/>
        <v>0</v>
      </c>
      <c r="AW328" s="90">
        <f t="shared" si="370"/>
        <v>0</v>
      </c>
      <c r="AX328" s="90">
        <f t="shared" si="371"/>
        <v>0</v>
      </c>
      <c r="AY328" s="91" t="s">
        <v>643</v>
      </c>
      <c r="AZ328" s="91" t="s">
        <v>1537</v>
      </c>
      <c r="BA328" s="154" t="s">
        <v>1542</v>
      </c>
      <c r="BC328" s="90">
        <f t="shared" si="372"/>
        <v>0</v>
      </c>
      <c r="BD328" s="90">
        <f t="shared" si="373"/>
        <v>0</v>
      </c>
      <c r="BE328" s="90">
        <v>0</v>
      </c>
      <c r="BF328" s="90">
        <f t="shared" si="374"/>
        <v>0</v>
      </c>
      <c r="BH328" s="90">
        <f t="shared" si="375"/>
        <v>0</v>
      </c>
      <c r="BI328" s="90">
        <f t="shared" si="376"/>
        <v>0</v>
      </c>
      <c r="BJ328" s="90">
        <f t="shared" si="377"/>
        <v>0</v>
      </c>
    </row>
    <row r="329" spans="1:62" ht="12.75">
      <c r="A329" s="88" t="s">
        <v>780</v>
      </c>
      <c r="B329" s="88" t="s">
        <v>60</v>
      </c>
      <c r="C329" s="88" t="s">
        <v>308</v>
      </c>
      <c r="D329" s="88" t="s">
        <v>1305</v>
      </c>
      <c r="E329" s="88" t="s">
        <v>609</v>
      </c>
      <c r="F329" s="90">
        <v>3.5</v>
      </c>
      <c r="G329" s="90">
        <f>'Stavební rozpočet (SO 13)'!G163</f>
        <v>0</v>
      </c>
      <c r="H329" s="90">
        <f t="shared" si="352"/>
        <v>0</v>
      </c>
      <c r="I329" s="90">
        <f t="shared" si="353"/>
        <v>0</v>
      </c>
      <c r="J329" s="90">
        <f t="shared" si="354"/>
        <v>0</v>
      </c>
      <c r="K329" s="90">
        <v>0</v>
      </c>
      <c r="L329" s="90">
        <f t="shared" si="355"/>
        <v>0</v>
      </c>
      <c r="M329" s="91" t="s">
        <v>622</v>
      </c>
      <c r="O329" s="90"/>
      <c r="P329" s="90"/>
      <c r="Z329" s="90">
        <f t="shared" si="356"/>
        <v>0</v>
      </c>
      <c r="AB329" s="90">
        <f t="shared" si="357"/>
        <v>0</v>
      </c>
      <c r="AC329" s="90">
        <f t="shared" si="358"/>
        <v>0</v>
      </c>
      <c r="AD329" s="90">
        <f t="shared" si="359"/>
        <v>0</v>
      </c>
      <c r="AE329" s="90">
        <f t="shared" si="360"/>
        <v>0</v>
      </c>
      <c r="AF329" s="90">
        <f t="shared" si="361"/>
        <v>0</v>
      </c>
      <c r="AG329" s="90">
        <f t="shared" si="362"/>
        <v>0</v>
      </c>
      <c r="AH329" s="90">
        <f t="shared" si="363"/>
        <v>0</v>
      </c>
      <c r="AI329" s="154" t="s">
        <v>60</v>
      </c>
      <c r="AJ329" s="90">
        <f t="shared" si="364"/>
        <v>0</v>
      </c>
      <c r="AK329" s="90">
        <f t="shared" si="365"/>
        <v>0</v>
      </c>
      <c r="AL329" s="90">
        <f t="shared" si="366"/>
        <v>0</v>
      </c>
      <c r="AN329" s="90">
        <v>21</v>
      </c>
      <c r="AO329" s="90">
        <f t="shared" si="367"/>
        <v>0</v>
      </c>
      <c r="AP329" s="90">
        <f t="shared" si="368"/>
        <v>0</v>
      </c>
      <c r="AQ329" s="91" t="s">
        <v>85</v>
      </c>
      <c r="AV329" s="90">
        <f t="shared" si="369"/>
        <v>0</v>
      </c>
      <c r="AW329" s="90">
        <f t="shared" si="370"/>
        <v>0</v>
      </c>
      <c r="AX329" s="90">
        <f t="shared" si="371"/>
        <v>0</v>
      </c>
      <c r="AY329" s="91" t="s">
        <v>643</v>
      </c>
      <c r="AZ329" s="91" t="s">
        <v>1537</v>
      </c>
      <c r="BA329" s="154" t="s">
        <v>1542</v>
      </c>
      <c r="BC329" s="90">
        <f t="shared" si="372"/>
        <v>0</v>
      </c>
      <c r="BD329" s="90">
        <f t="shared" si="373"/>
        <v>0</v>
      </c>
      <c r="BE329" s="90">
        <v>0</v>
      </c>
      <c r="BF329" s="90">
        <f t="shared" si="374"/>
        <v>0</v>
      </c>
      <c r="BH329" s="90">
        <f t="shared" si="375"/>
        <v>0</v>
      </c>
      <c r="BI329" s="90">
        <f t="shared" si="376"/>
        <v>0</v>
      </c>
      <c r="BJ329" s="90">
        <f t="shared" si="377"/>
        <v>0</v>
      </c>
    </row>
    <row r="330" spans="1:62" ht="12.75">
      <c r="A330" s="88" t="s">
        <v>781</v>
      </c>
      <c r="B330" s="88" t="s">
        <v>60</v>
      </c>
      <c r="C330" s="88" t="s">
        <v>309</v>
      </c>
      <c r="D330" s="88" t="s">
        <v>1306</v>
      </c>
      <c r="E330" s="88" t="s">
        <v>609</v>
      </c>
      <c r="F330" s="90">
        <v>5.8</v>
      </c>
      <c r="G330" s="90">
        <f>'Stavební rozpočet (SO 13)'!G164</f>
        <v>0</v>
      </c>
      <c r="H330" s="90">
        <f t="shared" si="352"/>
        <v>0</v>
      </c>
      <c r="I330" s="90">
        <f t="shared" si="353"/>
        <v>0</v>
      </c>
      <c r="J330" s="90">
        <f t="shared" si="354"/>
        <v>0</v>
      </c>
      <c r="K330" s="90">
        <v>0</v>
      </c>
      <c r="L330" s="90">
        <f t="shared" si="355"/>
        <v>0</v>
      </c>
      <c r="M330" s="91" t="s">
        <v>622</v>
      </c>
      <c r="O330" s="90"/>
      <c r="P330" s="90"/>
      <c r="Z330" s="90">
        <f t="shared" si="356"/>
        <v>0</v>
      </c>
      <c r="AB330" s="90">
        <f t="shared" si="357"/>
        <v>0</v>
      </c>
      <c r="AC330" s="90">
        <f t="shared" si="358"/>
        <v>0</v>
      </c>
      <c r="AD330" s="90">
        <f t="shared" si="359"/>
        <v>0</v>
      </c>
      <c r="AE330" s="90">
        <f t="shared" si="360"/>
        <v>0</v>
      </c>
      <c r="AF330" s="90">
        <f t="shared" si="361"/>
        <v>0</v>
      </c>
      <c r="AG330" s="90">
        <f t="shared" si="362"/>
        <v>0</v>
      </c>
      <c r="AH330" s="90">
        <f t="shared" si="363"/>
        <v>0</v>
      </c>
      <c r="AI330" s="154" t="s">
        <v>60</v>
      </c>
      <c r="AJ330" s="90">
        <f t="shared" si="364"/>
        <v>0</v>
      </c>
      <c r="AK330" s="90">
        <f t="shared" si="365"/>
        <v>0</v>
      </c>
      <c r="AL330" s="90">
        <f t="shared" si="366"/>
        <v>0</v>
      </c>
      <c r="AN330" s="90">
        <v>21</v>
      </c>
      <c r="AO330" s="90">
        <f t="shared" si="367"/>
        <v>0</v>
      </c>
      <c r="AP330" s="90">
        <f t="shared" si="368"/>
        <v>0</v>
      </c>
      <c r="AQ330" s="91" t="s">
        <v>85</v>
      </c>
      <c r="AV330" s="90">
        <f t="shared" si="369"/>
        <v>0</v>
      </c>
      <c r="AW330" s="90">
        <f t="shared" si="370"/>
        <v>0</v>
      </c>
      <c r="AX330" s="90">
        <f t="shared" si="371"/>
        <v>0</v>
      </c>
      <c r="AY330" s="91" t="s">
        <v>643</v>
      </c>
      <c r="AZ330" s="91" t="s">
        <v>1537</v>
      </c>
      <c r="BA330" s="154" t="s">
        <v>1542</v>
      </c>
      <c r="BC330" s="90">
        <f t="shared" si="372"/>
        <v>0</v>
      </c>
      <c r="BD330" s="90">
        <f t="shared" si="373"/>
        <v>0</v>
      </c>
      <c r="BE330" s="90">
        <v>0</v>
      </c>
      <c r="BF330" s="90">
        <f t="shared" si="374"/>
        <v>0</v>
      </c>
      <c r="BH330" s="90">
        <f t="shared" si="375"/>
        <v>0</v>
      </c>
      <c r="BI330" s="90">
        <f t="shared" si="376"/>
        <v>0</v>
      </c>
      <c r="BJ330" s="90">
        <f t="shared" si="377"/>
        <v>0</v>
      </c>
    </row>
    <row r="331" spans="1:62" ht="12.75">
      <c r="A331" s="88" t="s">
        <v>782</v>
      </c>
      <c r="B331" s="88" t="s">
        <v>60</v>
      </c>
      <c r="C331" s="88" t="s">
        <v>1013</v>
      </c>
      <c r="D331" s="88" t="s">
        <v>1307</v>
      </c>
      <c r="E331" s="88" t="s">
        <v>606</v>
      </c>
      <c r="F331" s="90">
        <v>3</v>
      </c>
      <c r="G331" s="90">
        <f>'Stavební rozpočet (SO 13)'!G165</f>
        <v>0</v>
      </c>
      <c r="H331" s="90">
        <f t="shared" si="352"/>
        <v>0</v>
      </c>
      <c r="I331" s="90">
        <f t="shared" si="353"/>
        <v>0</v>
      </c>
      <c r="J331" s="90">
        <f t="shared" si="354"/>
        <v>0</v>
      </c>
      <c r="K331" s="90">
        <v>0</v>
      </c>
      <c r="L331" s="90">
        <f t="shared" si="355"/>
        <v>0</v>
      </c>
      <c r="M331" s="91" t="s">
        <v>622</v>
      </c>
      <c r="O331" s="90"/>
      <c r="P331" s="90"/>
      <c r="Z331" s="90">
        <f t="shared" si="356"/>
        <v>0</v>
      </c>
      <c r="AB331" s="90">
        <f t="shared" si="357"/>
        <v>0</v>
      </c>
      <c r="AC331" s="90">
        <f t="shared" si="358"/>
        <v>0</v>
      </c>
      <c r="AD331" s="90">
        <f t="shared" si="359"/>
        <v>0</v>
      </c>
      <c r="AE331" s="90">
        <f t="shared" si="360"/>
        <v>0</v>
      </c>
      <c r="AF331" s="90">
        <f t="shared" si="361"/>
        <v>0</v>
      </c>
      <c r="AG331" s="90">
        <f t="shared" si="362"/>
        <v>0</v>
      </c>
      <c r="AH331" s="90">
        <f t="shared" si="363"/>
        <v>0</v>
      </c>
      <c r="AI331" s="154" t="s">
        <v>60</v>
      </c>
      <c r="AJ331" s="90">
        <f t="shared" si="364"/>
        <v>0</v>
      </c>
      <c r="AK331" s="90">
        <f t="shared" si="365"/>
        <v>0</v>
      </c>
      <c r="AL331" s="90">
        <f t="shared" si="366"/>
        <v>0</v>
      </c>
      <c r="AN331" s="90">
        <v>21</v>
      </c>
      <c r="AO331" s="90">
        <f t="shared" si="367"/>
        <v>0</v>
      </c>
      <c r="AP331" s="90">
        <f t="shared" si="368"/>
        <v>0</v>
      </c>
      <c r="AQ331" s="91" t="s">
        <v>85</v>
      </c>
      <c r="AV331" s="90">
        <f t="shared" si="369"/>
        <v>0</v>
      </c>
      <c r="AW331" s="90">
        <f t="shared" si="370"/>
        <v>0</v>
      </c>
      <c r="AX331" s="90">
        <f t="shared" si="371"/>
        <v>0</v>
      </c>
      <c r="AY331" s="91" t="s">
        <v>643</v>
      </c>
      <c r="AZ331" s="91" t="s">
        <v>1537</v>
      </c>
      <c r="BA331" s="154" t="s">
        <v>1542</v>
      </c>
      <c r="BC331" s="90">
        <f t="shared" si="372"/>
        <v>0</v>
      </c>
      <c r="BD331" s="90">
        <f t="shared" si="373"/>
        <v>0</v>
      </c>
      <c r="BE331" s="90">
        <v>0</v>
      </c>
      <c r="BF331" s="90">
        <f t="shared" si="374"/>
        <v>0</v>
      </c>
      <c r="BH331" s="90">
        <f t="shared" si="375"/>
        <v>0</v>
      </c>
      <c r="BI331" s="90">
        <f t="shared" si="376"/>
        <v>0</v>
      </c>
      <c r="BJ331" s="90">
        <f t="shared" si="377"/>
        <v>0</v>
      </c>
    </row>
    <row r="332" spans="1:62" ht="12.75">
      <c r="A332" s="88" t="s">
        <v>783</v>
      </c>
      <c r="B332" s="88" t="s">
        <v>60</v>
      </c>
      <c r="C332" s="88" t="s">
        <v>1014</v>
      </c>
      <c r="D332" s="88" t="s">
        <v>1308</v>
      </c>
      <c r="E332" s="88" t="s">
        <v>606</v>
      </c>
      <c r="F332" s="90">
        <v>1</v>
      </c>
      <c r="G332" s="90">
        <f>'Stavební rozpočet (SO 13)'!G166</f>
        <v>0</v>
      </c>
      <c r="H332" s="90">
        <f t="shared" si="352"/>
        <v>0</v>
      </c>
      <c r="I332" s="90">
        <f t="shared" si="353"/>
        <v>0</v>
      </c>
      <c r="J332" s="90">
        <f t="shared" si="354"/>
        <v>0</v>
      </c>
      <c r="K332" s="90">
        <v>0</v>
      </c>
      <c r="L332" s="90">
        <f t="shared" si="355"/>
        <v>0</v>
      </c>
      <c r="M332" s="91" t="s">
        <v>622</v>
      </c>
      <c r="O332" s="90"/>
      <c r="P332" s="90"/>
      <c r="Z332" s="90">
        <f t="shared" si="356"/>
        <v>0</v>
      </c>
      <c r="AB332" s="90">
        <f t="shared" si="357"/>
        <v>0</v>
      </c>
      <c r="AC332" s="90">
        <f t="shared" si="358"/>
        <v>0</v>
      </c>
      <c r="AD332" s="90">
        <f t="shared" si="359"/>
        <v>0</v>
      </c>
      <c r="AE332" s="90">
        <f t="shared" si="360"/>
        <v>0</v>
      </c>
      <c r="AF332" s="90">
        <f t="shared" si="361"/>
        <v>0</v>
      </c>
      <c r="AG332" s="90">
        <f t="shared" si="362"/>
        <v>0</v>
      </c>
      <c r="AH332" s="90">
        <f t="shared" si="363"/>
        <v>0</v>
      </c>
      <c r="AI332" s="154" t="s">
        <v>60</v>
      </c>
      <c r="AJ332" s="90">
        <f t="shared" si="364"/>
        <v>0</v>
      </c>
      <c r="AK332" s="90">
        <f t="shared" si="365"/>
        <v>0</v>
      </c>
      <c r="AL332" s="90">
        <f t="shared" si="366"/>
        <v>0</v>
      </c>
      <c r="AN332" s="90">
        <v>21</v>
      </c>
      <c r="AO332" s="90">
        <f t="shared" si="367"/>
        <v>0</v>
      </c>
      <c r="AP332" s="90">
        <f t="shared" si="368"/>
        <v>0</v>
      </c>
      <c r="AQ332" s="91" t="s">
        <v>85</v>
      </c>
      <c r="AV332" s="90">
        <f t="shared" si="369"/>
        <v>0</v>
      </c>
      <c r="AW332" s="90">
        <f t="shared" si="370"/>
        <v>0</v>
      </c>
      <c r="AX332" s="90">
        <f t="shared" si="371"/>
        <v>0</v>
      </c>
      <c r="AY332" s="91" t="s">
        <v>643</v>
      </c>
      <c r="AZ332" s="91" t="s">
        <v>1537</v>
      </c>
      <c r="BA332" s="154" t="s">
        <v>1542</v>
      </c>
      <c r="BC332" s="90">
        <f t="shared" si="372"/>
        <v>0</v>
      </c>
      <c r="BD332" s="90">
        <f t="shared" si="373"/>
        <v>0</v>
      </c>
      <c r="BE332" s="90">
        <v>0</v>
      </c>
      <c r="BF332" s="90">
        <f t="shared" si="374"/>
        <v>0</v>
      </c>
      <c r="BH332" s="90">
        <f t="shared" si="375"/>
        <v>0</v>
      </c>
      <c r="BI332" s="90">
        <f t="shared" si="376"/>
        <v>0</v>
      </c>
      <c r="BJ332" s="90">
        <f t="shared" si="377"/>
        <v>0</v>
      </c>
    </row>
    <row r="333" spans="1:62" ht="12.75">
      <c r="A333" s="88" t="s">
        <v>784</v>
      </c>
      <c r="B333" s="88" t="s">
        <v>60</v>
      </c>
      <c r="C333" s="88" t="s">
        <v>1015</v>
      </c>
      <c r="D333" s="88" t="s">
        <v>1309</v>
      </c>
      <c r="E333" s="88" t="s">
        <v>606</v>
      </c>
      <c r="F333" s="90">
        <v>1</v>
      </c>
      <c r="G333" s="90">
        <f>'Stavební rozpočet (SO 13)'!G167</f>
        <v>0</v>
      </c>
      <c r="H333" s="90">
        <f t="shared" si="352"/>
        <v>0</v>
      </c>
      <c r="I333" s="90">
        <f t="shared" si="353"/>
        <v>0</v>
      </c>
      <c r="J333" s="90">
        <f t="shared" si="354"/>
        <v>0</v>
      </c>
      <c r="K333" s="90">
        <v>0</v>
      </c>
      <c r="L333" s="90">
        <f t="shared" si="355"/>
        <v>0</v>
      </c>
      <c r="M333" s="91" t="s">
        <v>622</v>
      </c>
      <c r="O333" s="90"/>
      <c r="P333" s="90"/>
      <c r="Z333" s="90">
        <f t="shared" si="356"/>
        <v>0</v>
      </c>
      <c r="AB333" s="90">
        <f t="shared" si="357"/>
        <v>0</v>
      </c>
      <c r="AC333" s="90">
        <f t="shared" si="358"/>
        <v>0</v>
      </c>
      <c r="AD333" s="90">
        <f t="shared" si="359"/>
        <v>0</v>
      </c>
      <c r="AE333" s="90">
        <f t="shared" si="360"/>
        <v>0</v>
      </c>
      <c r="AF333" s="90">
        <f t="shared" si="361"/>
        <v>0</v>
      </c>
      <c r="AG333" s="90">
        <f t="shared" si="362"/>
        <v>0</v>
      </c>
      <c r="AH333" s="90">
        <f t="shared" si="363"/>
        <v>0</v>
      </c>
      <c r="AI333" s="154" t="s">
        <v>60</v>
      </c>
      <c r="AJ333" s="90">
        <f t="shared" si="364"/>
        <v>0</v>
      </c>
      <c r="AK333" s="90">
        <f t="shared" si="365"/>
        <v>0</v>
      </c>
      <c r="AL333" s="90">
        <f t="shared" si="366"/>
        <v>0</v>
      </c>
      <c r="AN333" s="90">
        <v>21</v>
      </c>
      <c r="AO333" s="90">
        <f t="shared" si="367"/>
        <v>0</v>
      </c>
      <c r="AP333" s="90">
        <f t="shared" si="368"/>
        <v>0</v>
      </c>
      <c r="AQ333" s="91" t="s">
        <v>85</v>
      </c>
      <c r="AV333" s="90">
        <f t="shared" si="369"/>
        <v>0</v>
      </c>
      <c r="AW333" s="90">
        <f t="shared" si="370"/>
        <v>0</v>
      </c>
      <c r="AX333" s="90">
        <f t="shared" si="371"/>
        <v>0</v>
      </c>
      <c r="AY333" s="91" t="s">
        <v>643</v>
      </c>
      <c r="AZ333" s="91" t="s">
        <v>1537</v>
      </c>
      <c r="BA333" s="154" t="s">
        <v>1542</v>
      </c>
      <c r="BC333" s="90">
        <f t="shared" si="372"/>
        <v>0</v>
      </c>
      <c r="BD333" s="90">
        <f t="shared" si="373"/>
        <v>0</v>
      </c>
      <c r="BE333" s="90">
        <v>0</v>
      </c>
      <c r="BF333" s="90">
        <f t="shared" si="374"/>
        <v>0</v>
      </c>
      <c r="BH333" s="90">
        <f t="shared" si="375"/>
        <v>0</v>
      </c>
      <c r="BI333" s="90">
        <f t="shared" si="376"/>
        <v>0</v>
      </c>
      <c r="BJ333" s="90">
        <f t="shared" si="377"/>
        <v>0</v>
      </c>
    </row>
    <row r="334" spans="1:62" ht="12.75">
      <c r="A334" s="88" t="s">
        <v>785</v>
      </c>
      <c r="B334" s="88" t="s">
        <v>60</v>
      </c>
      <c r="C334" s="88" t="s">
        <v>1016</v>
      </c>
      <c r="D334" s="88" t="s">
        <v>1310</v>
      </c>
      <c r="E334" s="88" t="s">
        <v>606</v>
      </c>
      <c r="F334" s="90">
        <v>3</v>
      </c>
      <c r="G334" s="90">
        <f>'Stavební rozpočet (SO 13)'!G168</f>
        <v>0</v>
      </c>
      <c r="H334" s="90">
        <f t="shared" si="352"/>
        <v>0</v>
      </c>
      <c r="I334" s="90">
        <f t="shared" si="353"/>
        <v>0</v>
      </c>
      <c r="J334" s="90">
        <f t="shared" si="354"/>
        <v>0</v>
      </c>
      <c r="K334" s="90">
        <v>0</v>
      </c>
      <c r="L334" s="90">
        <f t="shared" si="355"/>
        <v>0</v>
      </c>
      <c r="M334" s="91" t="s">
        <v>622</v>
      </c>
      <c r="O334" s="90"/>
      <c r="P334" s="90"/>
      <c r="Z334" s="90">
        <f t="shared" si="356"/>
        <v>0</v>
      </c>
      <c r="AB334" s="90">
        <f t="shared" si="357"/>
        <v>0</v>
      </c>
      <c r="AC334" s="90">
        <f t="shared" si="358"/>
        <v>0</v>
      </c>
      <c r="AD334" s="90">
        <f t="shared" si="359"/>
        <v>0</v>
      </c>
      <c r="AE334" s="90">
        <f t="shared" si="360"/>
        <v>0</v>
      </c>
      <c r="AF334" s="90">
        <f t="shared" si="361"/>
        <v>0</v>
      </c>
      <c r="AG334" s="90">
        <f t="shared" si="362"/>
        <v>0</v>
      </c>
      <c r="AH334" s="90">
        <f t="shared" si="363"/>
        <v>0</v>
      </c>
      <c r="AI334" s="154" t="s">
        <v>60</v>
      </c>
      <c r="AJ334" s="90">
        <f t="shared" si="364"/>
        <v>0</v>
      </c>
      <c r="AK334" s="90">
        <f t="shared" si="365"/>
        <v>0</v>
      </c>
      <c r="AL334" s="90">
        <f t="shared" si="366"/>
        <v>0</v>
      </c>
      <c r="AN334" s="90">
        <v>21</v>
      </c>
      <c r="AO334" s="90">
        <f t="shared" si="367"/>
        <v>0</v>
      </c>
      <c r="AP334" s="90">
        <f t="shared" si="368"/>
        <v>0</v>
      </c>
      <c r="AQ334" s="91" t="s">
        <v>85</v>
      </c>
      <c r="AV334" s="90">
        <f t="shared" si="369"/>
        <v>0</v>
      </c>
      <c r="AW334" s="90">
        <f t="shared" si="370"/>
        <v>0</v>
      </c>
      <c r="AX334" s="90">
        <f t="shared" si="371"/>
        <v>0</v>
      </c>
      <c r="AY334" s="91" t="s">
        <v>643</v>
      </c>
      <c r="AZ334" s="91" t="s">
        <v>1537</v>
      </c>
      <c r="BA334" s="154" t="s">
        <v>1542</v>
      </c>
      <c r="BC334" s="90">
        <f t="shared" si="372"/>
        <v>0</v>
      </c>
      <c r="BD334" s="90">
        <f t="shared" si="373"/>
        <v>0</v>
      </c>
      <c r="BE334" s="90">
        <v>0</v>
      </c>
      <c r="BF334" s="90">
        <f t="shared" si="374"/>
        <v>0</v>
      </c>
      <c r="BH334" s="90">
        <f t="shared" si="375"/>
        <v>0</v>
      </c>
      <c r="BI334" s="90">
        <f t="shared" si="376"/>
        <v>0</v>
      </c>
      <c r="BJ334" s="90">
        <f t="shared" si="377"/>
        <v>0</v>
      </c>
    </row>
    <row r="335" spans="1:62" ht="12.75">
      <c r="A335" s="88" t="s">
        <v>786</v>
      </c>
      <c r="B335" s="88" t="s">
        <v>60</v>
      </c>
      <c r="C335" s="88" t="s">
        <v>1017</v>
      </c>
      <c r="D335" s="88" t="s">
        <v>1311</v>
      </c>
      <c r="E335" s="88" t="s">
        <v>606</v>
      </c>
      <c r="F335" s="90">
        <v>1</v>
      </c>
      <c r="G335" s="90">
        <f>'Stavební rozpočet (SO 13)'!G169</f>
        <v>0</v>
      </c>
      <c r="H335" s="90">
        <f t="shared" si="352"/>
        <v>0</v>
      </c>
      <c r="I335" s="90">
        <f t="shared" si="353"/>
        <v>0</v>
      </c>
      <c r="J335" s="90">
        <f t="shared" si="354"/>
        <v>0</v>
      </c>
      <c r="K335" s="90">
        <v>0</v>
      </c>
      <c r="L335" s="90">
        <f t="shared" si="355"/>
        <v>0</v>
      </c>
      <c r="M335" s="91" t="s">
        <v>622</v>
      </c>
      <c r="O335" s="90"/>
      <c r="P335" s="90"/>
      <c r="Z335" s="90">
        <f t="shared" si="356"/>
        <v>0</v>
      </c>
      <c r="AB335" s="90">
        <f t="shared" si="357"/>
        <v>0</v>
      </c>
      <c r="AC335" s="90">
        <f t="shared" si="358"/>
        <v>0</v>
      </c>
      <c r="AD335" s="90">
        <f t="shared" si="359"/>
        <v>0</v>
      </c>
      <c r="AE335" s="90">
        <f t="shared" si="360"/>
        <v>0</v>
      </c>
      <c r="AF335" s="90">
        <f t="shared" si="361"/>
        <v>0</v>
      </c>
      <c r="AG335" s="90">
        <f t="shared" si="362"/>
        <v>0</v>
      </c>
      <c r="AH335" s="90">
        <f t="shared" si="363"/>
        <v>0</v>
      </c>
      <c r="AI335" s="154" t="s">
        <v>60</v>
      </c>
      <c r="AJ335" s="90">
        <f t="shared" si="364"/>
        <v>0</v>
      </c>
      <c r="AK335" s="90">
        <f t="shared" si="365"/>
        <v>0</v>
      </c>
      <c r="AL335" s="90">
        <f t="shared" si="366"/>
        <v>0</v>
      </c>
      <c r="AN335" s="90">
        <v>21</v>
      </c>
      <c r="AO335" s="90">
        <f t="shared" si="367"/>
        <v>0</v>
      </c>
      <c r="AP335" s="90">
        <f t="shared" si="368"/>
        <v>0</v>
      </c>
      <c r="AQ335" s="91" t="s">
        <v>85</v>
      </c>
      <c r="AV335" s="90">
        <f t="shared" si="369"/>
        <v>0</v>
      </c>
      <c r="AW335" s="90">
        <f t="shared" si="370"/>
        <v>0</v>
      </c>
      <c r="AX335" s="90">
        <f t="shared" si="371"/>
        <v>0</v>
      </c>
      <c r="AY335" s="91" t="s">
        <v>643</v>
      </c>
      <c r="AZ335" s="91" t="s">
        <v>1537</v>
      </c>
      <c r="BA335" s="154" t="s">
        <v>1542</v>
      </c>
      <c r="BC335" s="90">
        <f t="shared" si="372"/>
        <v>0</v>
      </c>
      <c r="BD335" s="90">
        <f t="shared" si="373"/>
        <v>0</v>
      </c>
      <c r="BE335" s="90">
        <v>0</v>
      </c>
      <c r="BF335" s="90">
        <f t="shared" si="374"/>
        <v>0</v>
      </c>
      <c r="BH335" s="90">
        <f t="shared" si="375"/>
        <v>0</v>
      </c>
      <c r="BI335" s="90">
        <f t="shared" si="376"/>
        <v>0</v>
      </c>
      <c r="BJ335" s="90">
        <f t="shared" si="377"/>
        <v>0</v>
      </c>
    </row>
    <row r="336" spans="1:62" ht="12.75">
      <c r="A336" s="88" t="s">
        <v>787</v>
      </c>
      <c r="B336" s="88" t="s">
        <v>60</v>
      </c>
      <c r="C336" s="88" t="s">
        <v>1018</v>
      </c>
      <c r="D336" s="88" t="s">
        <v>1312</v>
      </c>
      <c r="E336" s="88" t="s">
        <v>606</v>
      </c>
      <c r="F336" s="90">
        <v>1</v>
      </c>
      <c r="G336" s="90">
        <f>'Stavební rozpočet (SO 13)'!G170</f>
        <v>0</v>
      </c>
      <c r="H336" s="90">
        <f t="shared" si="352"/>
        <v>0</v>
      </c>
      <c r="I336" s="90">
        <f t="shared" si="353"/>
        <v>0</v>
      </c>
      <c r="J336" s="90">
        <f t="shared" si="354"/>
        <v>0</v>
      </c>
      <c r="K336" s="90">
        <v>0</v>
      </c>
      <c r="L336" s="90">
        <f t="shared" si="355"/>
        <v>0</v>
      </c>
      <c r="M336" s="91" t="s">
        <v>622</v>
      </c>
      <c r="O336" s="90"/>
      <c r="P336" s="90"/>
      <c r="Z336" s="90">
        <f t="shared" si="356"/>
        <v>0</v>
      </c>
      <c r="AB336" s="90">
        <f t="shared" si="357"/>
        <v>0</v>
      </c>
      <c r="AC336" s="90">
        <f t="shared" si="358"/>
        <v>0</v>
      </c>
      <c r="AD336" s="90">
        <f t="shared" si="359"/>
        <v>0</v>
      </c>
      <c r="AE336" s="90">
        <f t="shared" si="360"/>
        <v>0</v>
      </c>
      <c r="AF336" s="90">
        <f t="shared" si="361"/>
        <v>0</v>
      </c>
      <c r="AG336" s="90">
        <f t="shared" si="362"/>
        <v>0</v>
      </c>
      <c r="AH336" s="90">
        <f t="shared" si="363"/>
        <v>0</v>
      </c>
      <c r="AI336" s="154" t="s">
        <v>60</v>
      </c>
      <c r="AJ336" s="90">
        <f t="shared" si="364"/>
        <v>0</v>
      </c>
      <c r="AK336" s="90">
        <f t="shared" si="365"/>
        <v>0</v>
      </c>
      <c r="AL336" s="90">
        <f t="shared" si="366"/>
        <v>0</v>
      </c>
      <c r="AN336" s="90">
        <v>21</v>
      </c>
      <c r="AO336" s="90">
        <f t="shared" si="367"/>
        <v>0</v>
      </c>
      <c r="AP336" s="90">
        <f t="shared" si="368"/>
        <v>0</v>
      </c>
      <c r="AQ336" s="91" t="s">
        <v>85</v>
      </c>
      <c r="AV336" s="90">
        <f t="shared" si="369"/>
        <v>0</v>
      </c>
      <c r="AW336" s="90">
        <f t="shared" si="370"/>
        <v>0</v>
      </c>
      <c r="AX336" s="90">
        <f t="shared" si="371"/>
        <v>0</v>
      </c>
      <c r="AY336" s="91" t="s">
        <v>643</v>
      </c>
      <c r="AZ336" s="91" t="s">
        <v>1537</v>
      </c>
      <c r="BA336" s="154" t="s">
        <v>1542</v>
      </c>
      <c r="BC336" s="90">
        <f t="shared" si="372"/>
        <v>0</v>
      </c>
      <c r="BD336" s="90">
        <f t="shared" si="373"/>
        <v>0</v>
      </c>
      <c r="BE336" s="90">
        <v>0</v>
      </c>
      <c r="BF336" s="90">
        <f t="shared" si="374"/>
        <v>0</v>
      </c>
      <c r="BH336" s="90">
        <f t="shared" si="375"/>
        <v>0</v>
      </c>
      <c r="BI336" s="90">
        <f t="shared" si="376"/>
        <v>0</v>
      </c>
      <c r="BJ336" s="90">
        <f t="shared" si="377"/>
        <v>0</v>
      </c>
    </row>
    <row r="337" spans="1:62" ht="12.75">
      <c r="A337" s="88" t="s">
        <v>788</v>
      </c>
      <c r="B337" s="88" t="s">
        <v>60</v>
      </c>
      <c r="C337" s="88" t="s">
        <v>1019</v>
      </c>
      <c r="D337" s="88" t="s">
        <v>1313</v>
      </c>
      <c r="E337" s="88" t="s">
        <v>606</v>
      </c>
      <c r="F337" s="90">
        <v>0</v>
      </c>
      <c r="G337" s="90">
        <f>'Stavební rozpočet (SO 13)'!G171</f>
        <v>0</v>
      </c>
      <c r="H337" s="90">
        <f t="shared" si="352"/>
        <v>0</v>
      </c>
      <c r="I337" s="90">
        <f t="shared" si="353"/>
        <v>0</v>
      </c>
      <c r="J337" s="90">
        <f t="shared" si="354"/>
        <v>0</v>
      </c>
      <c r="K337" s="90">
        <v>0</v>
      </c>
      <c r="L337" s="90">
        <f t="shared" si="355"/>
        <v>0</v>
      </c>
      <c r="M337" s="91" t="s">
        <v>622</v>
      </c>
      <c r="O337" s="90"/>
      <c r="P337" s="90"/>
      <c r="Z337" s="90">
        <f t="shared" si="356"/>
        <v>0</v>
      </c>
      <c r="AB337" s="90">
        <f t="shared" si="357"/>
        <v>0</v>
      </c>
      <c r="AC337" s="90">
        <f t="shared" si="358"/>
        <v>0</v>
      </c>
      <c r="AD337" s="90">
        <f t="shared" si="359"/>
        <v>0</v>
      </c>
      <c r="AE337" s="90">
        <f t="shared" si="360"/>
        <v>0</v>
      </c>
      <c r="AF337" s="90">
        <f t="shared" si="361"/>
        <v>0</v>
      </c>
      <c r="AG337" s="90">
        <f t="shared" si="362"/>
        <v>0</v>
      </c>
      <c r="AH337" s="90">
        <f t="shared" si="363"/>
        <v>0</v>
      </c>
      <c r="AI337" s="154" t="s">
        <v>60</v>
      </c>
      <c r="AJ337" s="90">
        <f t="shared" si="364"/>
        <v>0</v>
      </c>
      <c r="AK337" s="90">
        <f t="shared" si="365"/>
        <v>0</v>
      </c>
      <c r="AL337" s="90">
        <f t="shared" si="366"/>
        <v>0</v>
      </c>
      <c r="AN337" s="90">
        <v>21</v>
      </c>
      <c r="AO337" s="90">
        <f t="shared" si="367"/>
        <v>0</v>
      </c>
      <c r="AP337" s="90">
        <f t="shared" si="368"/>
        <v>0</v>
      </c>
      <c r="AQ337" s="91" t="s">
        <v>85</v>
      </c>
      <c r="AV337" s="90">
        <f t="shared" si="369"/>
        <v>0</v>
      </c>
      <c r="AW337" s="90">
        <f t="shared" si="370"/>
        <v>0</v>
      </c>
      <c r="AX337" s="90">
        <f t="shared" si="371"/>
        <v>0</v>
      </c>
      <c r="AY337" s="91" t="s">
        <v>643</v>
      </c>
      <c r="AZ337" s="91" t="s">
        <v>1537</v>
      </c>
      <c r="BA337" s="154" t="s">
        <v>1542</v>
      </c>
      <c r="BC337" s="90">
        <f t="shared" si="372"/>
        <v>0</v>
      </c>
      <c r="BD337" s="90">
        <f t="shared" si="373"/>
        <v>0</v>
      </c>
      <c r="BE337" s="90">
        <v>0</v>
      </c>
      <c r="BF337" s="90">
        <f t="shared" si="374"/>
        <v>0</v>
      </c>
      <c r="BH337" s="90">
        <f t="shared" si="375"/>
        <v>0</v>
      </c>
      <c r="BI337" s="90">
        <f t="shared" si="376"/>
        <v>0</v>
      </c>
      <c r="BJ337" s="90">
        <f t="shared" si="377"/>
        <v>0</v>
      </c>
    </row>
    <row r="338" spans="1:62" ht="12.75">
      <c r="A338" s="88" t="s">
        <v>789</v>
      </c>
      <c r="B338" s="88" t="s">
        <v>60</v>
      </c>
      <c r="C338" s="88" t="s">
        <v>1020</v>
      </c>
      <c r="D338" s="88" t="s">
        <v>1314</v>
      </c>
      <c r="E338" s="88" t="s">
        <v>606</v>
      </c>
      <c r="F338" s="90">
        <v>1</v>
      </c>
      <c r="G338" s="90">
        <f>'Stavební rozpočet (SO 13)'!G172</f>
        <v>0</v>
      </c>
      <c r="H338" s="90">
        <f t="shared" si="352"/>
        <v>0</v>
      </c>
      <c r="I338" s="90">
        <f t="shared" si="353"/>
        <v>0</v>
      </c>
      <c r="J338" s="90">
        <f t="shared" si="354"/>
        <v>0</v>
      </c>
      <c r="K338" s="90">
        <v>0</v>
      </c>
      <c r="L338" s="90">
        <f t="shared" si="355"/>
        <v>0</v>
      </c>
      <c r="M338" s="91" t="s">
        <v>622</v>
      </c>
      <c r="O338" s="90"/>
      <c r="P338" s="90"/>
      <c r="Z338" s="90">
        <f t="shared" si="356"/>
        <v>0</v>
      </c>
      <c r="AB338" s="90">
        <f t="shared" si="357"/>
        <v>0</v>
      </c>
      <c r="AC338" s="90">
        <f t="shared" si="358"/>
        <v>0</v>
      </c>
      <c r="AD338" s="90">
        <f t="shared" si="359"/>
        <v>0</v>
      </c>
      <c r="AE338" s="90">
        <f t="shared" si="360"/>
        <v>0</v>
      </c>
      <c r="AF338" s="90">
        <f t="shared" si="361"/>
        <v>0</v>
      </c>
      <c r="AG338" s="90">
        <f t="shared" si="362"/>
        <v>0</v>
      </c>
      <c r="AH338" s="90">
        <f t="shared" si="363"/>
        <v>0</v>
      </c>
      <c r="AI338" s="154" t="s">
        <v>60</v>
      </c>
      <c r="AJ338" s="90">
        <f t="shared" si="364"/>
        <v>0</v>
      </c>
      <c r="AK338" s="90">
        <f t="shared" si="365"/>
        <v>0</v>
      </c>
      <c r="AL338" s="90">
        <f t="shared" si="366"/>
        <v>0</v>
      </c>
      <c r="AN338" s="90">
        <v>21</v>
      </c>
      <c r="AO338" s="90">
        <f t="shared" si="367"/>
        <v>0</v>
      </c>
      <c r="AP338" s="90">
        <f t="shared" si="368"/>
        <v>0</v>
      </c>
      <c r="AQ338" s="91" t="s">
        <v>85</v>
      </c>
      <c r="AV338" s="90">
        <f t="shared" si="369"/>
        <v>0</v>
      </c>
      <c r="AW338" s="90">
        <f t="shared" si="370"/>
        <v>0</v>
      </c>
      <c r="AX338" s="90">
        <f t="shared" si="371"/>
        <v>0</v>
      </c>
      <c r="AY338" s="91" t="s">
        <v>643</v>
      </c>
      <c r="AZ338" s="91" t="s">
        <v>1537</v>
      </c>
      <c r="BA338" s="154" t="s">
        <v>1542</v>
      </c>
      <c r="BC338" s="90">
        <f t="shared" si="372"/>
        <v>0</v>
      </c>
      <c r="BD338" s="90">
        <f t="shared" si="373"/>
        <v>0</v>
      </c>
      <c r="BE338" s="90">
        <v>0</v>
      </c>
      <c r="BF338" s="90">
        <f t="shared" si="374"/>
        <v>0</v>
      </c>
      <c r="BH338" s="90">
        <f t="shared" si="375"/>
        <v>0</v>
      </c>
      <c r="BI338" s="90">
        <f t="shared" si="376"/>
        <v>0</v>
      </c>
      <c r="BJ338" s="90">
        <f t="shared" si="377"/>
        <v>0</v>
      </c>
    </row>
    <row r="339" spans="1:62" ht="12.75">
      <c r="A339" s="88" t="s">
        <v>790</v>
      </c>
      <c r="B339" s="88" t="s">
        <v>60</v>
      </c>
      <c r="C339" s="88" t="s">
        <v>1021</v>
      </c>
      <c r="D339" s="88" t="s">
        <v>1315</v>
      </c>
      <c r="E339" s="88" t="s">
        <v>606</v>
      </c>
      <c r="F339" s="90">
        <v>1</v>
      </c>
      <c r="G339" s="90">
        <f>'Stavební rozpočet (SO 13)'!G173</f>
        <v>0</v>
      </c>
      <c r="H339" s="90">
        <f t="shared" si="352"/>
        <v>0</v>
      </c>
      <c r="I339" s="90">
        <f t="shared" si="353"/>
        <v>0</v>
      </c>
      <c r="J339" s="90">
        <f t="shared" si="354"/>
        <v>0</v>
      </c>
      <c r="K339" s="90">
        <v>0</v>
      </c>
      <c r="L339" s="90">
        <f t="shared" si="355"/>
        <v>0</v>
      </c>
      <c r="M339" s="91" t="s">
        <v>622</v>
      </c>
      <c r="O339" s="90"/>
      <c r="P339" s="90"/>
      <c r="Z339" s="90">
        <f t="shared" si="356"/>
        <v>0</v>
      </c>
      <c r="AB339" s="90">
        <f t="shared" si="357"/>
        <v>0</v>
      </c>
      <c r="AC339" s="90">
        <f t="shared" si="358"/>
        <v>0</v>
      </c>
      <c r="AD339" s="90">
        <f t="shared" si="359"/>
        <v>0</v>
      </c>
      <c r="AE339" s="90">
        <f t="shared" si="360"/>
        <v>0</v>
      </c>
      <c r="AF339" s="90">
        <f t="shared" si="361"/>
        <v>0</v>
      </c>
      <c r="AG339" s="90">
        <f t="shared" si="362"/>
        <v>0</v>
      </c>
      <c r="AH339" s="90">
        <f t="shared" si="363"/>
        <v>0</v>
      </c>
      <c r="AI339" s="154" t="s">
        <v>60</v>
      </c>
      <c r="AJ339" s="90">
        <f t="shared" si="364"/>
        <v>0</v>
      </c>
      <c r="AK339" s="90">
        <f t="shared" si="365"/>
        <v>0</v>
      </c>
      <c r="AL339" s="90">
        <f t="shared" si="366"/>
        <v>0</v>
      </c>
      <c r="AN339" s="90">
        <v>21</v>
      </c>
      <c r="AO339" s="90">
        <f t="shared" si="367"/>
        <v>0</v>
      </c>
      <c r="AP339" s="90">
        <f t="shared" si="368"/>
        <v>0</v>
      </c>
      <c r="AQ339" s="91" t="s">
        <v>85</v>
      </c>
      <c r="AV339" s="90">
        <f t="shared" si="369"/>
        <v>0</v>
      </c>
      <c r="AW339" s="90">
        <f t="shared" si="370"/>
        <v>0</v>
      </c>
      <c r="AX339" s="90">
        <f t="shared" si="371"/>
        <v>0</v>
      </c>
      <c r="AY339" s="91" t="s">
        <v>643</v>
      </c>
      <c r="AZ339" s="91" t="s">
        <v>1537</v>
      </c>
      <c r="BA339" s="154" t="s">
        <v>1542</v>
      </c>
      <c r="BC339" s="90">
        <f t="shared" si="372"/>
        <v>0</v>
      </c>
      <c r="BD339" s="90">
        <f t="shared" si="373"/>
        <v>0</v>
      </c>
      <c r="BE339" s="90">
        <v>0</v>
      </c>
      <c r="BF339" s="90">
        <f t="shared" si="374"/>
        <v>0</v>
      </c>
      <c r="BH339" s="90">
        <f t="shared" si="375"/>
        <v>0</v>
      </c>
      <c r="BI339" s="90">
        <f t="shared" si="376"/>
        <v>0</v>
      </c>
      <c r="BJ339" s="90">
        <f t="shared" si="377"/>
        <v>0</v>
      </c>
    </row>
    <row r="340" spans="1:62" ht="12.75">
      <c r="A340" s="88" t="s">
        <v>791</v>
      </c>
      <c r="B340" s="88" t="s">
        <v>60</v>
      </c>
      <c r="C340" s="88" t="s">
        <v>1022</v>
      </c>
      <c r="D340" s="88" t="s">
        <v>1316</v>
      </c>
      <c r="E340" s="88" t="s">
        <v>606</v>
      </c>
      <c r="F340" s="90">
        <v>1</v>
      </c>
      <c r="G340" s="90">
        <f>'Stavební rozpočet (SO 13)'!G174</f>
        <v>0</v>
      </c>
      <c r="H340" s="90">
        <f t="shared" si="352"/>
        <v>0</v>
      </c>
      <c r="I340" s="90">
        <f t="shared" si="353"/>
        <v>0</v>
      </c>
      <c r="J340" s="90">
        <f t="shared" si="354"/>
        <v>0</v>
      </c>
      <c r="K340" s="90">
        <v>0</v>
      </c>
      <c r="L340" s="90">
        <f t="shared" si="355"/>
        <v>0</v>
      </c>
      <c r="M340" s="91" t="s">
        <v>622</v>
      </c>
      <c r="O340" s="90"/>
      <c r="P340" s="90"/>
      <c r="Z340" s="90">
        <f t="shared" si="356"/>
        <v>0</v>
      </c>
      <c r="AB340" s="90">
        <f t="shared" si="357"/>
        <v>0</v>
      </c>
      <c r="AC340" s="90">
        <f t="shared" si="358"/>
        <v>0</v>
      </c>
      <c r="AD340" s="90">
        <f t="shared" si="359"/>
        <v>0</v>
      </c>
      <c r="AE340" s="90">
        <f t="shared" si="360"/>
        <v>0</v>
      </c>
      <c r="AF340" s="90">
        <f t="shared" si="361"/>
        <v>0</v>
      </c>
      <c r="AG340" s="90">
        <f t="shared" si="362"/>
        <v>0</v>
      </c>
      <c r="AH340" s="90">
        <f t="shared" si="363"/>
        <v>0</v>
      </c>
      <c r="AI340" s="154" t="s">
        <v>60</v>
      </c>
      <c r="AJ340" s="90">
        <f t="shared" si="364"/>
        <v>0</v>
      </c>
      <c r="AK340" s="90">
        <f t="shared" si="365"/>
        <v>0</v>
      </c>
      <c r="AL340" s="90">
        <f t="shared" si="366"/>
        <v>0</v>
      </c>
      <c r="AN340" s="90">
        <v>21</v>
      </c>
      <c r="AO340" s="90">
        <f t="shared" si="367"/>
        <v>0</v>
      </c>
      <c r="AP340" s="90">
        <f t="shared" si="368"/>
        <v>0</v>
      </c>
      <c r="AQ340" s="91" t="s">
        <v>85</v>
      </c>
      <c r="AV340" s="90">
        <f t="shared" si="369"/>
        <v>0</v>
      </c>
      <c r="AW340" s="90">
        <f t="shared" si="370"/>
        <v>0</v>
      </c>
      <c r="AX340" s="90">
        <f t="shared" si="371"/>
        <v>0</v>
      </c>
      <c r="AY340" s="91" t="s">
        <v>643</v>
      </c>
      <c r="AZ340" s="91" t="s">
        <v>1537</v>
      </c>
      <c r="BA340" s="154" t="s">
        <v>1542</v>
      </c>
      <c r="BC340" s="90">
        <f t="shared" si="372"/>
        <v>0</v>
      </c>
      <c r="BD340" s="90">
        <f t="shared" si="373"/>
        <v>0</v>
      </c>
      <c r="BE340" s="90">
        <v>0</v>
      </c>
      <c r="BF340" s="90">
        <f t="shared" si="374"/>
        <v>0</v>
      </c>
      <c r="BH340" s="90">
        <f t="shared" si="375"/>
        <v>0</v>
      </c>
      <c r="BI340" s="90">
        <f t="shared" si="376"/>
        <v>0</v>
      </c>
      <c r="BJ340" s="90">
        <f t="shared" si="377"/>
        <v>0</v>
      </c>
    </row>
    <row r="341" spans="1:62" ht="12.75">
      <c r="A341" s="88" t="s">
        <v>792</v>
      </c>
      <c r="B341" s="88" t="s">
        <v>60</v>
      </c>
      <c r="C341" s="88" t="s">
        <v>1023</v>
      </c>
      <c r="D341" s="88" t="s">
        <v>1317</v>
      </c>
      <c r="E341" s="88" t="s">
        <v>606</v>
      </c>
      <c r="F341" s="90">
        <v>1</v>
      </c>
      <c r="G341" s="90">
        <f>'Stavební rozpočet (SO 13)'!G175</f>
        <v>0</v>
      </c>
      <c r="H341" s="90">
        <f t="shared" si="352"/>
        <v>0</v>
      </c>
      <c r="I341" s="90">
        <f t="shared" si="353"/>
        <v>0</v>
      </c>
      <c r="J341" s="90">
        <f t="shared" si="354"/>
        <v>0</v>
      </c>
      <c r="K341" s="90">
        <v>0</v>
      </c>
      <c r="L341" s="90">
        <f t="shared" si="355"/>
        <v>0</v>
      </c>
      <c r="M341" s="91" t="s">
        <v>622</v>
      </c>
      <c r="O341" s="90"/>
      <c r="P341" s="90"/>
      <c r="Z341" s="90">
        <f t="shared" si="356"/>
        <v>0</v>
      </c>
      <c r="AB341" s="90">
        <f t="shared" si="357"/>
        <v>0</v>
      </c>
      <c r="AC341" s="90">
        <f t="shared" si="358"/>
        <v>0</v>
      </c>
      <c r="AD341" s="90">
        <f t="shared" si="359"/>
        <v>0</v>
      </c>
      <c r="AE341" s="90">
        <f t="shared" si="360"/>
        <v>0</v>
      </c>
      <c r="AF341" s="90">
        <f t="shared" si="361"/>
        <v>0</v>
      </c>
      <c r="AG341" s="90">
        <f t="shared" si="362"/>
        <v>0</v>
      </c>
      <c r="AH341" s="90">
        <f t="shared" si="363"/>
        <v>0</v>
      </c>
      <c r="AI341" s="154" t="s">
        <v>60</v>
      </c>
      <c r="AJ341" s="90">
        <f t="shared" si="364"/>
        <v>0</v>
      </c>
      <c r="AK341" s="90">
        <f t="shared" si="365"/>
        <v>0</v>
      </c>
      <c r="AL341" s="90">
        <f t="shared" si="366"/>
        <v>0</v>
      </c>
      <c r="AN341" s="90">
        <v>21</v>
      </c>
      <c r="AO341" s="90">
        <f t="shared" si="367"/>
        <v>0</v>
      </c>
      <c r="AP341" s="90">
        <f t="shared" si="368"/>
        <v>0</v>
      </c>
      <c r="AQ341" s="91" t="s">
        <v>85</v>
      </c>
      <c r="AV341" s="90">
        <f t="shared" si="369"/>
        <v>0</v>
      </c>
      <c r="AW341" s="90">
        <f t="shared" si="370"/>
        <v>0</v>
      </c>
      <c r="AX341" s="90">
        <f t="shared" si="371"/>
        <v>0</v>
      </c>
      <c r="AY341" s="91" t="s">
        <v>643</v>
      </c>
      <c r="AZ341" s="91" t="s">
        <v>1537</v>
      </c>
      <c r="BA341" s="154" t="s">
        <v>1542</v>
      </c>
      <c r="BC341" s="90">
        <f t="shared" si="372"/>
        <v>0</v>
      </c>
      <c r="BD341" s="90">
        <f t="shared" si="373"/>
        <v>0</v>
      </c>
      <c r="BE341" s="90">
        <v>0</v>
      </c>
      <c r="BF341" s="90">
        <f t="shared" si="374"/>
        <v>0</v>
      </c>
      <c r="BH341" s="90">
        <f t="shared" si="375"/>
        <v>0</v>
      </c>
      <c r="BI341" s="90">
        <f t="shared" si="376"/>
        <v>0</v>
      </c>
      <c r="BJ341" s="90">
        <f t="shared" si="377"/>
        <v>0</v>
      </c>
    </row>
    <row r="342" spans="1:62" ht="12.75">
      <c r="A342" s="88" t="s">
        <v>793</v>
      </c>
      <c r="B342" s="88" t="s">
        <v>60</v>
      </c>
      <c r="C342" s="88" t="s">
        <v>1024</v>
      </c>
      <c r="D342" s="88" t="s">
        <v>1318</v>
      </c>
      <c r="E342" s="88" t="s">
        <v>606</v>
      </c>
      <c r="F342" s="90">
        <v>1</v>
      </c>
      <c r="G342" s="90">
        <f>'Stavební rozpočet (SO 13)'!G176</f>
        <v>0</v>
      </c>
      <c r="H342" s="90">
        <f t="shared" si="352"/>
        <v>0</v>
      </c>
      <c r="I342" s="90">
        <f t="shared" si="353"/>
        <v>0</v>
      </c>
      <c r="J342" s="90">
        <f t="shared" si="354"/>
        <v>0</v>
      </c>
      <c r="K342" s="90">
        <v>0</v>
      </c>
      <c r="L342" s="90">
        <f t="shared" si="355"/>
        <v>0</v>
      </c>
      <c r="M342" s="91" t="s">
        <v>622</v>
      </c>
      <c r="O342" s="90"/>
      <c r="P342" s="90"/>
      <c r="Z342" s="90">
        <f t="shared" si="356"/>
        <v>0</v>
      </c>
      <c r="AB342" s="90">
        <f t="shared" si="357"/>
        <v>0</v>
      </c>
      <c r="AC342" s="90">
        <f t="shared" si="358"/>
        <v>0</v>
      </c>
      <c r="AD342" s="90">
        <f t="shared" si="359"/>
        <v>0</v>
      </c>
      <c r="AE342" s="90">
        <f t="shared" si="360"/>
        <v>0</v>
      </c>
      <c r="AF342" s="90">
        <f t="shared" si="361"/>
        <v>0</v>
      </c>
      <c r="AG342" s="90">
        <f t="shared" si="362"/>
        <v>0</v>
      </c>
      <c r="AH342" s="90">
        <f t="shared" si="363"/>
        <v>0</v>
      </c>
      <c r="AI342" s="154" t="s">
        <v>60</v>
      </c>
      <c r="AJ342" s="90">
        <f t="shared" si="364"/>
        <v>0</v>
      </c>
      <c r="AK342" s="90">
        <f t="shared" si="365"/>
        <v>0</v>
      </c>
      <c r="AL342" s="90">
        <f t="shared" si="366"/>
        <v>0</v>
      </c>
      <c r="AN342" s="90">
        <v>21</v>
      </c>
      <c r="AO342" s="90">
        <f t="shared" si="367"/>
        <v>0</v>
      </c>
      <c r="AP342" s="90">
        <f t="shared" si="368"/>
        <v>0</v>
      </c>
      <c r="AQ342" s="91" t="s">
        <v>85</v>
      </c>
      <c r="AV342" s="90">
        <f t="shared" si="369"/>
        <v>0</v>
      </c>
      <c r="AW342" s="90">
        <f t="shared" si="370"/>
        <v>0</v>
      </c>
      <c r="AX342" s="90">
        <f t="shared" si="371"/>
        <v>0</v>
      </c>
      <c r="AY342" s="91" t="s">
        <v>643</v>
      </c>
      <c r="AZ342" s="91" t="s">
        <v>1537</v>
      </c>
      <c r="BA342" s="154" t="s">
        <v>1542</v>
      </c>
      <c r="BC342" s="90">
        <f t="shared" si="372"/>
        <v>0</v>
      </c>
      <c r="BD342" s="90">
        <f t="shared" si="373"/>
        <v>0</v>
      </c>
      <c r="BE342" s="90">
        <v>0</v>
      </c>
      <c r="BF342" s="90">
        <f t="shared" si="374"/>
        <v>0</v>
      </c>
      <c r="BH342" s="90">
        <f t="shared" si="375"/>
        <v>0</v>
      </c>
      <c r="BI342" s="90">
        <f t="shared" si="376"/>
        <v>0</v>
      </c>
      <c r="BJ342" s="90">
        <f t="shared" si="377"/>
        <v>0</v>
      </c>
    </row>
    <row r="343" spans="1:62" ht="12.75">
      <c r="A343" s="88" t="s">
        <v>794</v>
      </c>
      <c r="B343" s="88" t="s">
        <v>60</v>
      </c>
      <c r="C343" s="88" t="s">
        <v>1025</v>
      </c>
      <c r="D343" s="88" t="s">
        <v>1319</v>
      </c>
      <c r="E343" s="88" t="s">
        <v>606</v>
      </c>
      <c r="F343" s="90">
        <v>19</v>
      </c>
      <c r="G343" s="90">
        <f>'Stavební rozpočet (SO 13)'!G177</f>
        <v>0</v>
      </c>
      <c r="H343" s="90">
        <f t="shared" si="352"/>
        <v>0</v>
      </c>
      <c r="I343" s="90">
        <f t="shared" si="353"/>
        <v>0</v>
      </c>
      <c r="J343" s="90">
        <f t="shared" si="354"/>
        <v>0</v>
      </c>
      <c r="K343" s="90">
        <v>0</v>
      </c>
      <c r="L343" s="90">
        <f t="shared" si="355"/>
        <v>0</v>
      </c>
      <c r="M343" s="91" t="s">
        <v>622</v>
      </c>
      <c r="O343" s="90"/>
      <c r="P343" s="90"/>
      <c r="Z343" s="90">
        <f t="shared" si="356"/>
        <v>0</v>
      </c>
      <c r="AB343" s="90">
        <f t="shared" si="357"/>
        <v>0</v>
      </c>
      <c r="AC343" s="90">
        <f t="shared" si="358"/>
        <v>0</v>
      </c>
      <c r="AD343" s="90">
        <f t="shared" si="359"/>
        <v>0</v>
      </c>
      <c r="AE343" s="90">
        <f t="shared" si="360"/>
        <v>0</v>
      </c>
      <c r="AF343" s="90">
        <f t="shared" si="361"/>
        <v>0</v>
      </c>
      <c r="AG343" s="90">
        <f t="shared" si="362"/>
        <v>0</v>
      </c>
      <c r="AH343" s="90">
        <f t="shared" si="363"/>
        <v>0</v>
      </c>
      <c r="AI343" s="154" t="s">
        <v>60</v>
      </c>
      <c r="AJ343" s="90">
        <f t="shared" si="364"/>
        <v>0</v>
      </c>
      <c r="AK343" s="90">
        <f t="shared" si="365"/>
        <v>0</v>
      </c>
      <c r="AL343" s="90">
        <f t="shared" si="366"/>
        <v>0</v>
      </c>
      <c r="AN343" s="90">
        <v>21</v>
      </c>
      <c r="AO343" s="90">
        <f t="shared" si="367"/>
        <v>0</v>
      </c>
      <c r="AP343" s="90">
        <f t="shared" si="368"/>
        <v>0</v>
      </c>
      <c r="AQ343" s="91" t="s">
        <v>85</v>
      </c>
      <c r="AV343" s="90">
        <f t="shared" si="369"/>
        <v>0</v>
      </c>
      <c r="AW343" s="90">
        <f t="shared" si="370"/>
        <v>0</v>
      </c>
      <c r="AX343" s="90">
        <f t="shared" si="371"/>
        <v>0</v>
      </c>
      <c r="AY343" s="91" t="s">
        <v>643</v>
      </c>
      <c r="AZ343" s="91" t="s">
        <v>1537</v>
      </c>
      <c r="BA343" s="154" t="s">
        <v>1542</v>
      </c>
      <c r="BC343" s="90">
        <f t="shared" si="372"/>
        <v>0</v>
      </c>
      <c r="BD343" s="90">
        <f t="shared" si="373"/>
        <v>0</v>
      </c>
      <c r="BE343" s="90">
        <v>0</v>
      </c>
      <c r="BF343" s="90">
        <f t="shared" si="374"/>
        <v>0</v>
      </c>
      <c r="BH343" s="90">
        <f t="shared" si="375"/>
        <v>0</v>
      </c>
      <c r="BI343" s="90">
        <f t="shared" si="376"/>
        <v>0</v>
      </c>
      <c r="BJ343" s="90">
        <f t="shared" si="377"/>
        <v>0</v>
      </c>
    </row>
    <row r="344" spans="1:62" ht="12.75">
      <c r="A344" s="88" t="s">
        <v>795</v>
      </c>
      <c r="B344" s="88" t="s">
        <v>60</v>
      </c>
      <c r="C344" s="88" t="s">
        <v>1026</v>
      </c>
      <c r="D344" s="88" t="s">
        <v>1320</v>
      </c>
      <c r="E344" s="88" t="s">
        <v>606</v>
      </c>
      <c r="F344" s="90">
        <v>12</v>
      </c>
      <c r="G344" s="90">
        <f>'Stavební rozpočet (SO 13)'!G178</f>
        <v>0</v>
      </c>
      <c r="H344" s="90">
        <f t="shared" si="352"/>
        <v>0</v>
      </c>
      <c r="I344" s="90">
        <f t="shared" si="353"/>
        <v>0</v>
      </c>
      <c r="J344" s="90">
        <f t="shared" si="354"/>
        <v>0</v>
      </c>
      <c r="K344" s="90">
        <v>0</v>
      </c>
      <c r="L344" s="90">
        <f t="shared" si="355"/>
        <v>0</v>
      </c>
      <c r="M344" s="91" t="s">
        <v>622</v>
      </c>
      <c r="O344" s="90"/>
      <c r="P344" s="90"/>
      <c r="Z344" s="90">
        <f t="shared" si="356"/>
        <v>0</v>
      </c>
      <c r="AB344" s="90">
        <f t="shared" si="357"/>
        <v>0</v>
      </c>
      <c r="AC344" s="90">
        <f t="shared" si="358"/>
        <v>0</v>
      </c>
      <c r="AD344" s="90">
        <f t="shared" si="359"/>
        <v>0</v>
      </c>
      <c r="AE344" s="90">
        <f t="shared" si="360"/>
        <v>0</v>
      </c>
      <c r="AF344" s="90">
        <f t="shared" si="361"/>
        <v>0</v>
      </c>
      <c r="AG344" s="90">
        <f t="shared" si="362"/>
        <v>0</v>
      </c>
      <c r="AH344" s="90">
        <f t="shared" si="363"/>
        <v>0</v>
      </c>
      <c r="AI344" s="154" t="s">
        <v>60</v>
      </c>
      <c r="AJ344" s="90">
        <f t="shared" si="364"/>
        <v>0</v>
      </c>
      <c r="AK344" s="90">
        <f t="shared" si="365"/>
        <v>0</v>
      </c>
      <c r="AL344" s="90">
        <f t="shared" si="366"/>
        <v>0</v>
      </c>
      <c r="AN344" s="90">
        <v>21</v>
      </c>
      <c r="AO344" s="90">
        <f t="shared" si="367"/>
        <v>0</v>
      </c>
      <c r="AP344" s="90">
        <f t="shared" si="368"/>
        <v>0</v>
      </c>
      <c r="AQ344" s="91" t="s">
        <v>85</v>
      </c>
      <c r="AV344" s="90">
        <f t="shared" si="369"/>
        <v>0</v>
      </c>
      <c r="AW344" s="90">
        <f t="shared" si="370"/>
        <v>0</v>
      </c>
      <c r="AX344" s="90">
        <f t="shared" si="371"/>
        <v>0</v>
      </c>
      <c r="AY344" s="91" t="s">
        <v>643</v>
      </c>
      <c r="AZ344" s="91" t="s">
        <v>1537</v>
      </c>
      <c r="BA344" s="154" t="s">
        <v>1542</v>
      </c>
      <c r="BC344" s="90">
        <f t="shared" si="372"/>
        <v>0</v>
      </c>
      <c r="BD344" s="90">
        <f t="shared" si="373"/>
        <v>0</v>
      </c>
      <c r="BE344" s="90">
        <v>0</v>
      </c>
      <c r="BF344" s="90">
        <f t="shared" si="374"/>
        <v>0</v>
      </c>
      <c r="BH344" s="90">
        <f t="shared" si="375"/>
        <v>0</v>
      </c>
      <c r="BI344" s="90">
        <f t="shared" si="376"/>
        <v>0</v>
      </c>
      <c r="BJ344" s="90">
        <f t="shared" si="377"/>
        <v>0</v>
      </c>
    </row>
    <row r="345" spans="1:62" ht="12.75">
      <c r="A345" s="88" t="s">
        <v>796</v>
      </c>
      <c r="B345" s="88" t="s">
        <v>60</v>
      </c>
      <c r="C345" s="88" t="s">
        <v>1027</v>
      </c>
      <c r="D345" s="88" t="s">
        <v>1321</v>
      </c>
      <c r="E345" s="88" t="s">
        <v>606</v>
      </c>
      <c r="F345" s="90">
        <v>3</v>
      </c>
      <c r="G345" s="90">
        <f>'Stavební rozpočet (SO 13)'!G179</f>
        <v>0</v>
      </c>
      <c r="H345" s="90">
        <f t="shared" si="352"/>
        <v>0</v>
      </c>
      <c r="I345" s="90">
        <f t="shared" si="353"/>
        <v>0</v>
      </c>
      <c r="J345" s="90">
        <f t="shared" si="354"/>
        <v>0</v>
      </c>
      <c r="K345" s="90">
        <v>0</v>
      </c>
      <c r="L345" s="90">
        <f t="shared" si="355"/>
        <v>0</v>
      </c>
      <c r="M345" s="91" t="s">
        <v>622</v>
      </c>
      <c r="O345" s="90"/>
      <c r="P345" s="90"/>
      <c r="Z345" s="90">
        <f t="shared" si="356"/>
        <v>0</v>
      </c>
      <c r="AB345" s="90">
        <f t="shared" si="357"/>
        <v>0</v>
      </c>
      <c r="AC345" s="90">
        <f t="shared" si="358"/>
        <v>0</v>
      </c>
      <c r="AD345" s="90">
        <f t="shared" si="359"/>
        <v>0</v>
      </c>
      <c r="AE345" s="90">
        <f t="shared" si="360"/>
        <v>0</v>
      </c>
      <c r="AF345" s="90">
        <f t="shared" si="361"/>
        <v>0</v>
      </c>
      <c r="AG345" s="90">
        <f t="shared" si="362"/>
        <v>0</v>
      </c>
      <c r="AH345" s="90">
        <f t="shared" si="363"/>
        <v>0</v>
      </c>
      <c r="AI345" s="154" t="s">
        <v>60</v>
      </c>
      <c r="AJ345" s="90">
        <f t="shared" si="364"/>
        <v>0</v>
      </c>
      <c r="AK345" s="90">
        <f t="shared" si="365"/>
        <v>0</v>
      </c>
      <c r="AL345" s="90">
        <f t="shared" si="366"/>
        <v>0</v>
      </c>
      <c r="AN345" s="90">
        <v>21</v>
      </c>
      <c r="AO345" s="90">
        <f t="shared" si="367"/>
        <v>0</v>
      </c>
      <c r="AP345" s="90">
        <f t="shared" si="368"/>
        <v>0</v>
      </c>
      <c r="AQ345" s="91" t="s">
        <v>85</v>
      </c>
      <c r="AV345" s="90">
        <f t="shared" si="369"/>
        <v>0</v>
      </c>
      <c r="AW345" s="90">
        <f t="shared" si="370"/>
        <v>0</v>
      </c>
      <c r="AX345" s="90">
        <f t="shared" si="371"/>
        <v>0</v>
      </c>
      <c r="AY345" s="91" t="s">
        <v>643</v>
      </c>
      <c r="AZ345" s="91" t="s">
        <v>1537</v>
      </c>
      <c r="BA345" s="154" t="s">
        <v>1542</v>
      </c>
      <c r="BC345" s="90">
        <f t="shared" si="372"/>
        <v>0</v>
      </c>
      <c r="BD345" s="90">
        <f t="shared" si="373"/>
        <v>0</v>
      </c>
      <c r="BE345" s="90">
        <v>0</v>
      </c>
      <c r="BF345" s="90">
        <f t="shared" si="374"/>
        <v>0</v>
      </c>
      <c r="BH345" s="90">
        <f t="shared" si="375"/>
        <v>0</v>
      </c>
      <c r="BI345" s="90">
        <f t="shared" si="376"/>
        <v>0</v>
      </c>
      <c r="BJ345" s="90">
        <f t="shared" si="377"/>
        <v>0</v>
      </c>
    </row>
    <row r="346" spans="1:62" ht="12.75">
      <c r="A346" s="88" t="s">
        <v>797</v>
      </c>
      <c r="B346" s="88" t="s">
        <v>60</v>
      </c>
      <c r="C346" s="88" t="s">
        <v>1028</v>
      </c>
      <c r="D346" s="88" t="s">
        <v>1322</v>
      </c>
      <c r="E346" s="88" t="s">
        <v>606</v>
      </c>
      <c r="F346" s="90">
        <v>3</v>
      </c>
      <c r="G346" s="90">
        <f>'Stavební rozpočet (SO 13)'!G180</f>
        <v>0</v>
      </c>
      <c r="H346" s="90">
        <f t="shared" si="352"/>
        <v>0</v>
      </c>
      <c r="I346" s="90">
        <f t="shared" si="353"/>
        <v>0</v>
      </c>
      <c r="J346" s="90">
        <f t="shared" si="354"/>
        <v>0</v>
      </c>
      <c r="K346" s="90">
        <v>0</v>
      </c>
      <c r="L346" s="90">
        <f t="shared" si="355"/>
        <v>0</v>
      </c>
      <c r="M346" s="91" t="s">
        <v>622</v>
      </c>
      <c r="O346" s="90"/>
      <c r="P346" s="90"/>
      <c r="Z346" s="90">
        <f t="shared" si="356"/>
        <v>0</v>
      </c>
      <c r="AB346" s="90">
        <f t="shared" si="357"/>
        <v>0</v>
      </c>
      <c r="AC346" s="90">
        <f t="shared" si="358"/>
        <v>0</v>
      </c>
      <c r="AD346" s="90">
        <f t="shared" si="359"/>
        <v>0</v>
      </c>
      <c r="AE346" s="90">
        <f t="shared" si="360"/>
        <v>0</v>
      </c>
      <c r="AF346" s="90">
        <f t="shared" si="361"/>
        <v>0</v>
      </c>
      <c r="AG346" s="90">
        <f t="shared" si="362"/>
        <v>0</v>
      </c>
      <c r="AH346" s="90">
        <f t="shared" si="363"/>
        <v>0</v>
      </c>
      <c r="AI346" s="154" t="s">
        <v>60</v>
      </c>
      <c r="AJ346" s="90">
        <f t="shared" si="364"/>
        <v>0</v>
      </c>
      <c r="AK346" s="90">
        <f t="shared" si="365"/>
        <v>0</v>
      </c>
      <c r="AL346" s="90">
        <f t="shared" si="366"/>
        <v>0</v>
      </c>
      <c r="AN346" s="90">
        <v>21</v>
      </c>
      <c r="AO346" s="90">
        <f t="shared" si="367"/>
        <v>0</v>
      </c>
      <c r="AP346" s="90">
        <f t="shared" si="368"/>
        <v>0</v>
      </c>
      <c r="AQ346" s="91" t="s">
        <v>85</v>
      </c>
      <c r="AV346" s="90">
        <f t="shared" si="369"/>
        <v>0</v>
      </c>
      <c r="AW346" s="90">
        <f t="shared" si="370"/>
        <v>0</v>
      </c>
      <c r="AX346" s="90">
        <f t="shared" si="371"/>
        <v>0</v>
      </c>
      <c r="AY346" s="91" t="s">
        <v>643</v>
      </c>
      <c r="AZ346" s="91" t="s">
        <v>1537</v>
      </c>
      <c r="BA346" s="154" t="s">
        <v>1542</v>
      </c>
      <c r="BC346" s="90">
        <f t="shared" si="372"/>
        <v>0</v>
      </c>
      <c r="BD346" s="90">
        <f t="shared" si="373"/>
        <v>0</v>
      </c>
      <c r="BE346" s="90">
        <v>0</v>
      </c>
      <c r="BF346" s="90">
        <f t="shared" si="374"/>
        <v>0</v>
      </c>
      <c r="BH346" s="90">
        <f t="shared" si="375"/>
        <v>0</v>
      </c>
      <c r="BI346" s="90">
        <f t="shared" si="376"/>
        <v>0</v>
      </c>
      <c r="BJ346" s="90">
        <f t="shared" si="377"/>
        <v>0</v>
      </c>
    </row>
    <row r="347" spans="1:62" ht="12.75">
      <c r="A347" s="88" t="s">
        <v>798</v>
      </c>
      <c r="B347" s="88" t="s">
        <v>60</v>
      </c>
      <c r="C347" s="88" t="s">
        <v>1029</v>
      </c>
      <c r="D347" s="88" t="s">
        <v>1323</v>
      </c>
      <c r="E347" s="88" t="s">
        <v>606</v>
      </c>
      <c r="F347" s="90">
        <v>1</v>
      </c>
      <c r="G347" s="90">
        <f>'Stavební rozpočet (SO 13)'!G181</f>
        <v>0</v>
      </c>
      <c r="H347" s="90">
        <f t="shared" si="352"/>
        <v>0</v>
      </c>
      <c r="I347" s="90">
        <f t="shared" si="353"/>
        <v>0</v>
      </c>
      <c r="J347" s="90">
        <f t="shared" si="354"/>
        <v>0</v>
      </c>
      <c r="K347" s="90">
        <v>0</v>
      </c>
      <c r="L347" s="90">
        <f t="shared" si="355"/>
        <v>0</v>
      </c>
      <c r="M347" s="91" t="s">
        <v>622</v>
      </c>
      <c r="O347" s="90"/>
      <c r="P347" s="90"/>
      <c r="Z347" s="90">
        <f t="shared" si="356"/>
        <v>0</v>
      </c>
      <c r="AB347" s="90">
        <f t="shared" si="357"/>
        <v>0</v>
      </c>
      <c r="AC347" s="90">
        <f t="shared" si="358"/>
        <v>0</v>
      </c>
      <c r="AD347" s="90">
        <f t="shared" si="359"/>
        <v>0</v>
      </c>
      <c r="AE347" s="90">
        <f t="shared" si="360"/>
        <v>0</v>
      </c>
      <c r="AF347" s="90">
        <f t="shared" si="361"/>
        <v>0</v>
      </c>
      <c r="AG347" s="90">
        <f t="shared" si="362"/>
        <v>0</v>
      </c>
      <c r="AH347" s="90">
        <f t="shared" si="363"/>
        <v>0</v>
      </c>
      <c r="AI347" s="154" t="s">
        <v>60</v>
      </c>
      <c r="AJ347" s="90">
        <f t="shared" si="364"/>
        <v>0</v>
      </c>
      <c r="AK347" s="90">
        <f t="shared" si="365"/>
        <v>0</v>
      </c>
      <c r="AL347" s="90">
        <f t="shared" si="366"/>
        <v>0</v>
      </c>
      <c r="AN347" s="90">
        <v>21</v>
      </c>
      <c r="AO347" s="90">
        <f t="shared" si="367"/>
        <v>0</v>
      </c>
      <c r="AP347" s="90">
        <f t="shared" si="368"/>
        <v>0</v>
      </c>
      <c r="AQ347" s="91" t="s">
        <v>85</v>
      </c>
      <c r="AV347" s="90">
        <f t="shared" si="369"/>
        <v>0</v>
      </c>
      <c r="AW347" s="90">
        <f t="shared" si="370"/>
        <v>0</v>
      </c>
      <c r="AX347" s="90">
        <f t="shared" si="371"/>
        <v>0</v>
      </c>
      <c r="AY347" s="91" t="s">
        <v>643</v>
      </c>
      <c r="AZ347" s="91" t="s">
        <v>1537</v>
      </c>
      <c r="BA347" s="154" t="s">
        <v>1542</v>
      </c>
      <c r="BC347" s="90">
        <f t="shared" si="372"/>
        <v>0</v>
      </c>
      <c r="BD347" s="90">
        <f t="shared" si="373"/>
        <v>0</v>
      </c>
      <c r="BE347" s="90">
        <v>0</v>
      </c>
      <c r="BF347" s="90">
        <f t="shared" si="374"/>
        <v>0</v>
      </c>
      <c r="BH347" s="90">
        <f t="shared" si="375"/>
        <v>0</v>
      </c>
      <c r="BI347" s="90">
        <f t="shared" si="376"/>
        <v>0</v>
      </c>
      <c r="BJ347" s="90">
        <f t="shared" si="377"/>
        <v>0</v>
      </c>
    </row>
    <row r="348" spans="1:62" ht="12.75">
      <c r="A348" s="88" t="s">
        <v>799</v>
      </c>
      <c r="B348" s="88" t="s">
        <v>60</v>
      </c>
      <c r="C348" s="88" t="s">
        <v>1030</v>
      </c>
      <c r="D348" s="88" t="s">
        <v>1324</v>
      </c>
      <c r="E348" s="88" t="s">
        <v>606</v>
      </c>
      <c r="F348" s="90">
        <v>1</v>
      </c>
      <c r="G348" s="90">
        <f>'Stavební rozpočet (SO 13)'!G182</f>
        <v>0</v>
      </c>
      <c r="H348" s="90">
        <f t="shared" si="352"/>
        <v>0</v>
      </c>
      <c r="I348" s="90">
        <f t="shared" si="353"/>
        <v>0</v>
      </c>
      <c r="J348" s="90">
        <f t="shared" si="354"/>
        <v>0</v>
      </c>
      <c r="K348" s="90">
        <v>0</v>
      </c>
      <c r="L348" s="90">
        <f t="shared" si="355"/>
        <v>0</v>
      </c>
      <c r="M348" s="91" t="s">
        <v>622</v>
      </c>
      <c r="O348" s="90"/>
      <c r="P348" s="90"/>
      <c r="Z348" s="90">
        <f t="shared" si="356"/>
        <v>0</v>
      </c>
      <c r="AB348" s="90">
        <f t="shared" si="357"/>
        <v>0</v>
      </c>
      <c r="AC348" s="90">
        <f t="shared" si="358"/>
        <v>0</v>
      </c>
      <c r="AD348" s="90">
        <f t="shared" si="359"/>
        <v>0</v>
      </c>
      <c r="AE348" s="90">
        <f t="shared" si="360"/>
        <v>0</v>
      </c>
      <c r="AF348" s="90">
        <f t="shared" si="361"/>
        <v>0</v>
      </c>
      <c r="AG348" s="90">
        <f t="shared" si="362"/>
        <v>0</v>
      </c>
      <c r="AH348" s="90">
        <f t="shared" si="363"/>
        <v>0</v>
      </c>
      <c r="AI348" s="154" t="s">
        <v>60</v>
      </c>
      <c r="AJ348" s="90">
        <f t="shared" si="364"/>
        <v>0</v>
      </c>
      <c r="AK348" s="90">
        <f t="shared" si="365"/>
        <v>0</v>
      </c>
      <c r="AL348" s="90">
        <f t="shared" si="366"/>
        <v>0</v>
      </c>
      <c r="AN348" s="90">
        <v>21</v>
      </c>
      <c r="AO348" s="90">
        <f t="shared" si="367"/>
        <v>0</v>
      </c>
      <c r="AP348" s="90">
        <f t="shared" si="368"/>
        <v>0</v>
      </c>
      <c r="AQ348" s="91" t="s">
        <v>85</v>
      </c>
      <c r="AV348" s="90">
        <f t="shared" si="369"/>
        <v>0</v>
      </c>
      <c r="AW348" s="90">
        <f t="shared" si="370"/>
        <v>0</v>
      </c>
      <c r="AX348" s="90">
        <f t="shared" si="371"/>
        <v>0</v>
      </c>
      <c r="AY348" s="91" t="s">
        <v>643</v>
      </c>
      <c r="AZ348" s="91" t="s">
        <v>1537</v>
      </c>
      <c r="BA348" s="154" t="s">
        <v>1542</v>
      </c>
      <c r="BC348" s="90">
        <f t="shared" si="372"/>
        <v>0</v>
      </c>
      <c r="BD348" s="90">
        <f t="shared" si="373"/>
        <v>0</v>
      </c>
      <c r="BE348" s="90">
        <v>0</v>
      </c>
      <c r="BF348" s="90">
        <f t="shared" si="374"/>
        <v>0</v>
      </c>
      <c r="BH348" s="90">
        <f t="shared" si="375"/>
        <v>0</v>
      </c>
      <c r="BI348" s="90">
        <f t="shared" si="376"/>
        <v>0</v>
      </c>
      <c r="BJ348" s="90">
        <f t="shared" si="377"/>
        <v>0</v>
      </c>
    </row>
    <row r="349" spans="1:62" ht="12.75">
      <c r="A349" s="88" t="s">
        <v>800</v>
      </c>
      <c r="B349" s="88" t="s">
        <v>60</v>
      </c>
      <c r="C349" s="88" t="s">
        <v>1031</v>
      </c>
      <c r="D349" s="88" t="s">
        <v>1325</v>
      </c>
      <c r="E349" s="88" t="s">
        <v>606</v>
      </c>
      <c r="F349" s="90">
        <v>1</v>
      </c>
      <c r="G349" s="90">
        <f>'Stavební rozpočet (SO 13)'!G183</f>
        <v>0</v>
      </c>
      <c r="H349" s="90">
        <f t="shared" si="352"/>
        <v>0</v>
      </c>
      <c r="I349" s="90">
        <f t="shared" si="353"/>
        <v>0</v>
      </c>
      <c r="J349" s="90">
        <f t="shared" si="354"/>
        <v>0</v>
      </c>
      <c r="K349" s="90">
        <v>0</v>
      </c>
      <c r="L349" s="90">
        <f t="shared" si="355"/>
        <v>0</v>
      </c>
      <c r="M349" s="91" t="s">
        <v>622</v>
      </c>
      <c r="O349" s="90"/>
      <c r="P349" s="90"/>
      <c r="Z349" s="90">
        <f t="shared" si="356"/>
        <v>0</v>
      </c>
      <c r="AB349" s="90">
        <f t="shared" si="357"/>
        <v>0</v>
      </c>
      <c r="AC349" s="90">
        <f t="shared" si="358"/>
        <v>0</v>
      </c>
      <c r="AD349" s="90">
        <f t="shared" si="359"/>
        <v>0</v>
      </c>
      <c r="AE349" s="90">
        <f t="shared" si="360"/>
        <v>0</v>
      </c>
      <c r="AF349" s="90">
        <f t="shared" si="361"/>
        <v>0</v>
      </c>
      <c r="AG349" s="90">
        <f t="shared" si="362"/>
        <v>0</v>
      </c>
      <c r="AH349" s="90">
        <f t="shared" si="363"/>
        <v>0</v>
      </c>
      <c r="AI349" s="154" t="s">
        <v>60</v>
      </c>
      <c r="AJ349" s="90">
        <f t="shared" si="364"/>
        <v>0</v>
      </c>
      <c r="AK349" s="90">
        <f t="shared" si="365"/>
        <v>0</v>
      </c>
      <c r="AL349" s="90">
        <f t="shared" si="366"/>
        <v>0</v>
      </c>
      <c r="AN349" s="90">
        <v>21</v>
      </c>
      <c r="AO349" s="90">
        <f t="shared" si="367"/>
        <v>0</v>
      </c>
      <c r="AP349" s="90">
        <f t="shared" si="368"/>
        <v>0</v>
      </c>
      <c r="AQ349" s="91" t="s">
        <v>85</v>
      </c>
      <c r="AV349" s="90">
        <f t="shared" si="369"/>
        <v>0</v>
      </c>
      <c r="AW349" s="90">
        <f t="shared" si="370"/>
        <v>0</v>
      </c>
      <c r="AX349" s="90">
        <f t="shared" si="371"/>
        <v>0</v>
      </c>
      <c r="AY349" s="91" t="s">
        <v>643</v>
      </c>
      <c r="AZ349" s="91" t="s">
        <v>1537</v>
      </c>
      <c r="BA349" s="154" t="s">
        <v>1542</v>
      </c>
      <c r="BC349" s="90">
        <f t="shared" si="372"/>
        <v>0</v>
      </c>
      <c r="BD349" s="90">
        <f t="shared" si="373"/>
        <v>0</v>
      </c>
      <c r="BE349" s="90">
        <v>0</v>
      </c>
      <c r="BF349" s="90">
        <f t="shared" si="374"/>
        <v>0</v>
      </c>
      <c r="BH349" s="90">
        <f t="shared" si="375"/>
        <v>0</v>
      </c>
      <c r="BI349" s="90">
        <f t="shared" si="376"/>
        <v>0</v>
      </c>
      <c r="BJ349" s="90">
        <f t="shared" si="377"/>
        <v>0</v>
      </c>
    </row>
    <row r="350" spans="1:62" ht="12.75">
      <c r="A350" s="88" t="s">
        <v>801</v>
      </c>
      <c r="B350" s="88" t="s">
        <v>60</v>
      </c>
      <c r="C350" s="88" t="s">
        <v>1032</v>
      </c>
      <c r="D350" s="88" t="s">
        <v>1326</v>
      </c>
      <c r="E350" s="88" t="s">
        <v>606</v>
      </c>
      <c r="F350" s="90">
        <v>1</v>
      </c>
      <c r="G350" s="90">
        <f>'Stavební rozpočet (SO 13)'!G184</f>
        <v>0</v>
      </c>
      <c r="H350" s="90">
        <f t="shared" si="352"/>
        <v>0</v>
      </c>
      <c r="I350" s="90">
        <f t="shared" si="353"/>
        <v>0</v>
      </c>
      <c r="J350" s="90">
        <f t="shared" si="354"/>
        <v>0</v>
      </c>
      <c r="K350" s="90">
        <v>0</v>
      </c>
      <c r="L350" s="90">
        <f t="shared" si="355"/>
        <v>0</v>
      </c>
      <c r="M350" s="91" t="s">
        <v>622</v>
      </c>
      <c r="O350" s="90"/>
      <c r="P350" s="90"/>
      <c r="Z350" s="90">
        <f t="shared" si="356"/>
        <v>0</v>
      </c>
      <c r="AB350" s="90">
        <f t="shared" si="357"/>
        <v>0</v>
      </c>
      <c r="AC350" s="90">
        <f t="shared" si="358"/>
        <v>0</v>
      </c>
      <c r="AD350" s="90">
        <f t="shared" si="359"/>
        <v>0</v>
      </c>
      <c r="AE350" s="90">
        <f t="shared" si="360"/>
        <v>0</v>
      </c>
      <c r="AF350" s="90">
        <f t="shared" si="361"/>
        <v>0</v>
      </c>
      <c r="AG350" s="90">
        <f t="shared" si="362"/>
        <v>0</v>
      </c>
      <c r="AH350" s="90">
        <f t="shared" si="363"/>
        <v>0</v>
      </c>
      <c r="AI350" s="154" t="s">
        <v>60</v>
      </c>
      <c r="AJ350" s="90">
        <f t="shared" si="364"/>
        <v>0</v>
      </c>
      <c r="AK350" s="90">
        <f t="shared" si="365"/>
        <v>0</v>
      </c>
      <c r="AL350" s="90">
        <f t="shared" si="366"/>
        <v>0</v>
      </c>
      <c r="AN350" s="90">
        <v>21</v>
      </c>
      <c r="AO350" s="90">
        <f t="shared" si="367"/>
        <v>0</v>
      </c>
      <c r="AP350" s="90">
        <f t="shared" si="368"/>
        <v>0</v>
      </c>
      <c r="AQ350" s="91" t="s">
        <v>85</v>
      </c>
      <c r="AV350" s="90">
        <f t="shared" si="369"/>
        <v>0</v>
      </c>
      <c r="AW350" s="90">
        <f t="shared" si="370"/>
        <v>0</v>
      </c>
      <c r="AX350" s="90">
        <f t="shared" si="371"/>
        <v>0</v>
      </c>
      <c r="AY350" s="91" t="s">
        <v>643</v>
      </c>
      <c r="AZ350" s="91" t="s">
        <v>1537</v>
      </c>
      <c r="BA350" s="154" t="s">
        <v>1542</v>
      </c>
      <c r="BC350" s="90">
        <f t="shared" si="372"/>
        <v>0</v>
      </c>
      <c r="BD350" s="90">
        <f t="shared" si="373"/>
        <v>0</v>
      </c>
      <c r="BE350" s="90">
        <v>0</v>
      </c>
      <c r="BF350" s="90">
        <f t="shared" si="374"/>
        <v>0</v>
      </c>
      <c r="BH350" s="90">
        <f t="shared" si="375"/>
        <v>0</v>
      </c>
      <c r="BI350" s="90">
        <f t="shared" si="376"/>
        <v>0</v>
      </c>
      <c r="BJ350" s="90">
        <f t="shared" si="377"/>
        <v>0</v>
      </c>
    </row>
    <row r="351" spans="1:62" ht="12.75">
      <c r="A351" s="88" t="s">
        <v>802</v>
      </c>
      <c r="B351" s="88" t="s">
        <v>60</v>
      </c>
      <c r="C351" s="88" t="s">
        <v>1033</v>
      </c>
      <c r="D351" s="88" t="s">
        <v>1327</v>
      </c>
      <c r="E351" s="88" t="s">
        <v>606</v>
      </c>
      <c r="F351" s="90">
        <v>2</v>
      </c>
      <c r="G351" s="90">
        <f>'Stavební rozpočet (SO 13)'!G185</f>
        <v>0</v>
      </c>
      <c r="H351" s="90">
        <f t="shared" si="352"/>
        <v>0</v>
      </c>
      <c r="I351" s="90">
        <f t="shared" si="353"/>
        <v>0</v>
      </c>
      <c r="J351" s="90">
        <f t="shared" si="354"/>
        <v>0</v>
      </c>
      <c r="K351" s="90">
        <v>0</v>
      </c>
      <c r="L351" s="90">
        <f t="shared" si="355"/>
        <v>0</v>
      </c>
      <c r="M351" s="91" t="s">
        <v>622</v>
      </c>
      <c r="O351" s="90"/>
      <c r="P351" s="90"/>
      <c r="Z351" s="90">
        <f t="shared" si="356"/>
        <v>0</v>
      </c>
      <c r="AB351" s="90">
        <f t="shared" si="357"/>
        <v>0</v>
      </c>
      <c r="AC351" s="90">
        <f t="shared" si="358"/>
        <v>0</v>
      </c>
      <c r="AD351" s="90">
        <f t="shared" si="359"/>
        <v>0</v>
      </c>
      <c r="AE351" s="90">
        <f t="shared" si="360"/>
        <v>0</v>
      </c>
      <c r="AF351" s="90">
        <f t="shared" si="361"/>
        <v>0</v>
      </c>
      <c r="AG351" s="90">
        <f t="shared" si="362"/>
        <v>0</v>
      </c>
      <c r="AH351" s="90">
        <f t="shared" si="363"/>
        <v>0</v>
      </c>
      <c r="AI351" s="154" t="s">
        <v>60</v>
      </c>
      <c r="AJ351" s="90">
        <f t="shared" si="364"/>
        <v>0</v>
      </c>
      <c r="AK351" s="90">
        <f t="shared" si="365"/>
        <v>0</v>
      </c>
      <c r="AL351" s="90">
        <f t="shared" si="366"/>
        <v>0</v>
      </c>
      <c r="AN351" s="90">
        <v>21</v>
      </c>
      <c r="AO351" s="90">
        <f t="shared" si="367"/>
        <v>0</v>
      </c>
      <c r="AP351" s="90">
        <f t="shared" si="368"/>
        <v>0</v>
      </c>
      <c r="AQ351" s="91" t="s">
        <v>85</v>
      </c>
      <c r="AV351" s="90">
        <f t="shared" si="369"/>
        <v>0</v>
      </c>
      <c r="AW351" s="90">
        <f t="shared" si="370"/>
        <v>0</v>
      </c>
      <c r="AX351" s="90">
        <f t="shared" si="371"/>
        <v>0</v>
      </c>
      <c r="AY351" s="91" t="s">
        <v>643</v>
      </c>
      <c r="AZ351" s="91" t="s">
        <v>1537</v>
      </c>
      <c r="BA351" s="154" t="s">
        <v>1542</v>
      </c>
      <c r="BC351" s="90">
        <f t="shared" si="372"/>
        <v>0</v>
      </c>
      <c r="BD351" s="90">
        <f t="shared" si="373"/>
        <v>0</v>
      </c>
      <c r="BE351" s="90">
        <v>0</v>
      </c>
      <c r="BF351" s="90">
        <f t="shared" si="374"/>
        <v>0</v>
      </c>
      <c r="BH351" s="90">
        <f t="shared" si="375"/>
        <v>0</v>
      </c>
      <c r="BI351" s="90">
        <f t="shared" si="376"/>
        <v>0</v>
      </c>
      <c r="BJ351" s="90">
        <f t="shared" si="377"/>
        <v>0</v>
      </c>
    </row>
    <row r="352" spans="1:62" ht="12.75">
      <c r="A352" s="88" t="s">
        <v>803</v>
      </c>
      <c r="B352" s="88" t="s">
        <v>60</v>
      </c>
      <c r="C352" s="88" t="s">
        <v>1034</v>
      </c>
      <c r="D352" s="88" t="s">
        <v>1328</v>
      </c>
      <c r="E352" s="88" t="s">
        <v>606</v>
      </c>
      <c r="F352" s="90">
        <v>0</v>
      </c>
      <c r="G352" s="90">
        <f>'Stavební rozpočet (SO 13)'!G186</f>
        <v>0</v>
      </c>
      <c r="H352" s="90">
        <f t="shared" si="352"/>
        <v>0</v>
      </c>
      <c r="I352" s="90">
        <f t="shared" si="353"/>
        <v>0</v>
      </c>
      <c r="J352" s="90">
        <f t="shared" si="354"/>
        <v>0</v>
      </c>
      <c r="K352" s="90">
        <v>0</v>
      </c>
      <c r="L352" s="90">
        <f t="shared" si="355"/>
        <v>0</v>
      </c>
      <c r="M352" s="91" t="s">
        <v>622</v>
      </c>
      <c r="O352" s="90"/>
      <c r="P352" s="90"/>
      <c r="Z352" s="90">
        <f t="shared" si="356"/>
        <v>0</v>
      </c>
      <c r="AB352" s="90">
        <f t="shared" si="357"/>
        <v>0</v>
      </c>
      <c r="AC352" s="90">
        <f t="shared" si="358"/>
        <v>0</v>
      </c>
      <c r="AD352" s="90">
        <f t="shared" si="359"/>
        <v>0</v>
      </c>
      <c r="AE352" s="90">
        <f t="shared" si="360"/>
        <v>0</v>
      </c>
      <c r="AF352" s="90">
        <f t="shared" si="361"/>
        <v>0</v>
      </c>
      <c r="AG352" s="90">
        <f t="shared" si="362"/>
        <v>0</v>
      </c>
      <c r="AH352" s="90">
        <f t="shared" si="363"/>
        <v>0</v>
      </c>
      <c r="AI352" s="154" t="s">
        <v>60</v>
      </c>
      <c r="AJ352" s="90">
        <f t="shared" si="364"/>
        <v>0</v>
      </c>
      <c r="AK352" s="90">
        <f t="shared" si="365"/>
        <v>0</v>
      </c>
      <c r="AL352" s="90">
        <f t="shared" si="366"/>
        <v>0</v>
      </c>
      <c r="AN352" s="90">
        <v>21</v>
      </c>
      <c r="AO352" s="90">
        <f t="shared" si="367"/>
        <v>0</v>
      </c>
      <c r="AP352" s="90">
        <f t="shared" si="368"/>
        <v>0</v>
      </c>
      <c r="AQ352" s="91" t="s">
        <v>85</v>
      </c>
      <c r="AV352" s="90">
        <f t="shared" si="369"/>
        <v>0</v>
      </c>
      <c r="AW352" s="90">
        <f t="shared" si="370"/>
        <v>0</v>
      </c>
      <c r="AX352" s="90">
        <f t="shared" si="371"/>
        <v>0</v>
      </c>
      <c r="AY352" s="91" t="s">
        <v>643</v>
      </c>
      <c r="AZ352" s="91" t="s">
        <v>1537</v>
      </c>
      <c r="BA352" s="154" t="s">
        <v>1542</v>
      </c>
      <c r="BC352" s="90">
        <f t="shared" si="372"/>
        <v>0</v>
      </c>
      <c r="BD352" s="90">
        <f t="shared" si="373"/>
        <v>0</v>
      </c>
      <c r="BE352" s="90">
        <v>0</v>
      </c>
      <c r="BF352" s="90">
        <f t="shared" si="374"/>
        <v>0</v>
      </c>
      <c r="BH352" s="90">
        <f t="shared" si="375"/>
        <v>0</v>
      </c>
      <c r="BI352" s="90">
        <f t="shared" si="376"/>
        <v>0</v>
      </c>
      <c r="BJ352" s="90">
        <f t="shared" si="377"/>
        <v>0</v>
      </c>
    </row>
    <row r="353" spans="1:62" ht="12.75">
      <c r="A353" s="88" t="s">
        <v>804</v>
      </c>
      <c r="B353" s="88" t="s">
        <v>60</v>
      </c>
      <c r="C353" s="88" t="s">
        <v>1035</v>
      </c>
      <c r="D353" s="88" t="s">
        <v>1329</v>
      </c>
      <c r="E353" s="88" t="s">
        <v>609</v>
      </c>
      <c r="F353" s="90">
        <v>28.1</v>
      </c>
      <c r="G353" s="90">
        <f>'Stavební rozpočet (SO 13)'!G187</f>
        <v>0</v>
      </c>
      <c r="H353" s="90">
        <f t="shared" si="352"/>
        <v>0</v>
      </c>
      <c r="I353" s="90">
        <f t="shared" si="353"/>
        <v>0</v>
      </c>
      <c r="J353" s="90">
        <f t="shared" si="354"/>
        <v>0</v>
      </c>
      <c r="K353" s="90">
        <v>0</v>
      </c>
      <c r="L353" s="90">
        <f t="shared" si="355"/>
        <v>0</v>
      </c>
      <c r="M353" s="91" t="s">
        <v>622</v>
      </c>
      <c r="O353" s="90"/>
      <c r="P353" s="90"/>
      <c r="Z353" s="90">
        <f t="shared" si="356"/>
        <v>0</v>
      </c>
      <c r="AB353" s="90">
        <f t="shared" si="357"/>
        <v>0</v>
      </c>
      <c r="AC353" s="90">
        <f t="shared" si="358"/>
        <v>0</v>
      </c>
      <c r="AD353" s="90">
        <f t="shared" si="359"/>
        <v>0</v>
      </c>
      <c r="AE353" s="90">
        <f t="shared" si="360"/>
        <v>0</v>
      </c>
      <c r="AF353" s="90">
        <f t="shared" si="361"/>
        <v>0</v>
      </c>
      <c r="AG353" s="90">
        <f t="shared" si="362"/>
        <v>0</v>
      </c>
      <c r="AH353" s="90">
        <f t="shared" si="363"/>
        <v>0</v>
      </c>
      <c r="AI353" s="154" t="s">
        <v>60</v>
      </c>
      <c r="AJ353" s="90">
        <f t="shared" si="364"/>
        <v>0</v>
      </c>
      <c r="AK353" s="90">
        <f t="shared" si="365"/>
        <v>0</v>
      </c>
      <c r="AL353" s="90">
        <f t="shared" si="366"/>
        <v>0</v>
      </c>
      <c r="AN353" s="90">
        <v>21</v>
      </c>
      <c r="AO353" s="90">
        <f t="shared" si="367"/>
        <v>0</v>
      </c>
      <c r="AP353" s="90">
        <f t="shared" si="368"/>
        <v>0</v>
      </c>
      <c r="AQ353" s="91" t="s">
        <v>85</v>
      </c>
      <c r="AV353" s="90">
        <f t="shared" si="369"/>
        <v>0</v>
      </c>
      <c r="AW353" s="90">
        <f t="shared" si="370"/>
        <v>0</v>
      </c>
      <c r="AX353" s="90">
        <f t="shared" si="371"/>
        <v>0</v>
      </c>
      <c r="AY353" s="91" t="s">
        <v>643</v>
      </c>
      <c r="AZ353" s="91" t="s">
        <v>1537</v>
      </c>
      <c r="BA353" s="154" t="s">
        <v>1542</v>
      </c>
      <c r="BC353" s="90">
        <f t="shared" si="372"/>
        <v>0</v>
      </c>
      <c r="BD353" s="90">
        <f t="shared" si="373"/>
        <v>0</v>
      </c>
      <c r="BE353" s="90">
        <v>0</v>
      </c>
      <c r="BF353" s="90">
        <f t="shared" si="374"/>
        <v>0</v>
      </c>
      <c r="BH353" s="90">
        <f t="shared" si="375"/>
        <v>0</v>
      </c>
      <c r="BI353" s="90">
        <f t="shared" si="376"/>
        <v>0</v>
      </c>
      <c r="BJ353" s="90">
        <f t="shared" si="377"/>
        <v>0</v>
      </c>
    </row>
    <row r="354" spans="1:62" ht="12.75">
      <c r="A354" s="88" t="s">
        <v>805</v>
      </c>
      <c r="B354" s="88" t="s">
        <v>60</v>
      </c>
      <c r="C354" s="88" t="s">
        <v>1036</v>
      </c>
      <c r="D354" s="88" t="s">
        <v>1330</v>
      </c>
      <c r="E354" s="88" t="s">
        <v>606</v>
      </c>
      <c r="F354" s="90">
        <v>2</v>
      </c>
      <c r="G354" s="90">
        <f>'Stavební rozpočet (SO 13)'!G188</f>
        <v>0</v>
      </c>
      <c r="H354" s="90">
        <f t="shared" si="352"/>
        <v>0</v>
      </c>
      <c r="I354" s="90">
        <f t="shared" si="353"/>
        <v>0</v>
      </c>
      <c r="J354" s="90">
        <f t="shared" si="354"/>
        <v>0</v>
      </c>
      <c r="K354" s="90">
        <v>0</v>
      </c>
      <c r="L354" s="90">
        <f t="shared" si="355"/>
        <v>0</v>
      </c>
      <c r="M354" s="91" t="s">
        <v>622</v>
      </c>
      <c r="O354" s="90"/>
      <c r="P354" s="90"/>
      <c r="Z354" s="90">
        <f t="shared" si="356"/>
        <v>0</v>
      </c>
      <c r="AB354" s="90">
        <f t="shared" si="357"/>
        <v>0</v>
      </c>
      <c r="AC354" s="90">
        <f t="shared" si="358"/>
        <v>0</v>
      </c>
      <c r="AD354" s="90">
        <f t="shared" si="359"/>
        <v>0</v>
      </c>
      <c r="AE354" s="90">
        <f t="shared" si="360"/>
        <v>0</v>
      </c>
      <c r="AF354" s="90">
        <f t="shared" si="361"/>
        <v>0</v>
      </c>
      <c r="AG354" s="90">
        <f t="shared" si="362"/>
        <v>0</v>
      </c>
      <c r="AH354" s="90">
        <f t="shared" si="363"/>
        <v>0</v>
      </c>
      <c r="AI354" s="154" t="s">
        <v>60</v>
      </c>
      <c r="AJ354" s="90">
        <f t="shared" si="364"/>
        <v>0</v>
      </c>
      <c r="AK354" s="90">
        <f t="shared" si="365"/>
        <v>0</v>
      </c>
      <c r="AL354" s="90">
        <f t="shared" si="366"/>
        <v>0</v>
      </c>
      <c r="AN354" s="90">
        <v>21</v>
      </c>
      <c r="AO354" s="90">
        <f t="shared" si="367"/>
        <v>0</v>
      </c>
      <c r="AP354" s="90">
        <f t="shared" si="368"/>
        <v>0</v>
      </c>
      <c r="AQ354" s="91" t="s">
        <v>85</v>
      </c>
      <c r="AV354" s="90">
        <f t="shared" si="369"/>
        <v>0</v>
      </c>
      <c r="AW354" s="90">
        <f t="shared" si="370"/>
        <v>0</v>
      </c>
      <c r="AX354" s="90">
        <f t="shared" si="371"/>
        <v>0</v>
      </c>
      <c r="AY354" s="91" t="s">
        <v>643</v>
      </c>
      <c r="AZ354" s="91" t="s">
        <v>1537</v>
      </c>
      <c r="BA354" s="154" t="s">
        <v>1542</v>
      </c>
      <c r="BC354" s="90">
        <f t="shared" si="372"/>
        <v>0</v>
      </c>
      <c r="BD354" s="90">
        <f t="shared" si="373"/>
        <v>0</v>
      </c>
      <c r="BE354" s="90">
        <v>0</v>
      </c>
      <c r="BF354" s="90">
        <f t="shared" si="374"/>
        <v>0</v>
      </c>
      <c r="BH354" s="90">
        <f t="shared" si="375"/>
        <v>0</v>
      </c>
      <c r="BI354" s="90">
        <f t="shared" si="376"/>
        <v>0</v>
      </c>
      <c r="BJ354" s="90">
        <f t="shared" si="377"/>
        <v>0</v>
      </c>
    </row>
    <row r="355" spans="1:62" ht="12.75">
      <c r="A355" s="88" t="s">
        <v>806</v>
      </c>
      <c r="B355" s="88" t="s">
        <v>60</v>
      </c>
      <c r="C355" s="88" t="s">
        <v>1037</v>
      </c>
      <c r="D355" s="88" t="s">
        <v>497</v>
      </c>
      <c r="E355" s="88" t="s">
        <v>611</v>
      </c>
      <c r="F355" s="90">
        <v>20</v>
      </c>
      <c r="G355" s="90">
        <f>'Stavební rozpočet (SO 13)'!G189</f>
        <v>0</v>
      </c>
      <c r="H355" s="90">
        <f t="shared" si="352"/>
        <v>0</v>
      </c>
      <c r="I355" s="90">
        <f t="shared" si="353"/>
        <v>0</v>
      </c>
      <c r="J355" s="90">
        <f t="shared" si="354"/>
        <v>0</v>
      </c>
      <c r="K355" s="90">
        <v>0</v>
      </c>
      <c r="L355" s="90">
        <f t="shared" si="355"/>
        <v>0</v>
      </c>
      <c r="M355" s="91" t="s">
        <v>622</v>
      </c>
      <c r="O355" s="90"/>
      <c r="P355" s="90"/>
      <c r="Z355" s="90">
        <f t="shared" si="356"/>
        <v>0</v>
      </c>
      <c r="AB355" s="90">
        <f t="shared" si="357"/>
        <v>0</v>
      </c>
      <c r="AC355" s="90">
        <f t="shared" si="358"/>
        <v>0</v>
      </c>
      <c r="AD355" s="90">
        <f t="shared" si="359"/>
        <v>0</v>
      </c>
      <c r="AE355" s="90">
        <f t="shared" si="360"/>
        <v>0</v>
      </c>
      <c r="AF355" s="90">
        <f t="shared" si="361"/>
        <v>0</v>
      </c>
      <c r="AG355" s="90">
        <f t="shared" si="362"/>
        <v>0</v>
      </c>
      <c r="AH355" s="90">
        <f t="shared" si="363"/>
        <v>0</v>
      </c>
      <c r="AI355" s="154" t="s">
        <v>60</v>
      </c>
      <c r="AJ355" s="90">
        <f t="shared" si="364"/>
        <v>0</v>
      </c>
      <c r="AK355" s="90">
        <f t="shared" si="365"/>
        <v>0</v>
      </c>
      <c r="AL355" s="90">
        <f t="shared" si="366"/>
        <v>0</v>
      </c>
      <c r="AN355" s="90">
        <v>21</v>
      </c>
      <c r="AO355" s="90">
        <f t="shared" si="367"/>
        <v>0</v>
      </c>
      <c r="AP355" s="90">
        <f t="shared" si="368"/>
        <v>0</v>
      </c>
      <c r="AQ355" s="91" t="s">
        <v>85</v>
      </c>
      <c r="AV355" s="90">
        <f t="shared" si="369"/>
        <v>0</v>
      </c>
      <c r="AW355" s="90">
        <f t="shared" si="370"/>
        <v>0</v>
      </c>
      <c r="AX355" s="90">
        <f t="shared" si="371"/>
        <v>0</v>
      </c>
      <c r="AY355" s="91" t="s">
        <v>643</v>
      </c>
      <c r="AZ355" s="91" t="s">
        <v>1537</v>
      </c>
      <c r="BA355" s="154" t="s">
        <v>1542</v>
      </c>
      <c r="BC355" s="90">
        <f t="shared" si="372"/>
        <v>0</v>
      </c>
      <c r="BD355" s="90">
        <f t="shared" si="373"/>
        <v>0</v>
      </c>
      <c r="BE355" s="90">
        <v>0</v>
      </c>
      <c r="BF355" s="90">
        <f t="shared" si="374"/>
        <v>0</v>
      </c>
      <c r="BH355" s="90">
        <f t="shared" si="375"/>
        <v>0</v>
      </c>
      <c r="BI355" s="90">
        <f t="shared" si="376"/>
        <v>0</v>
      </c>
      <c r="BJ355" s="90">
        <f t="shared" si="377"/>
        <v>0</v>
      </c>
    </row>
    <row r="356" spans="1:62" ht="12.75">
      <c r="A356" s="88" t="s">
        <v>807</v>
      </c>
      <c r="B356" s="88" t="s">
        <v>60</v>
      </c>
      <c r="C356" s="88" t="s">
        <v>1038</v>
      </c>
      <c r="D356" s="88" t="s">
        <v>498</v>
      </c>
      <c r="E356" s="88" t="s">
        <v>606</v>
      </c>
      <c r="F356" s="90">
        <v>2</v>
      </c>
      <c r="G356" s="90">
        <f>'Stavební rozpočet (SO 13)'!G190</f>
        <v>0</v>
      </c>
      <c r="H356" s="90">
        <f t="shared" si="352"/>
        <v>0</v>
      </c>
      <c r="I356" s="90">
        <f t="shared" si="353"/>
        <v>0</v>
      </c>
      <c r="J356" s="90">
        <f t="shared" si="354"/>
        <v>0</v>
      </c>
      <c r="K356" s="90">
        <v>0</v>
      </c>
      <c r="L356" s="90">
        <f t="shared" si="355"/>
        <v>0</v>
      </c>
      <c r="M356" s="91" t="s">
        <v>622</v>
      </c>
      <c r="O356" s="90"/>
      <c r="P356" s="90"/>
      <c r="Z356" s="90">
        <f t="shared" si="356"/>
        <v>0</v>
      </c>
      <c r="AB356" s="90">
        <f t="shared" si="357"/>
        <v>0</v>
      </c>
      <c r="AC356" s="90">
        <f t="shared" si="358"/>
        <v>0</v>
      </c>
      <c r="AD356" s="90">
        <f t="shared" si="359"/>
        <v>0</v>
      </c>
      <c r="AE356" s="90">
        <f t="shared" si="360"/>
        <v>0</v>
      </c>
      <c r="AF356" s="90">
        <f t="shared" si="361"/>
        <v>0</v>
      </c>
      <c r="AG356" s="90">
        <f t="shared" si="362"/>
        <v>0</v>
      </c>
      <c r="AH356" s="90">
        <f t="shared" si="363"/>
        <v>0</v>
      </c>
      <c r="AI356" s="154" t="s">
        <v>60</v>
      </c>
      <c r="AJ356" s="90">
        <f t="shared" si="364"/>
        <v>0</v>
      </c>
      <c r="AK356" s="90">
        <f t="shared" si="365"/>
        <v>0</v>
      </c>
      <c r="AL356" s="90">
        <f t="shared" si="366"/>
        <v>0</v>
      </c>
      <c r="AN356" s="90">
        <v>21</v>
      </c>
      <c r="AO356" s="90">
        <f t="shared" si="367"/>
        <v>0</v>
      </c>
      <c r="AP356" s="90">
        <f t="shared" si="368"/>
        <v>0</v>
      </c>
      <c r="AQ356" s="91" t="s">
        <v>85</v>
      </c>
      <c r="AV356" s="90">
        <f t="shared" si="369"/>
        <v>0</v>
      </c>
      <c r="AW356" s="90">
        <f t="shared" si="370"/>
        <v>0</v>
      </c>
      <c r="AX356" s="90">
        <f t="shared" si="371"/>
        <v>0</v>
      </c>
      <c r="AY356" s="91" t="s">
        <v>643</v>
      </c>
      <c r="AZ356" s="91" t="s">
        <v>1537</v>
      </c>
      <c r="BA356" s="154" t="s">
        <v>1542</v>
      </c>
      <c r="BC356" s="90">
        <f t="shared" si="372"/>
        <v>0</v>
      </c>
      <c r="BD356" s="90">
        <f t="shared" si="373"/>
        <v>0</v>
      </c>
      <c r="BE356" s="90">
        <v>0</v>
      </c>
      <c r="BF356" s="90">
        <f t="shared" si="374"/>
        <v>0</v>
      </c>
      <c r="BH356" s="90">
        <f t="shared" si="375"/>
        <v>0</v>
      </c>
      <c r="BI356" s="90">
        <f t="shared" si="376"/>
        <v>0</v>
      </c>
      <c r="BJ356" s="90">
        <f t="shared" si="377"/>
        <v>0</v>
      </c>
    </row>
    <row r="357" spans="1:62" ht="12.75">
      <c r="A357" s="88" t="s">
        <v>808</v>
      </c>
      <c r="B357" s="88" t="s">
        <v>60</v>
      </c>
      <c r="C357" s="88" t="s">
        <v>1039</v>
      </c>
      <c r="D357" s="88" t="s">
        <v>499</v>
      </c>
      <c r="E357" s="88" t="s">
        <v>606</v>
      </c>
      <c r="F357" s="90">
        <v>2</v>
      </c>
      <c r="G357" s="90">
        <f>'Stavební rozpočet (SO 13)'!G191</f>
        <v>0</v>
      </c>
      <c r="H357" s="90">
        <f t="shared" si="352"/>
        <v>0</v>
      </c>
      <c r="I357" s="90">
        <f t="shared" si="353"/>
        <v>0</v>
      </c>
      <c r="J357" s="90">
        <f t="shared" si="354"/>
        <v>0</v>
      </c>
      <c r="K357" s="90">
        <v>0</v>
      </c>
      <c r="L357" s="90">
        <f t="shared" si="355"/>
        <v>0</v>
      </c>
      <c r="M357" s="91" t="s">
        <v>622</v>
      </c>
      <c r="O357" s="90"/>
      <c r="P357" s="90"/>
      <c r="Z357" s="90">
        <f t="shared" si="356"/>
        <v>0</v>
      </c>
      <c r="AB357" s="90">
        <f t="shared" si="357"/>
        <v>0</v>
      </c>
      <c r="AC357" s="90">
        <f t="shared" si="358"/>
        <v>0</v>
      </c>
      <c r="AD357" s="90">
        <f t="shared" si="359"/>
        <v>0</v>
      </c>
      <c r="AE357" s="90">
        <f t="shared" si="360"/>
        <v>0</v>
      </c>
      <c r="AF357" s="90">
        <f t="shared" si="361"/>
        <v>0</v>
      </c>
      <c r="AG357" s="90">
        <f t="shared" si="362"/>
        <v>0</v>
      </c>
      <c r="AH357" s="90">
        <f t="shared" si="363"/>
        <v>0</v>
      </c>
      <c r="AI357" s="154" t="s">
        <v>60</v>
      </c>
      <c r="AJ357" s="90">
        <f t="shared" si="364"/>
        <v>0</v>
      </c>
      <c r="AK357" s="90">
        <f t="shared" si="365"/>
        <v>0</v>
      </c>
      <c r="AL357" s="90">
        <f t="shared" si="366"/>
        <v>0</v>
      </c>
      <c r="AN357" s="90">
        <v>21</v>
      </c>
      <c r="AO357" s="90">
        <f t="shared" si="367"/>
        <v>0</v>
      </c>
      <c r="AP357" s="90">
        <f t="shared" si="368"/>
        <v>0</v>
      </c>
      <c r="AQ357" s="91" t="s">
        <v>85</v>
      </c>
      <c r="AV357" s="90">
        <f t="shared" si="369"/>
        <v>0</v>
      </c>
      <c r="AW357" s="90">
        <f t="shared" si="370"/>
        <v>0</v>
      </c>
      <c r="AX357" s="90">
        <f t="shared" si="371"/>
        <v>0</v>
      </c>
      <c r="AY357" s="91" t="s">
        <v>643</v>
      </c>
      <c r="AZ357" s="91" t="s">
        <v>1537</v>
      </c>
      <c r="BA357" s="154" t="s">
        <v>1542</v>
      </c>
      <c r="BC357" s="90">
        <f t="shared" si="372"/>
        <v>0</v>
      </c>
      <c r="BD357" s="90">
        <f t="shared" si="373"/>
        <v>0</v>
      </c>
      <c r="BE357" s="90">
        <v>0</v>
      </c>
      <c r="BF357" s="90">
        <f t="shared" si="374"/>
        <v>0</v>
      </c>
      <c r="BH357" s="90">
        <f t="shared" si="375"/>
        <v>0</v>
      </c>
      <c r="BI357" s="90">
        <f t="shared" si="376"/>
        <v>0</v>
      </c>
      <c r="BJ357" s="90">
        <f t="shared" si="377"/>
        <v>0</v>
      </c>
    </row>
    <row r="358" spans="1:62" ht="12.75">
      <c r="A358" s="88" t="s">
        <v>809</v>
      </c>
      <c r="B358" s="88" t="s">
        <v>60</v>
      </c>
      <c r="C358" s="88" t="s">
        <v>1040</v>
      </c>
      <c r="D358" s="88" t="s">
        <v>541</v>
      </c>
      <c r="E358" s="88" t="s">
        <v>606</v>
      </c>
      <c r="F358" s="90">
        <v>1</v>
      </c>
      <c r="G358" s="90">
        <f>'Stavební rozpočet (SO 13)'!G192</f>
        <v>0</v>
      </c>
      <c r="H358" s="90">
        <f t="shared" si="352"/>
        <v>0</v>
      </c>
      <c r="I358" s="90">
        <f t="shared" si="353"/>
        <v>0</v>
      </c>
      <c r="J358" s="90">
        <f t="shared" si="354"/>
        <v>0</v>
      </c>
      <c r="K358" s="90">
        <v>0</v>
      </c>
      <c r="L358" s="90">
        <f t="shared" si="355"/>
        <v>0</v>
      </c>
      <c r="M358" s="91" t="s">
        <v>622</v>
      </c>
      <c r="O358" s="90"/>
      <c r="P358" s="90"/>
      <c r="Z358" s="90">
        <f t="shared" si="356"/>
        <v>0</v>
      </c>
      <c r="AB358" s="90">
        <f t="shared" si="357"/>
        <v>0</v>
      </c>
      <c r="AC358" s="90">
        <f t="shared" si="358"/>
        <v>0</v>
      </c>
      <c r="AD358" s="90">
        <f t="shared" si="359"/>
        <v>0</v>
      </c>
      <c r="AE358" s="90">
        <f t="shared" si="360"/>
        <v>0</v>
      </c>
      <c r="AF358" s="90">
        <f t="shared" si="361"/>
        <v>0</v>
      </c>
      <c r="AG358" s="90">
        <f t="shared" si="362"/>
        <v>0</v>
      </c>
      <c r="AH358" s="90">
        <f t="shared" si="363"/>
        <v>0</v>
      </c>
      <c r="AI358" s="154" t="s">
        <v>60</v>
      </c>
      <c r="AJ358" s="90">
        <f t="shared" si="364"/>
        <v>0</v>
      </c>
      <c r="AK358" s="90">
        <f t="shared" si="365"/>
        <v>0</v>
      </c>
      <c r="AL358" s="90">
        <f t="shared" si="366"/>
        <v>0</v>
      </c>
      <c r="AN358" s="90">
        <v>21</v>
      </c>
      <c r="AO358" s="90">
        <f t="shared" si="367"/>
        <v>0</v>
      </c>
      <c r="AP358" s="90">
        <f t="shared" si="368"/>
        <v>0</v>
      </c>
      <c r="AQ358" s="91" t="s">
        <v>85</v>
      </c>
      <c r="AV358" s="90">
        <f t="shared" si="369"/>
        <v>0</v>
      </c>
      <c r="AW358" s="90">
        <f t="shared" si="370"/>
        <v>0</v>
      </c>
      <c r="AX358" s="90">
        <f t="shared" si="371"/>
        <v>0</v>
      </c>
      <c r="AY358" s="91" t="s">
        <v>643</v>
      </c>
      <c r="AZ358" s="91" t="s">
        <v>1537</v>
      </c>
      <c r="BA358" s="154" t="s">
        <v>1542</v>
      </c>
      <c r="BC358" s="90">
        <f t="shared" si="372"/>
        <v>0</v>
      </c>
      <c r="BD358" s="90">
        <f t="shared" si="373"/>
        <v>0</v>
      </c>
      <c r="BE358" s="90">
        <v>0</v>
      </c>
      <c r="BF358" s="90">
        <f t="shared" si="374"/>
        <v>0</v>
      </c>
      <c r="BH358" s="90">
        <f t="shared" si="375"/>
        <v>0</v>
      </c>
      <c r="BI358" s="90">
        <f t="shared" si="376"/>
        <v>0</v>
      </c>
      <c r="BJ358" s="90">
        <f t="shared" si="377"/>
        <v>0</v>
      </c>
    </row>
    <row r="359" spans="1:62" ht="12.75">
      <c r="A359" s="88" t="s">
        <v>810</v>
      </c>
      <c r="B359" s="88" t="s">
        <v>60</v>
      </c>
      <c r="C359" s="88" t="s">
        <v>1041</v>
      </c>
      <c r="D359" s="88" t="s">
        <v>1331</v>
      </c>
      <c r="E359" s="88" t="s">
        <v>609</v>
      </c>
      <c r="F359" s="90">
        <v>91.6</v>
      </c>
      <c r="G359" s="90">
        <f>'Stavební rozpočet (SO 13)'!G193</f>
        <v>0</v>
      </c>
      <c r="H359" s="90">
        <f t="shared" si="352"/>
        <v>0</v>
      </c>
      <c r="I359" s="90">
        <f t="shared" si="353"/>
        <v>0</v>
      </c>
      <c r="J359" s="90">
        <f t="shared" si="354"/>
        <v>0</v>
      </c>
      <c r="K359" s="90">
        <v>0</v>
      </c>
      <c r="L359" s="90">
        <f t="shared" si="355"/>
        <v>0</v>
      </c>
      <c r="M359" s="91" t="s">
        <v>622</v>
      </c>
      <c r="O359" s="90"/>
      <c r="P359" s="90"/>
      <c r="Z359" s="90">
        <f t="shared" si="356"/>
        <v>0</v>
      </c>
      <c r="AB359" s="90">
        <f t="shared" si="357"/>
        <v>0</v>
      </c>
      <c r="AC359" s="90">
        <f t="shared" si="358"/>
        <v>0</v>
      </c>
      <c r="AD359" s="90">
        <f t="shared" si="359"/>
        <v>0</v>
      </c>
      <c r="AE359" s="90">
        <f t="shared" si="360"/>
        <v>0</v>
      </c>
      <c r="AF359" s="90">
        <f t="shared" si="361"/>
        <v>0</v>
      </c>
      <c r="AG359" s="90">
        <f t="shared" si="362"/>
        <v>0</v>
      </c>
      <c r="AH359" s="90">
        <f t="shared" si="363"/>
        <v>0</v>
      </c>
      <c r="AI359" s="154" t="s">
        <v>60</v>
      </c>
      <c r="AJ359" s="90">
        <f t="shared" si="364"/>
        <v>0</v>
      </c>
      <c r="AK359" s="90">
        <f t="shared" si="365"/>
        <v>0</v>
      </c>
      <c r="AL359" s="90">
        <f t="shared" si="366"/>
        <v>0</v>
      </c>
      <c r="AN359" s="90">
        <v>21</v>
      </c>
      <c r="AO359" s="90">
        <f t="shared" si="367"/>
        <v>0</v>
      </c>
      <c r="AP359" s="90">
        <f t="shared" si="368"/>
        <v>0</v>
      </c>
      <c r="AQ359" s="91" t="s">
        <v>85</v>
      </c>
      <c r="AV359" s="90">
        <f t="shared" si="369"/>
        <v>0</v>
      </c>
      <c r="AW359" s="90">
        <f t="shared" si="370"/>
        <v>0</v>
      </c>
      <c r="AX359" s="90">
        <f t="shared" si="371"/>
        <v>0</v>
      </c>
      <c r="AY359" s="91" t="s">
        <v>643</v>
      </c>
      <c r="AZ359" s="91" t="s">
        <v>1537</v>
      </c>
      <c r="BA359" s="154" t="s">
        <v>1542</v>
      </c>
      <c r="BC359" s="90">
        <f t="shared" si="372"/>
        <v>0</v>
      </c>
      <c r="BD359" s="90">
        <f t="shared" si="373"/>
        <v>0</v>
      </c>
      <c r="BE359" s="90">
        <v>0</v>
      </c>
      <c r="BF359" s="90">
        <f t="shared" si="374"/>
        <v>0</v>
      </c>
      <c r="BH359" s="90">
        <f t="shared" si="375"/>
        <v>0</v>
      </c>
      <c r="BI359" s="90">
        <f t="shared" si="376"/>
        <v>0</v>
      </c>
      <c r="BJ359" s="90">
        <f t="shared" si="377"/>
        <v>0</v>
      </c>
    </row>
    <row r="360" spans="1:62" ht="12.75">
      <c r="A360" s="88" t="s">
        <v>811</v>
      </c>
      <c r="B360" s="88" t="s">
        <v>60</v>
      </c>
      <c r="C360" s="88" t="s">
        <v>1042</v>
      </c>
      <c r="D360" s="88" t="s">
        <v>1332</v>
      </c>
      <c r="E360" s="88" t="s">
        <v>609</v>
      </c>
      <c r="F360" s="90">
        <v>91.6</v>
      </c>
      <c r="G360" s="90">
        <f>'Stavební rozpočet (SO 13)'!G194</f>
        <v>0</v>
      </c>
      <c r="H360" s="90">
        <f t="shared" si="352"/>
        <v>0</v>
      </c>
      <c r="I360" s="90">
        <f t="shared" si="353"/>
        <v>0</v>
      </c>
      <c r="J360" s="90">
        <f t="shared" si="354"/>
        <v>0</v>
      </c>
      <c r="K360" s="90">
        <v>0</v>
      </c>
      <c r="L360" s="90">
        <f t="shared" si="355"/>
        <v>0</v>
      </c>
      <c r="M360" s="91" t="s">
        <v>622</v>
      </c>
      <c r="O360" s="90"/>
      <c r="P360" s="90"/>
      <c r="Z360" s="90">
        <f t="shared" si="356"/>
        <v>0</v>
      </c>
      <c r="AB360" s="90">
        <f t="shared" si="357"/>
        <v>0</v>
      </c>
      <c r="AC360" s="90">
        <f t="shared" si="358"/>
        <v>0</v>
      </c>
      <c r="AD360" s="90">
        <f t="shared" si="359"/>
        <v>0</v>
      </c>
      <c r="AE360" s="90">
        <f t="shared" si="360"/>
        <v>0</v>
      </c>
      <c r="AF360" s="90">
        <f t="shared" si="361"/>
        <v>0</v>
      </c>
      <c r="AG360" s="90">
        <f t="shared" si="362"/>
        <v>0</v>
      </c>
      <c r="AH360" s="90">
        <f t="shared" si="363"/>
        <v>0</v>
      </c>
      <c r="AI360" s="154" t="s">
        <v>60</v>
      </c>
      <c r="AJ360" s="90">
        <f t="shared" si="364"/>
        <v>0</v>
      </c>
      <c r="AK360" s="90">
        <f t="shared" si="365"/>
        <v>0</v>
      </c>
      <c r="AL360" s="90">
        <f t="shared" si="366"/>
        <v>0</v>
      </c>
      <c r="AN360" s="90">
        <v>21</v>
      </c>
      <c r="AO360" s="90">
        <f t="shared" si="367"/>
        <v>0</v>
      </c>
      <c r="AP360" s="90">
        <f t="shared" si="368"/>
        <v>0</v>
      </c>
      <c r="AQ360" s="91" t="s">
        <v>85</v>
      </c>
      <c r="AV360" s="90">
        <f t="shared" si="369"/>
        <v>0</v>
      </c>
      <c r="AW360" s="90">
        <f t="shared" si="370"/>
        <v>0</v>
      </c>
      <c r="AX360" s="90">
        <f t="shared" si="371"/>
        <v>0</v>
      </c>
      <c r="AY360" s="91" t="s">
        <v>643</v>
      </c>
      <c r="AZ360" s="91" t="s">
        <v>1537</v>
      </c>
      <c r="BA360" s="154" t="s">
        <v>1542</v>
      </c>
      <c r="BC360" s="90">
        <f t="shared" si="372"/>
        <v>0</v>
      </c>
      <c r="BD360" s="90">
        <f t="shared" si="373"/>
        <v>0</v>
      </c>
      <c r="BE360" s="90">
        <v>0</v>
      </c>
      <c r="BF360" s="90">
        <f t="shared" si="374"/>
        <v>0</v>
      </c>
      <c r="BH360" s="90">
        <f t="shared" si="375"/>
        <v>0</v>
      </c>
      <c r="BI360" s="90">
        <f t="shared" si="376"/>
        <v>0</v>
      </c>
      <c r="BJ360" s="90">
        <f t="shared" si="377"/>
        <v>0</v>
      </c>
    </row>
    <row r="361" spans="1:62" ht="12.75">
      <c r="A361" s="88" t="s">
        <v>812</v>
      </c>
      <c r="B361" s="88" t="s">
        <v>60</v>
      </c>
      <c r="C361" s="88" t="s">
        <v>1043</v>
      </c>
      <c r="D361" s="88" t="s">
        <v>1333</v>
      </c>
      <c r="E361" s="88" t="s">
        <v>609</v>
      </c>
      <c r="F361" s="90">
        <v>91.6</v>
      </c>
      <c r="G361" s="90">
        <f>'Stavební rozpočet (SO 13)'!G195</f>
        <v>0</v>
      </c>
      <c r="H361" s="90">
        <f t="shared" si="352"/>
        <v>0</v>
      </c>
      <c r="I361" s="90">
        <f t="shared" si="353"/>
        <v>0</v>
      </c>
      <c r="J361" s="90">
        <f t="shared" si="354"/>
        <v>0</v>
      </c>
      <c r="K361" s="90">
        <v>0</v>
      </c>
      <c r="L361" s="90">
        <f t="shared" si="355"/>
        <v>0</v>
      </c>
      <c r="M361" s="91" t="s">
        <v>622</v>
      </c>
      <c r="O361" s="90"/>
      <c r="P361" s="90"/>
      <c r="Z361" s="90">
        <f t="shared" si="356"/>
        <v>0</v>
      </c>
      <c r="AB361" s="90">
        <f t="shared" si="357"/>
        <v>0</v>
      </c>
      <c r="AC361" s="90">
        <f t="shared" si="358"/>
        <v>0</v>
      </c>
      <c r="AD361" s="90">
        <f t="shared" si="359"/>
        <v>0</v>
      </c>
      <c r="AE361" s="90">
        <f t="shared" si="360"/>
        <v>0</v>
      </c>
      <c r="AF361" s="90">
        <f t="shared" si="361"/>
        <v>0</v>
      </c>
      <c r="AG361" s="90">
        <f t="shared" si="362"/>
        <v>0</v>
      </c>
      <c r="AH361" s="90">
        <f t="shared" si="363"/>
        <v>0</v>
      </c>
      <c r="AI361" s="154" t="s">
        <v>60</v>
      </c>
      <c r="AJ361" s="90">
        <f t="shared" si="364"/>
        <v>0</v>
      </c>
      <c r="AK361" s="90">
        <f t="shared" si="365"/>
        <v>0</v>
      </c>
      <c r="AL361" s="90">
        <f t="shared" si="366"/>
        <v>0</v>
      </c>
      <c r="AN361" s="90">
        <v>21</v>
      </c>
      <c r="AO361" s="90">
        <f t="shared" si="367"/>
        <v>0</v>
      </c>
      <c r="AP361" s="90">
        <f t="shared" si="368"/>
        <v>0</v>
      </c>
      <c r="AQ361" s="91" t="s">
        <v>85</v>
      </c>
      <c r="AV361" s="90">
        <f t="shared" si="369"/>
        <v>0</v>
      </c>
      <c r="AW361" s="90">
        <f t="shared" si="370"/>
        <v>0</v>
      </c>
      <c r="AX361" s="90">
        <f t="shared" si="371"/>
        <v>0</v>
      </c>
      <c r="AY361" s="91" t="s">
        <v>643</v>
      </c>
      <c r="AZ361" s="91" t="s">
        <v>1537</v>
      </c>
      <c r="BA361" s="154" t="s">
        <v>1542</v>
      </c>
      <c r="BC361" s="90">
        <f t="shared" si="372"/>
        <v>0</v>
      </c>
      <c r="BD361" s="90">
        <f t="shared" si="373"/>
        <v>0</v>
      </c>
      <c r="BE361" s="90">
        <v>0</v>
      </c>
      <c r="BF361" s="90">
        <f t="shared" si="374"/>
        <v>0</v>
      </c>
      <c r="BH361" s="90">
        <f t="shared" si="375"/>
        <v>0</v>
      </c>
      <c r="BI361" s="90">
        <f t="shared" si="376"/>
        <v>0</v>
      </c>
      <c r="BJ361" s="90">
        <f t="shared" si="377"/>
        <v>0</v>
      </c>
    </row>
    <row r="362" spans="1:62" ht="12.75">
      <c r="A362" s="88" t="s">
        <v>813</v>
      </c>
      <c r="B362" s="88" t="s">
        <v>60</v>
      </c>
      <c r="C362" s="88" t="s">
        <v>1044</v>
      </c>
      <c r="D362" s="88" t="s">
        <v>489</v>
      </c>
      <c r="E362" s="88" t="s">
        <v>606</v>
      </c>
      <c r="F362" s="90">
        <v>1</v>
      </c>
      <c r="G362" s="90">
        <f>'Stavební rozpočet (SO 13)'!G196</f>
        <v>0</v>
      </c>
      <c r="H362" s="90">
        <f t="shared" si="352"/>
        <v>0</v>
      </c>
      <c r="I362" s="90">
        <f t="shared" si="353"/>
        <v>0</v>
      </c>
      <c r="J362" s="90">
        <f t="shared" si="354"/>
        <v>0</v>
      </c>
      <c r="K362" s="90">
        <v>0</v>
      </c>
      <c r="L362" s="90">
        <f t="shared" si="355"/>
        <v>0</v>
      </c>
      <c r="M362" s="91" t="s">
        <v>622</v>
      </c>
      <c r="O362" s="90"/>
      <c r="P362" s="90"/>
      <c r="Z362" s="90">
        <f t="shared" si="356"/>
        <v>0</v>
      </c>
      <c r="AB362" s="90">
        <f t="shared" si="357"/>
        <v>0</v>
      </c>
      <c r="AC362" s="90">
        <f t="shared" si="358"/>
        <v>0</v>
      </c>
      <c r="AD362" s="90">
        <f t="shared" si="359"/>
        <v>0</v>
      </c>
      <c r="AE362" s="90">
        <f t="shared" si="360"/>
        <v>0</v>
      </c>
      <c r="AF362" s="90">
        <f t="shared" si="361"/>
        <v>0</v>
      </c>
      <c r="AG362" s="90">
        <f t="shared" si="362"/>
        <v>0</v>
      </c>
      <c r="AH362" s="90">
        <f t="shared" si="363"/>
        <v>0</v>
      </c>
      <c r="AI362" s="154" t="s">
        <v>60</v>
      </c>
      <c r="AJ362" s="90">
        <f t="shared" si="364"/>
        <v>0</v>
      </c>
      <c r="AK362" s="90">
        <f t="shared" si="365"/>
        <v>0</v>
      </c>
      <c r="AL362" s="90">
        <f t="shared" si="366"/>
        <v>0</v>
      </c>
      <c r="AN362" s="90">
        <v>21</v>
      </c>
      <c r="AO362" s="90">
        <f t="shared" si="367"/>
        <v>0</v>
      </c>
      <c r="AP362" s="90">
        <f t="shared" si="368"/>
        <v>0</v>
      </c>
      <c r="AQ362" s="91" t="s">
        <v>85</v>
      </c>
      <c r="AV362" s="90">
        <f t="shared" si="369"/>
        <v>0</v>
      </c>
      <c r="AW362" s="90">
        <f t="shared" si="370"/>
        <v>0</v>
      </c>
      <c r="AX362" s="90">
        <f t="shared" si="371"/>
        <v>0</v>
      </c>
      <c r="AY362" s="91" t="s">
        <v>643</v>
      </c>
      <c r="AZ362" s="91" t="s">
        <v>1537</v>
      </c>
      <c r="BA362" s="154" t="s">
        <v>1542</v>
      </c>
      <c r="BC362" s="90">
        <f t="shared" si="372"/>
        <v>0</v>
      </c>
      <c r="BD362" s="90">
        <f t="shared" si="373"/>
        <v>0</v>
      </c>
      <c r="BE362" s="90">
        <v>0</v>
      </c>
      <c r="BF362" s="90">
        <f t="shared" si="374"/>
        <v>0</v>
      </c>
      <c r="BH362" s="90">
        <f t="shared" si="375"/>
        <v>0</v>
      </c>
      <c r="BI362" s="90">
        <f t="shared" si="376"/>
        <v>0</v>
      </c>
      <c r="BJ362" s="90">
        <f t="shared" si="377"/>
        <v>0</v>
      </c>
    </row>
    <row r="363" spans="1:62" ht="12.75">
      <c r="A363" s="88" t="s">
        <v>814</v>
      </c>
      <c r="B363" s="88" t="s">
        <v>60</v>
      </c>
      <c r="C363" s="88" t="s">
        <v>1045</v>
      </c>
      <c r="D363" s="88" t="s">
        <v>490</v>
      </c>
      <c r="E363" s="88" t="s">
        <v>606</v>
      </c>
      <c r="F363" s="90">
        <v>1</v>
      </c>
      <c r="G363" s="90">
        <f>'Stavební rozpočet (SO 13)'!G197</f>
        <v>0</v>
      </c>
      <c r="H363" s="90">
        <f t="shared" si="352"/>
        <v>0</v>
      </c>
      <c r="I363" s="90">
        <f t="shared" si="353"/>
        <v>0</v>
      </c>
      <c r="J363" s="90">
        <f t="shared" si="354"/>
        <v>0</v>
      </c>
      <c r="K363" s="90">
        <v>0</v>
      </c>
      <c r="L363" s="90">
        <f t="shared" si="355"/>
        <v>0</v>
      </c>
      <c r="M363" s="91" t="s">
        <v>622</v>
      </c>
      <c r="O363" s="90"/>
      <c r="P363" s="90"/>
      <c r="Z363" s="90">
        <f t="shared" si="356"/>
        <v>0</v>
      </c>
      <c r="AB363" s="90">
        <f t="shared" si="357"/>
        <v>0</v>
      </c>
      <c r="AC363" s="90">
        <f t="shared" si="358"/>
        <v>0</v>
      </c>
      <c r="AD363" s="90">
        <f t="shared" si="359"/>
        <v>0</v>
      </c>
      <c r="AE363" s="90">
        <f t="shared" si="360"/>
        <v>0</v>
      </c>
      <c r="AF363" s="90">
        <f t="shared" si="361"/>
        <v>0</v>
      </c>
      <c r="AG363" s="90">
        <f t="shared" si="362"/>
        <v>0</v>
      </c>
      <c r="AH363" s="90">
        <f t="shared" si="363"/>
        <v>0</v>
      </c>
      <c r="AI363" s="154" t="s">
        <v>60</v>
      </c>
      <c r="AJ363" s="90">
        <f t="shared" si="364"/>
        <v>0</v>
      </c>
      <c r="AK363" s="90">
        <f t="shared" si="365"/>
        <v>0</v>
      </c>
      <c r="AL363" s="90">
        <f t="shared" si="366"/>
        <v>0</v>
      </c>
      <c r="AN363" s="90">
        <v>21</v>
      </c>
      <c r="AO363" s="90">
        <f t="shared" si="367"/>
        <v>0</v>
      </c>
      <c r="AP363" s="90">
        <f t="shared" si="368"/>
        <v>0</v>
      </c>
      <c r="AQ363" s="91" t="s">
        <v>85</v>
      </c>
      <c r="AV363" s="90">
        <f t="shared" si="369"/>
        <v>0</v>
      </c>
      <c r="AW363" s="90">
        <f t="shared" si="370"/>
        <v>0</v>
      </c>
      <c r="AX363" s="90">
        <f t="shared" si="371"/>
        <v>0</v>
      </c>
      <c r="AY363" s="91" t="s">
        <v>643</v>
      </c>
      <c r="AZ363" s="91" t="s">
        <v>1537</v>
      </c>
      <c r="BA363" s="154" t="s">
        <v>1542</v>
      </c>
      <c r="BC363" s="90">
        <f t="shared" si="372"/>
        <v>0</v>
      </c>
      <c r="BD363" s="90">
        <f t="shared" si="373"/>
        <v>0</v>
      </c>
      <c r="BE363" s="90">
        <v>0</v>
      </c>
      <c r="BF363" s="90">
        <f t="shared" si="374"/>
        <v>0</v>
      </c>
      <c r="BH363" s="90">
        <f t="shared" si="375"/>
        <v>0</v>
      </c>
      <c r="BI363" s="90">
        <f t="shared" si="376"/>
        <v>0</v>
      </c>
      <c r="BJ363" s="90">
        <f t="shared" si="377"/>
        <v>0</v>
      </c>
    </row>
    <row r="364" spans="1:62" ht="12.75">
      <c r="A364" s="88" t="s">
        <v>815</v>
      </c>
      <c r="B364" s="88" t="s">
        <v>60</v>
      </c>
      <c r="C364" s="88" t="s">
        <v>1046</v>
      </c>
      <c r="D364" s="88" t="s">
        <v>491</v>
      </c>
      <c r="E364" s="88" t="s">
        <v>606</v>
      </c>
      <c r="F364" s="90">
        <v>1</v>
      </c>
      <c r="G364" s="90">
        <f>'Stavební rozpočet (SO 13)'!G198</f>
        <v>0</v>
      </c>
      <c r="H364" s="90">
        <f t="shared" si="352"/>
        <v>0</v>
      </c>
      <c r="I364" s="90">
        <f t="shared" si="353"/>
        <v>0</v>
      </c>
      <c r="J364" s="90">
        <f t="shared" si="354"/>
        <v>0</v>
      </c>
      <c r="K364" s="90">
        <v>0</v>
      </c>
      <c r="L364" s="90">
        <f t="shared" si="355"/>
        <v>0</v>
      </c>
      <c r="M364" s="91" t="s">
        <v>622</v>
      </c>
      <c r="O364" s="90"/>
      <c r="P364" s="90"/>
      <c r="Z364" s="90">
        <f t="shared" si="356"/>
        <v>0</v>
      </c>
      <c r="AB364" s="90">
        <f t="shared" si="357"/>
        <v>0</v>
      </c>
      <c r="AC364" s="90">
        <f t="shared" si="358"/>
        <v>0</v>
      </c>
      <c r="AD364" s="90">
        <f t="shared" si="359"/>
        <v>0</v>
      </c>
      <c r="AE364" s="90">
        <f t="shared" si="360"/>
        <v>0</v>
      </c>
      <c r="AF364" s="90">
        <f t="shared" si="361"/>
        <v>0</v>
      </c>
      <c r="AG364" s="90">
        <f t="shared" si="362"/>
        <v>0</v>
      </c>
      <c r="AH364" s="90">
        <f t="shared" si="363"/>
        <v>0</v>
      </c>
      <c r="AI364" s="154" t="s">
        <v>60</v>
      </c>
      <c r="AJ364" s="90">
        <f t="shared" si="364"/>
        <v>0</v>
      </c>
      <c r="AK364" s="90">
        <f t="shared" si="365"/>
        <v>0</v>
      </c>
      <c r="AL364" s="90">
        <f t="shared" si="366"/>
        <v>0</v>
      </c>
      <c r="AN364" s="90">
        <v>21</v>
      </c>
      <c r="AO364" s="90">
        <f t="shared" si="367"/>
        <v>0</v>
      </c>
      <c r="AP364" s="90">
        <f t="shared" si="368"/>
        <v>0</v>
      </c>
      <c r="AQ364" s="91" t="s">
        <v>85</v>
      </c>
      <c r="AV364" s="90">
        <f t="shared" si="369"/>
        <v>0</v>
      </c>
      <c r="AW364" s="90">
        <f t="shared" si="370"/>
        <v>0</v>
      </c>
      <c r="AX364" s="90">
        <f t="shared" si="371"/>
        <v>0</v>
      </c>
      <c r="AY364" s="91" t="s">
        <v>643</v>
      </c>
      <c r="AZ364" s="91" t="s">
        <v>1537</v>
      </c>
      <c r="BA364" s="154" t="s">
        <v>1542</v>
      </c>
      <c r="BC364" s="90">
        <f t="shared" si="372"/>
        <v>0</v>
      </c>
      <c r="BD364" s="90">
        <f t="shared" si="373"/>
        <v>0</v>
      </c>
      <c r="BE364" s="90">
        <v>0</v>
      </c>
      <c r="BF364" s="90">
        <f t="shared" si="374"/>
        <v>0</v>
      </c>
      <c r="BH364" s="90">
        <f t="shared" si="375"/>
        <v>0</v>
      </c>
      <c r="BI364" s="90">
        <f t="shared" si="376"/>
        <v>0</v>
      </c>
      <c r="BJ364" s="90">
        <f t="shared" si="377"/>
        <v>0</v>
      </c>
    </row>
    <row r="365" spans="1:62" ht="12.75">
      <c r="A365" s="88" t="s">
        <v>816</v>
      </c>
      <c r="B365" s="88" t="s">
        <v>60</v>
      </c>
      <c r="C365" s="88" t="s">
        <v>1047</v>
      </c>
      <c r="D365" s="88" t="s">
        <v>492</v>
      </c>
      <c r="E365" s="88" t="s">
        <v>606</v>
      </c>
      <c r="F365" s="90">
        <v>1</v>
      </c>
      <c r="G365" s="90">
        <f>'Stavební rozpočet (SO 13)'!G199</f>
        <v>0</v>
      </c>
      <c r="H365" s="90">
        <f t="shared" si="352"/>
        <v>0</v>
      </c>
      <c r="I365" s="90">
        <f t="shared" si="353"/>
        <v>0</v>
      </c>
      <c r="J365" s="90">
        <f t="shared" si="354"/>
        <v>0</v>
      </c>
      <c r="K365" s="90">
        <v>0</v>
      </c>
      <c r="L365" s="90">
        <f t="shared" si="355"/>
        <v>0</v>
      </c>
      <c r="M365" s="91" t="s">
        <v>622</v>
      </c>
      <c r="O365" s="90"/>
      <c r="P365" s="90"/>
      <c r="Z365" s="90">
        <f t="shared" si="356"/>
        <v>0</v>
      </c>
      <c r="AB365" s="90">
        <f t="shared" si="357"/>
        <v>0</v>
      </c>
      <c r="AC365" s="90">
        <f t="shared" si="358"/>
        <v>0</v>
      </c>
      <c r="AD365" s="90">
        <f t="shared" si="359"/>
        <v>0</v>
      </c>
      <c r="AE365" s="90">
        <f t="shared" si="360"/>
        <v>0</v>
      </c>
      <c r="AF365" s="90">
        <f t="shared" si="361"/>
        <v>0</v>
      </c>
      <c r="AG365" s="90">
        <f t="shared" si="362"/>
        <v>0</v>
      </c>
      <c r="AH365" s="90">
        <f t="shared" si="363"/>
        <v>0</v>
      </c>
      <c r="AI365" s="154" t="s">
        <v>60</v>
      </c>
      <c r="AJ365" s="90">
        <f t="shared" si="364"/>
        <v>0</v>
      </c>
      <c r="AK365" s="90">
        <f t="shared" si="365"/>
        <v>0</v>
      </c>
      <c r="AL365" s="90">
        <f t="shared" si="366"/>
        <v>0</v>
      </c>
      <c r="AN365" s="90">
        <v>21</v>
      </c>
      <c r="AO365" s="90">
        <f t="shared" si="367"/>
        <v>0</v>
      </c>
      <c r="AP365" s="90">
        <f t="shared" si="368"/>
        <v>0</v>
      </c>
      <c r="AQ365" s="91" t="s">
        <v>85</v>
      </c>
      <c r="AV365" s="90">
        <f t="shared" si="369"/>
        <v>0</v>
      </c>
      <c r="AW365" s="90">
        <f t="shared" si="370"/>
        <v>0</v>
      </c>
      <c r="AX365" s="90">
        <f t="shared" si="371"/>
        <v>0</v>
      </c>
      <c r="AY365" s="91" t="s">
        <v>643</v>
      </c>
      <c r="AZ365" s="91" t="s">
        <v>1537</v>
      </c>
      <c r="BA365" s="154" t="s">
        <v>1542</v>
      </c>
      <c r="BC365" s="90">
        <f t="shared" si="372"/>
        <v>0</v>
      </c>
      <c r="BD365" s="90">
        <f t="shared" si="373"/>
        <v>0</v>
      </c>
      <c r="BE365" s="90">
        <v>0</v>
      </c>
      <c r="BF365" s="90">
        <f t="shared" si="374"/>
        <v>0</v>
      </c>
      <c r="BH365" s="90">
        <f t="shared" si="375"/>
        <v>0</v>
      </c>
      <c r="BI365" s="90">
        <f t="shared" si="376"/>
        <v>0</v>
      </c>
      <c r="BJ365" s="90">
        <f t="shared" si="377"/>
        <v>0</v>
      </c>
    </row>
    <row r="366" spans="1:62" ht="12.75">
      <c r="A366" s="88" t="s">
        <v>817</v>
      </c>
      <c r="B366" s="88" t="s">
        <v>60</v>
      </c>
      <c r="C366" s="88" t="s">
        <v>1048</v>
      </c>
      <c r="D366" s="88" t="s">
        <v>493</v>
      </c>
      <c r="E366" s="88" t="s">
        <v>606</v>
      </c>
      <c r="F366" s="90">
        <v>1</v>
      </c>
      <c r="G366" s="90">
        <f>'Stavební rozpočet (SO 13)'!G200</f>
        <v>0</v>
      </c>
      <c r="H366" s="90">
        <f t="shared" si="352"/>
        <v>0</v>
      </c>
      <c r="I366" s="90">
        <f t="shared" si="353"/>
        <v>0</v>
      </c>
      <c r="J366" s="90">
        <f t="shared" si="354"/>
        <v>0</v>
      </c>
      <c r="K366" s="90">
        <v>0</v>
      </c>
      <c r="L366" s="90">
        <f t="shared" si="355"/>
        <v>0</v>
      </c>
      <c r="M366" s="91" t="s">
        <v>622</v>
      </c>
      <c r="O366" s="90"/>
      <c r="P366" s="90"/>
      <c r="Z366" s="90">
        <f t="shared" si="356"/>
        <v>0</v>
      </c>
      <c r="AB366" s="90">
        <f t="shared" si="357"/>
        <v>0</v>
      </c>
      <c r="AC366" s="90">
        <f t="shared" si="358"/>
        <v>0</v>
      </c>
      <c r="AD366" s="90">
        <f t="shared" si="359"/>
        <v>0</v>
      </c>
      <c r="AE366" s="90">
        <f t="shared" si="360"/>
        <v>0</v>
      </c>
      <c r="AF366" s="90">
        <f t="shared" si="361"/>
        <v>0</v>
      </c>
      <c r="AG366" s="90">
        <f t="shared" si="362"/>
        <v>0</v>
      </c>
      <c r="AH366" s="90">
        <f t="shared" si="363"/>
        <v>0</v>
      </c>
      <c r="AI366" s="154" t="s">
        <v>60</v>
      </c>
      <c r="AJ366" s="90">
        <f t="shared" si="364"/>
        <v>0</v>
      </c>
      <c r="AK366" s="90">
        <f t="shared" si="365"/>
        <v>0</v>
      </c>
      <c r="AL366" s="90">
        <f t="shared" si="366"/>
        <v>0</v>
      </c>
      <c r="AN366" s="90">
        <v>21</v>
      </c>
      <c r="AO366" s="90">
        <f t="shared" si="367"/>
        <v>0</v>
      </c>
      <c r="AP366" s="90">
        <f t="shared" si="368"/>
        <v>0</v>
      </c>
      <c r="AQ366" s="91" t="s">
        <v>85</v>
      </c>
      <c r="AV366" s="90">
        <f t="shared" si="369"/>
        <v>0</v>
      </c>
      <c r="AW366" s="90">
        <f t="shared" si="370"/>
        <v>0</v>
      </c>
      <c r="AX366" s="90">
        <f t="shared" si="371"/>
        <v>0</v>
      </c>
      <c r="AY366" s="91" t="s">
        <v>643</v>
      </c>
      <c r="AZ366" s="91" t="s">
        <v>1537</v>
      </c>
      <c r="BA366" s="154" t="s">
        <v>1542</v>
      </c>
      <c r="BC366" s="90">
        <f t="shared" si="372"/>
        <v>0</v>
      </c>
      <c r="BD366" s="90">
        <f t="shared" si="373"/>
        <v>0</v>
      </c>
      <c r="BE366" s="90">
        <v>0</v>
      </c>
      <c r="BF366" s="90">
        <f t="shared" si="374"/>
        <v>0</v>
      </c>
      <c r="BH366" s="90">
        <f t="shared" si="375"/>
        <v>0</v>
      </c>
      <c r="BI366" s="90">
        <f t="shared" si="376"/>
        <v>0</v>
      </c>
      <c r="BJ366" s="90">
        <f t="shared" si="377"/>
        <v>0</v>
      </c>
    </row>
    <row r="367" spans="1:47" ht="12.75">
      <c r="A367" s="159"/>
      <c r="B367" s="160" t="s">
        <v>60</v>
      </c>
      <c r="C367" s="160" t="s">
        <v>314</v>
      </c>
      <c r="D367" s="160" t="s">
        <v>503</v>
      </c>
      <c r="E367" s="159" t="s">
        <v>57</v>
      </c>
      <c r="F367" s="159" t="s">
        <v>57</v>
      </c>
      <c r="G367" s="159"/>
      <c r="H367" s="161">
        <f>SUM(H368:H416)</f>
        <v>0</v>
      </c>
      <c r="I367" s="161">
        <f>SUM(I368:I416)</f>
        <v>0</v>
      </c>
      <c r="J367" s="161">
        <f>SUM(J368:J416)</f>
        <v>0</v>
      </c>
      <c r="K367" s="154"/>
      <c r="L367" s="161">
        <f>SUM(L368:L416)</f>
        <v>0</v>
      </c>
      <c r="M367" s="154"/>
      <c r="O367" s="159"/>
      <c r="P367" s="159"/>
      <c r="AI367" s="154" t="s">
        <v>60</v>
      </c>
      <c r="AS367" s="161">
        <f>SUM(AJ368:AJ416)</f>
        <v>0</v>
      </c>
      <c r="AT367" s="161">
        <f>SUM(AK368:AK416)</f>
        <v>0</v>
      </c>
      <c r="AU367" s="161">
        <f>SUM(AL368:AL416)</f>
        <v>0</v>
      </c>
    </row>
    <row r="368" spans="1:62" ht="12.75">
      <c r="A368" s="88" t="s">
        <v>818</v>
      </c>
      <c r="B368" s="88" t="s">
        <v>60</v>
      </c>
      <c r="C368" s="88" t="s">
        <v>179</v>
      </c>
      <c r="D368" s="88" t="s">
        <v>1334</v>
      </c>
      <c r="E368" s="88" t="s">
        <v>606</v>
      </c>
      <c r="F368" s="90">
        <v>1</v>
      </c>
      <c r="G368" s="90">
        <f>'Stavební rozpočet (SO 13)'!G202</f>
        <v>0</v>
      </c>
      <c r="H368" s="90">
        <f aca="true" t="shared" si="378" ref="H368:H399">F368*AO368</f>
        <v>0</v>
      </c>
      <c r="I368" s="90">
        <f aca="true" t="shared" si="379" ref="I368:I399">F368*AP368</f>
        <v>0</v>
      </c>
      <c r="J368" s="90">
        <f aca="true" t="shared" si="380" ref="J368:J399">F368*G368</f>
        <v>0</v>
      </c>
      <c r="K368" s="90">
        <v>0</v>
      </c>
      <c r="L368" s="90">
        <f aca="true" t="shared" si="381" ref="L368:L399">F368*K368</f>
        <v>0</v>
      </c>
      <c r="M368" s="91" t="s">
        <v>622</v>
      </c>
      <c r="O368" s="90"/>
      <c r="P368" s="90"/>
      <c r="Z368" s="90">
        <f aca="true" t="shared" si="382" ref="Z368:Z399">IF(AQ368="5",BJ368,0)</f>
        <v>0</v>
      </c>
      <c r="AB368" s="90">
        <f aca="true" t="shared" si="383" ref="AB368:AB399">IF(AQ368="1",BH368,0)</f>
        <v>0</v>
      </c>
      <c r="AC368" s="90">
        <f aca="true" t="shared" si="384" ref="AC368:AC399">IF(AQ368="1",BI368,0)</f>
        <v>0</v>
      </c>
      <c r="AD368" s="90">
        <f aca="true" t="shared" si="385" ref="AD368:AD399">IF(AQ368="7",BH368,0)</f>
        <v>0</v>
      </c>
      <c r="AE368" s="90">
        <f aca="true" t="shared" si="386" ref="AE368:AE399">IF(AQ368="7",BI368,0)</f>
        <v>0</v>
      </c>
      <c r="AF368" s="90">
        <f aca="true" t="shared" si="387" ref="AF368:AF399">IF(AQ368="2",BH368,0)</f>
        <v>0</v>
      </c>
      <c r="AG368" s="90">
        <f aca="true" t="shared" si="388" ref="AG368:AG399">IF(AQ368="2",BI368,0)</f>
        <v>0</v>
      </c>
      <c r="AH368" s="90">
        <f aca="true" t="shared" si="389" ref="AH368:AH399">IF(AQ368="0",BJ368,0)</f>
        <v>0</v>
      </c>
      <c r="AI368" s="154" t="s">
        <v>60</v>
      </c>
      <c r="AJ368" s="90">
        <f aca="true" t="shared" si="390" ref="AJ368:AJ399">IF(AN368=0,J368,0)</f>
        <v>0</v>
      </c>
      <c r="AK368" s="90">
        <f aca="true" t="shared" si="391" ref="AK368:AK399">IF(AN368=15,J368,0)</f>
        <v>0</v>
      </c>
      <c r="AL368" s="90">
        <f aca="true" t="shared" si="392" ref="AL368:AL399">IF(AN368=21,J368,0)</f>
        <v>0</v>
      </c>
      <c r="AN368" s="90">
        <v>21</v>
      </c>
      <c r="AO368" s="90">
        <f aca="true" t="shared" si="393" ref="AO368:AO399">G368*0</f>
        <v>0</v>
      </c>
      <c r="AP368" s="90">
        <f aca="true" t="shared" si="394" ref="AP368:AP399">G368*(1-0)</f>
        <v>0</v>
      </c>
      <c r="AQ368" s="91" t="s">
        <v>85</v>
      </c>
      <c r="AV368" s="90">
        <f aca="true" t="shared" si="395" ref="AV368:AV399">AW368+AX368</f>
        <v>0</v>
      </c>
      <c r="AW368" s="90">
        <f aca="true" t="shared" si="396" ref="AW368:AW399">F368*AO368</f>
        <v>0</v>
      </c>
      <c r="AX368" s="90">
        <f aca="true" t="shared" si="397" ref="AX368:AX399">F368*AP368</f>
        <v>0</v>
      </c>
      <c r="AY368" s="91" t="s">
        <v>644</v>
      </c>
      <c r="AZ368" s="91" t="s">
        <v>1537</v>
      </c>
      <c r="BA368" s="154" t="s">
        <v>1542</v>
      </c>
      <c r="BC368" s="90">
        <f aca="true" t="shared" si="398" ref="BC368:BC399">AW368+AX368</f>
        <v>0</v>
      </c>
      <c r="BD368" s="90">
        <f aca="true" t="shared" si="399" ref="BD368:BD399">G368/(100-BE368)*100</f>
        <v>0</v>
      </c>
      <c r="BE368" s="90">
        <v>0</v>
      </c>
      <c r="BF368" s="90">
        <f aca="true" t="shared" si="400" ref="BF368:BF399">L368</f>
        <v>0</v>
      </c>
      <c r="BH368" s="90">
        <f aca="true" t="shared" si="401" ref="BH368:BH399">F368*AO368</f>
        <v>0</v>
      </c>
      <c r="BI368" s="90">
        <f aca="true" t="shared" si="402" ref="BI368:BI399">F368*AP368</f>
        <v>0</v>
      </c>
      <c r="BJ368" s="90">
        <f aca="true" t="shared" si="403" ref="BJ368:BJ399">F368*G368</f>
        <v>0</v>
      </c>
    </row>
    <row r="369" spans="1:62" ht="12.75">
      <c r="A369" s="88" t="s">
        <v>819</v>
      </c>
      <c r="B369" s="88" t="s">
        <v>60</v>
      </c>
      <c r="C369" s="88" t="s">
        <v>1049</v>
      </c>
      <c r="D369" s="88" t="s">
        <v>1335</v>
      </c>
      <c r="E369" s="88" t="s">
        <v>606</v>
      </c>
      <c r="F369" s="90">
        <v>1</v>
      </c>
      <c r="G369" s="90">
        <f>'Stavební rozpočet (SO 13)'!G203</f>
        <v>0</v>
      </c>
      <c r="H369" s="90">
        <f t="shared" si="378"/>
        <v>0</v>
      </c>
      <c r="I369" s="90">
        <f t="shared" si="379"/>
        <v>0</v>
      </c>
      <c r="J369" s="90">
        <f t="shared" si="380"/>
        <v>0</v>
      </c>
      <c r="K369" s="90">
        <v>0</v>
      </c>
      <c r="L369" s="90">
        <f t="shared" si="381"/>
        <v>0</v>
      </c>
      <c r="M369" s="91" t="s">
        <v>622</v>
      </c>
      <c r="O369" s="90"/>
      <c r="P369" s="90"/>
      <c r="Z369" s="90">
        <f t="shared" si="382"/>
        <v>0</v>
      </c>
      <c r="AB369" s="90">
        <f t="shared" si="383"/>
        <v>0</v>
      </c>
      <c r="AC369" s="90">
        <f t="shared" si="384"/>
        <v>0</v>
      </c>
      <c r="AD369" s="90">
        <f t="shared" si="385"/>
        <v>0</v>
      </c>
      <c r="AE369" s="90">
        <f t="shared" si="386"/>
        <v>0</v>
      </c>
      <c r="AF369" s="90">
        <f t="shared" si="387"/>
        <v>0</v>
      </c>
      <c r="AG369" s="90">
        <f t="shared" si="388"/>
        <v>0</v>
      </c>
      <c r="AH369" s="90">
        <f t="shared" si="389"/>
        <v>0</v>
      </c>
      <c r="AI369" s="154" t="s">
        <v>60</v>
      </c>
      <c r="AJ369" s="90">
        <f t="shared" si="390"/>
        <v>0</v>
      </c>
      <c r="AK369" s="90">
        <f t="shared" si="391"/>
        <v>0</v>
      </c>
      <c r="AL369" s="90">
        <f t="shared" si="392"/>
        <v>0</v>
      </c>
      <c r="AN369" s="90">
        <v>21</v>
      </c>
      <c r="AO369" s="90">
        <f t="shared" si="393"/>
        <v>0</v>
      </c>
      <c r="AP369" s="90">
        <f t="shared" si="394"/>
        <v>0</v>
      </c>
      <c r="AQ369" s="91" t="s">
        <v>85</v>
      </c>
      <c r="AV369" s="90">
        <f t="shared" si="395"/>
        <v>0</v>
      </c>
      <c r="AW369" s="90">
        <f t="shared" si="396"/>
        <v>0</v>
      </c>
      <c r="AX369" s="90">
        <f t="shared" si="397"/>
        <v>0</v>
      </c>
      <c r="AY369" s="91" t="s">
        <v>644</v>
      </c>
      <c r="AZ369" s="91" t="s">
        <v>1537</v>
      </c>
      <c r="BA369" s="154" t="s">
        <v>1542</v>
      </c>
      <c r="BC369" s="90">
        <f t="shared" si="398"/>
        <v>0</v>
      </c>
      <c r="BD369" s="90">
        <f t="shared" si="399"/>
        <v>0</v>
      </c>
      <c r="BE369" s="90">
        <v>0</v>
      </c>
      <c r="BF369" s="90">
        <f t="shared" si="400"/>
        <v>0</v>
      </c>
      <c r="BH369" s="90">
        <f t="shared" si="401"/>
        <v>0</v>
      </c>
      <c r="BI369" s="90">
        <f t="shared" si="402"/>
        <v>0</v>
      </c>
      <c r="BJ369" s="90">
        <f t="shared" si="403"/>
        <v>0</v>
      </c>
    </row>
    <row r="370" spans="1:62" ht="12.75">
      <c r="A370" s="88" t="s">
        <v>820</v>
      </c>
      <c r="B370" s="88" t="s">
        <v>60</v>
      </c>
      <c r="C370" s="88" t="s">
        <v>1050</v>
      </c>
      <c r="D370" s="88" t="s">
        <v>1336</v>
      </c>
      <c r="E370" s="88" t="s">
        <v>606</v>
      </c>
      <c r="F370" s="90">
        <v>1</v>
      </c>
      <c r="G370" s="90">
        <f>'Stavební rozpočet (SO 13)'!G204</f>
        <v>0</v>
      </c>
      <c r="H370" s="90">
        <f t="shared" si="378"/>
        <v>0</v>
      </c>
      <c r="I370" s="90">
        <f t="shared" si="379"/>
        <v>0</v>
      </c>
      <c r="J370" s="90">
        <f t="shared" si="380"/>
        <v>0</v>
      </c>
      <c r="K370" s="90">
        <v>0</v>
      </c>
      <c r="L370" s="90">
        <f t="shared" si="381"/>
        <v>0</v>
      </c>
      <c r="M370" s="91" t="s">
        <v>622</v>
      </c>
      <c r="O370" s="90"/>
      <c r="P370" s="90"/>
      <c r="Z370" s="90">
        <f t="shared" si="382"/>
        <v>0</v>
      </c>
      <c r="AB370" s="90">
        <f t="shared" si="383"/>
        <v>0</v>
      </c>
      <c r="AC370" s="90">
        <f t="shared" si="384"/>
        <v>0</v>
      </c>
      <c r="AD370" s="90">
        <f t="shared" si="385"/>
        <v>0</v>
      </c>
      <c r="AE370" s="90">
        <f t="shared" si="386"/>
        <v>0</v>
      </c>
      <c r="AF370" s="90">
        <f t="shared" si="387"/>
        <v>0</v>
      </c>
      <c r="AG370" s="90">
        <f t="shared" si="388"/>
        <v>0</v>
      </c>
      <c r="AH370" s="90">
        <f t="shared" si="389"/>
        <v>0</v>
      </c>
      <c r="AI370" s="154" t="s">
        <v>60</v>
      </c>
      <c r="AJ370" s="90">
        <f t="shared" si="390"/>
        <v>0</v>
      </c>
      <c r="AK370" s="90">
        <f t="shared" si="391"/>
        <v>0</v>
      </c>
      <c r="AL370" s="90">
        <f t="shared" si="392"/>
        <v>0</v>
      </c>
      <c r="AN370" s="90">
        <v>21</v>
      </c>
      <c r="AO370" s="90">
        <f t="shared" si="393"/>
        <v>0</v>
      </c>
      <c r="AP370" s="90">
        <f t="shared" si="394"/>
        <v>0</v>
      </c>
      <c r="AQ370" s="91" t="s">
        <v>85</v>
      </c>
      <c r="AV370" s="90">
        <f t="shared" si="395"/>
        <v>0</v>
      </c>
      <c r="AW370" s="90">
        <f t="shared" si="396"/>
        <v>0</v>
      </c>
      <c r="AX370" s="90">
        <f t="shared" si="397"/>
        <v>0</v>
      </c>
      <c r="AY370" s="91" t="s">
        <v>644</v>
      </c>
      <c r="AZ370" s="91" t="s">
        <v>1537</v>
      </c>
      <c r="BA370" s="154" t="s">
        <v>1542</v>
      </c>
      <c r="BC370" s="90">
        <f t="shared" si="398"/>
        <v>0</v>
      </c>
      <c r="BD370" s="90">
        <f t="shared" si="399"/>
        <v>0</v>
      </c>
      <c r="BE370" s="90">
        <v>0</v>
      </c>
      <c r="BF370" s="90">
        <f t="shared" si="400"/>
        <v>0</v>
      </c>
      <c r="BH370" s="90">
        <f t="shared" si="401"/>
        <v>0</v>
      </c>
      <c r="BI370" s="90">
        <f t="shared" si="402"/>
        <v>0</v>
      </c>
      <c r="BJ370" s="90">
        <f t="shared" si="403"/>
        <v>0</v>
      </c>
    </row>
    <row r="371" spans="1:62" ht="12.75">
      <c r="A371" s="88" t="s">
        <v>821</v>
      </c>
      <c r="B371" s="88" t="s">
        <v>60</v>
      </c>
      <c r="C371" s="88" t="s">
        <v>1051</v>
      </c>
      <c r="D371" s="88" t="s">
        <v>1337</v>
      </c>
      <c r="E371" s="88" t="s">
        <v>606</v>
      </c>
      <c r="F371" s="90">
        <v>1</v>
      </c>
      <c r="G371" s="90">
        <f>'Stavební rozpočet (SO 13)'!G205</f>
        <v>0</v>
      </c>
      <c r="H371" s="90">
        <f t="shared" si="378"/>
        <v>0</v>
      </c>
      <c r="I371" s="90">
        <f t="shared" si="379"/>
        <v>0</v>
      </c>
      <c r="J371" s="90">
        <f t="shared" si="380"/>
        <v>0</v>
      </c>
      <c r="K371" s="90">
        <v>0</v>
      </c>
      <c r="L371" s="90">
        <f t="shared" si="381"/>
        <v>0</v>
      </c>
      <c r="M371" s="91" t="s">
        <v>622</v>
      </c>
      <c r="O371" s="90"/>
      <c r="P371" s="90"/>
      <c r="Z371" s="90">
        <f t="shared" si="382"/>
        <v>0</v>
      </c>
      <c r="AB371" s="90">
        <f t="shared" si="383"/>
        <v>0</v>
      </c>
      <c r="AC371" s="90">
        <f t="shared" si="384"/>
        <v>0</v>
      </c>
      <c r="AD371" s="90">
        <f t="shared" si="385"/>
        <v>0</v>
      </c>
      <c r="AE371" s="90">
        <f t="shared" si="386"/>
        <v>0</v>
      </c>
      <c r="AF371" s="90">
        <f t="shared" si="387"/>
        <v>0</v>
      </c>
      <c r="AG371" s="90">
        <f t="shared" si="388"/>
        <v>0</v>
      </c>
      <c r="AH371" s="90">
        <f t="shared" si="389"/>
        <v>0</v>
      </c>
      <c r="AI371" s="154" t="s">
        <v>60</v>
      </c>
      <c r="AJ371" s="90">
        <f t="shared" si="390"/>
        <v>0</v>
      </c>
      <c r="AK371" s="90">
        <f t="shared" si="391"/>
        <v>0</v>
      </c>
      <c r="AL371" s="90">
        <f t="shared" si="392"/>
        <v>0</v>
      </c>
      <c r="AN371" s="90">
        <v>21</v>
      </c>
      <c r="AO371" s="90">
        <f t="shared" si="393"/>
        <v>0</v>
      </c>
      <c r="AP371" s="90">
        <f t="shared" si="394"/>
        <v>0</v>
      </c>
      <c r="AQ371" s="91" t="s">
        <v>85</v>
      </c>
      <c r="AV371" s="90">
        <f t="shared" si="395"/>
        <v>0</v>
      </c>
      <c r="AW371" s="90">
        <f t="shared" si="396"/>
        <v>0</v>
      </c>
      <c r="AX371" s="90">
        <f t="shared" si="397"/>
        <v>0</v>
      </c>
      <c r="AY371" s="91" t="s">
        <v>644</v>
      </c>
      <c r="AZ371" s="91" t="s">
        <v>1537</v>
      </c>
      <c r="BA371" s="154" t="s">
        <v>1542</v>
      </c>
      <c r="BC371" s="90">
        <f t="shared" si="398"/>
        <v>0</v>
      </c>
      <c r="BD371" s="90">
        <f t="shared" si="399"/>
        <v>0</v>
      </c>
      <c r="BE371" s="90">
        <v>0</v>
      </c>
      <c r="BF371" s="90">
        <f t="shared" si="400"/>
        <v>0</v>
      </c>
      <c r="BH371" s="90">
        <f t="shared" si="401"/>
        <v>0</v>
      </c>
      <c r="BI371" s="90">
        <f t="shared" si="402"/>
        <v>0</v>
      </c>
      <c r="BJ371" s="90">
        <f t="shared" si="403"/>
        <v>0</v>
      </c>
    </row>
    <row r="372" spans="1:62" ht="12.75">
      <c r="A372" s="88" t="s">
        <v>822</v>
      </c>
      <c r="B372" s="88" t="s">
        <v>60</v>
      </c>
      <c r="C372" s="88" t="s">
        <v>1052</v>
      </c>
      <c r="D372" s="88" t="s">
        <v>1338</v>
      </c>
      <c r="E372" s="88" t="s">
        <v>606</v>
      </c>
      <c r="F372" s="90">
        <v>1</v>
      </c>
      <c r="G372" s="90">
        <f>'Stavební rozpočet (SO 13)'!G206</f>
        <v>0</v>
      </c>
      <c r="H372" s="90">
        <f t="shared" si="378"/>
        <v>0</v>
      </c>
      <c r="I372" s="90">
        <f t="shared" si="379"/>
        <v>0</v>
      </c>
      <c r="J372" s="90">
        <f t="shared" si="380"/>
        <v>0</v>
      </c>
      <c r="K372" s="90">
        <v>0</v>
      </c>
      <c r="L372" s="90">
        <f t="shared" si="381"/>
        <v>0</v>
      </c>
      <c r="M372" s="91" t="s">
        <v>622</v>
      </c>
      <c r="O372" s="90"/>
      <c r="P372" s="90"/>
      <c r="Z372" s="90">
        <f t="shared" si="382"/>
        <v>0</v>
      </c>
      <c r="AB372" s="90">
        <f t="shared" si="383"/>
        <v>0</v>
      </c>
      <c r="AC372" s="90">
        <f t="shared" si="384"/>
        <v>0</v>
      </c>
      <c r="AD372" s="90">
        <f t="shared" si="385"/>
        <v>0</v>
      </c>
      <c r="AE372" s="90">
        <f t="shared" si="386"/>
        <v>0</v>
      </c>
      <c r="AF372" s="90">
        <f t="shared" si="387"/>
        <v>0</v>
      </c>
      <c r="AG372" s="90">
        <f t="shared" si="388"/>
        <v>0</v>
      </c>
      <c r="AH372" s="90">
        <f t="shared" si="389"/>
        <v>0</v>
      </c>
      <c r="AI372" s="154" t="s">
        <v>60</v>
      </c>
      <c r="AJ372" s="90">
        <f t="shared" si="390"/>
        <v>0</v>
      </c>
      <c r="AK372" s="90">
        <f t="shared" si="391"/>
        <v>0</v>
      </c>
      <c r="AL372" s="90">
        <f t="shared" si="392"/>
        <v>0</v>
      </c>
      <c r="AN372" s="90">
        <v>21</v>
      </c>
      <c r="AO372" s="90">
        <f t="shared" si="393"/>
        <v>0</v>
      </c>
      <c r="AP372" s="90">
        <f t="shared" si="394"/>
        <v>0</v>
      </c>
      <c r="AQ372" s="91" t="s">
        <v>85</v>
      </c>
      <c r="AV372" s="90">
        <f t="shared" si="395"/>
        <v>0</v>
      </c>
      <c r="AW372" s="90">
        <f t="shared" si="396"/>
        <v>0</v>
      </c>
      <c r="AX372" s="90">
        <f t="shared" si="397"/>
        <v>0</v>
      </c>
      <c r="AY372" s="91" t="s">
        <v>644</v>
      </c>
      <c r="AZ372" s="91" t="s">
        <v>1537</v>
      </c>
      <c r="BA372" s="154" t="s">
        <v>1542</v>
      </c>
      <c r="BC372" s="90">
        <f t="shared" si="398"/>
        <v>0</v>
      </c>
      <c r="BD372" s="90">
        <f t="shared" si="399"/>
        <v>0</v>
      </c>
      <c r="BE372" s="90">
        <v>0</v>
      </c>
      <c r="BF372" s="90">
        <f t="shared" si="400"/>
        <v>0</v>
      </c>
      <c r="BH372" s="90">
        <f t="shared" si="401"/>
        <v>0</v>
      </c>
      <c r="BI372" s="90">
        <f t="shared" si="402"/>
        <v>0</v>
      </c>
      <c r="BJ372" s="90">
        <f t="shared" si="403"/>
        <v>0</v>
      </c>
    </row>
    <row r="373" spans="1:62" ht="12.75">
      <c r="A373" s="88" t="s">
        <v>823</v>
      </c>
      <c r="B373" s="88" t="s">
        <v>60</v>
      </c>
      <c r="C373" s="88" t="s">
        <v>1053</v>
      </c>
      <c r="D373" s="88" t="s">
        <v>1339</v>
      </c>
      <c r="E373" s="88" t="s">
        <v>606</v>
      </c>
      <c r="F373" s="90">
        <v>1</v>
      </c>
      <c r="G373" s="90">
        <f>'Stavební rozpočet (SO 13)'!G207</f>
        <v>0</v>
      </c>
      <c r="H373" s="90">
        <f t="shared" si="378"/>
        <v>0</v>
      </c>
      <c r="I373" s="90">
        <f t="shared" si="379"/>
        <v>0</v>
      </c>
      <c r="J373" s="90">
        <f t="shared" si="380"/>
        <v>0</v>
      </c>
      <c r="K373" s="90">
        <v>0</v>
      </c>
      <c r="L373" s="90">
        <f t="shared" si="381"/>
        <v>0</v>
      </c>
      <c r="M373" s="91" t="s">
        <v>622</v>
      </c>
      <c r="O373" s="90"/>
      <c r="P373" s="90"/>
      <c r="Z373" s="90">
        <f t="shared" si="382"/>
        <v>0</v>
      </c>
      <c r="AB373" s="90">
        <f t="shared" si="383"/>
        <v>0</v>
      </c>
      <c r="AC373" s="90">
        <f t="shared" si="384"/>
        <v>0</v>
      </c>
      <c r="AD373" s="90">
        <f t="shared" si="385"/>
        <v>0</v>
      </c>
      <c r="AE373" s="90">
        <f t="shared" si="386"/>
        <v>0</v>
      </c>
      <c r="AF373" s="90">
        <f t="shared" si="387"/>
        <v>0</v>
      </c>
      <c r="AG373" s="90">
        <f t="shared" si="388"/>
        <v>0</v>
      </c>
      <c r="AH373" s="90">
        <f t="shared" si="389"/>
        <v>0</v>
      </c>
      <c r="AI373" s="154" t="s">
        <v>60</v>
      </c>
      <c r="AJ373" s="90">
        <f t="shared" si="390"/>
        <v>0</v>
      </c>
      <c r="AK373" s="90">
        <f t="shared" si="391"/>
        <v>0</v>
      </c>
      <c r="AL373" s="90">
        <f t="shared" si="392"/>
        <v>0</v>
      </c>
      <c r="AN373" s="90">
        <v>21</v>
      </c>
      <c r="AO373" s="90">
        <f t="shared" si="393"/>
        <v>0</v>
      </c>
      <c r="AP373" s="90">
        <f t="shared" si="394"/>
        <v>0</v>
      </c>
      <c r="AQ373" s="91" t="s">
        <v>85</v>
      </c>
      <c r="AV373" s="90">
        <f t="shared" si="395"/>
        <v>0</v>
      </c>
      <c r="AW373" s="90">
        <f t="shared" si="396"/>
        <v>0</v>
      </c>
      <c r="AX373" s="90">
        <f t="shared" si="397"/>
        <v>0</v>
      </c>
      <c r="AY373" s="91" t="s">
        <v>644</v>
      </c>
      <c r="AZ373" s="91" t="s">
        <v>1537</v>
      </c>
      <c r="BA373" s="154" t="s">
        <v>1542</v>
      </c>
      <c r="BC373" s="90">
        <f t="shared" si="398"/>
        <v>0</v>
      </c>
      <c r="BD373" s="90">
        <f t="shared" si="399"/>
        <v>0</v>
      </c>
      <c r="BE373" s="90">
        <v>0</v>
      </c>
      <c r="BF373" s="90">
        <f t="shared" si="400"/>
        <v>0</v>
      </c>
      <c r="BH373" s="90">
        <f t="shared" si="401"/>
        <v>0</v>
      </c>
      <c r="BI373" s="90">
        <f t="shared" si="402"/>
        <v>0</v>
      </c>
      <c r="BJ373" s="90">
        <f t="shared" si="403"/>
        <v>0</v>
      </c>
    </row>
    <row r="374" spans="1:62" ht="12.75">
      <c r="A374" s="88" t="s">
        <v>824</v>
      </c>
      <c r="B374" s="88" t="s">
        <v>60</v>
      </c>
      <c r="C374" s="88" t="s">
        <v>180</v>
      </c>
      <c r="D374" s="88" t="s">
        <v>1340</v>
      </c>
      <c r="E374" s="88" t="s">
        <v>606</v>
      </c>
      <c r="F374" s="90">
        <v>0</v>
      </c>
      <c r="G374" s="90">
        <f>'Stavební rozpočet (SO 13)'!G208</f>
        <v>0</v>
      </c>
      <c r="H374" s="90">
        <f t="shared" si="378"/>
        <v>0</v>
      </c>
      <c r="I374" s="90">
        <f t="shared" si="379"/>
        <v>0</v>
      </c>
      <c r="J374" s="90">
        <f t="shared" si="380"/>
        <v>0</v>
      </c>
      <c r="K374" s="90">
        <v>0</v>
      </c>
      <c r="L374" s="90">
        <f t="shared" si="381"/>
        <v>0</v>
      </c>
      <c r="M374" s="91" t="s">
        <v>622</v>
      </c>
      <c r="O374" s="90"/>
      <c r="P374" s="90"/>
      <c r="Z374" s="90">
        <f t="shared" si="382"/>
        <v>0</v>
      </c>
      <c r="AB374" s="90">
        <f t="shared" si="383"/>
        <v>0</v>
      </c>
      <c r="AC374" s="90">
        <f t="shared" si="384"/>
        <v>0</v>
      </c>
      <c r="AD374" s="90">
        <f t="shared" si="385"/>
        <v>0</v>
      </c>
      <c r="AE374" s="90">
        <f t="shared" si="386"/>
        <v>0</v>
      </c>
      <c r="AF374" s="90">
        <f t="shared" si="387"/>
        <v>0</v>
      </c>
      <c r="AG374" s="90">
        <f t="shared" si="388"/>
        <v>0</v>
      </c>
      <c r="AH374" s="90">
        <f t="shared" si="389"/>
        <v>0</v>
      </c>
      <c r="AI374" s="154" t="s">
        <v>60</v>
      </c>
      <c r="AJ374" s="90">
        <f t="shared" si="390"/>
        <v>0</v>
      </c>
      <c r="AK374" s="90">
        <f t="shared" si="391"/>
        <v>0</v>
      </c>
      <c r="AL374" s="90">
        <f t="shared" si="392"/>
        <v>0</v>
      </c>
      <c r="AN374" s="90">
        <v>21</v>
      </c>
      <c r="AO374" s="90">
        <f t="shared" si="393"/>
        <v>0</v>
      </c>
      <c r="AP374" s="90">
        <f t="shared" si="394"/>
        <v>0</v>
      </c>
      <c r="AQ374" s="91" t="s">
        <v>85</v>
      </c>
      <c r="AV374" s="90">
        <f t="shared" si="395"/>
        <v>0</v>
      </c>
      <c r="AW374" s="90">
        <f t="shared" si="396"/>
        <v>0</v>
      </c>
      <c r="AX374" s="90">
        <f t="shared" si="397"/>
        <v>0</v>
      </c>
      <c r="AY374" s="91" t="s">
        <v>644</v>
      </c>
      <c r="AZ374" s="91" t="s">
        <v>1537</v>
      </c>
      <c r="BA374" s="154" t="s">
        <v>1542</v>
      </c>
      <c r="BC374" s="90">
        <f t="shared" si="398"/>
        <v>0</v>
      </c>
      <c r="BD374" s="90">
        <f t="shared" si="399"/>
        <v>0</v>
      </c>
      <c r="BE374" s="90">
        <v>0</v>
      </c>
      <c r="BF374" s="90">
        <f t="shared" si="400"/>
        <v>0</v>
      </c>
      <c r="BH374" s="90">
        <f t="shared" si="401"/>
        <v>0</v>
      </c>
      <c r="BI374" s="90">
        <f t="shared" si="402"/>
        <v>0</v>
      </c>
      <c r="BJ374" s="90">
        <f t="shared" si="403"/>
        <v>0</v>
      </c>
    </row>
    <row r="375" spans="1:62" ht="12.75">
      <c r="A375" s="88" t="s">
        <v>825</v>
      </c>
      <c r="B375" s="88" t="s">
        <v>60</v>
      </c>
      <c r="C375" s="88" t="s">
        <v>1054</v>
      </c>
      <c r="D375" s="88" t="s">
        <v>1341</v>
      </c>
      <c r="E375" s="88" t="s">
        <v>606</v>
      </c>
      <c r="F375" s="90">
        <v>0</v>
      </c>
      <c r="G375" s="90">
        <f>'Stavební rozpočet (SO 13)'!G209</f>
        <v>0</v>
      </c>
      <c r="H375" s="90">
        <f t="shared" si="378"/>
        <v>0</v>
      </c>
      <c r="I375" s="90">
        <f t="shared" si="379"/>
        <v>0</v>
      </c>
      <c r="J375" s="90">
        <f t="shared" si="380"/>
        <v>0</v>
      </c>
      <c r="K375" s="90">
        <v>0</v>
      </c>
      <c r="L375" s="90">
        <f t="shared" si="381"/>
        <v>0</v>
      </c>
      <c r="M375" s="91" t="s">
        <v>622</v>
      </c>
      <c r="O375" s="90"/>
      <c r="P375" s="90"/>
      <c r="Z375" s="90">
        <f t="shared" si="382"/>
        <v>0</v>
      </c>
      <c r="AB375" s="90">
        <f t="shared" si="383"/>
        <v>0</v>
      </c>
      <c r="AC375" s="90">
        <f t="shared" si="384"/>
        <v>0</v>
      </c>
      <c r="AD375" s="90">
        <f t="shared" si="385"/>
        <v>0</v>
      </c>
      <c r="AE375" s="90">
        <f t="shared" si="386"/>
        <v>0</v>
      </c>
      <c r="AF375" s="90">
        <f t="shared" si="387"/>
        <v>0</v>
      </c>
      <c r="AG375" s="90">
        <f t="shared" si="388"/>
        <v>0</v>
      </c>
      <c r="AH375" s="90">
        <f t="shared" si="389"/>
        <v>0</v>
      </c>
      <c r="AI375" s="154" t="s">
        <v>60</v>
      </c>
      <c r="AJ375" s="90">
        <f t="shared" si="390"/>
        <v>0</v>
      </c>
      <c r="AK375" s="90">
        <f t="shared" si="391"/>
        <v>0</v>
      </c>
      <c r="AL375" s="90">
        <f t="shared" si="392"/>
        <v>0</v>
      </c>
      <c r="AN375" s="90">
        <v>21</v>
      </c>
      <c r="AO375" s="90">
        <f t="shared" si="393"/>
        <v>0</v>
      </c>
      <c r="AP375" s="90">
        <f t="shared" si="394"/>
        <v>0</v>
      </c>
      <c r="AQ375" s="91" t="s">
        <v>85</v>
      </c>
      <c r="AV375" s="90">
        <f t="shared" si="395"/>
        <v>0</v>
      </c>
      <c r="AW375" s="90">
        <f t="shared" si="396"/>
        <v>0</v>
      </c>
      <c r="AX375" s="90">
        <f t="shared" si="397"/>
        <v>0</v>
      </c>
      <c r="AY375" s="91" t="s">
        <v>644</v>
      </c>
      <c r="AZ375" s="91" t="s">
        <v>1537</v>
      </c>
      <c r="BA375" s="154" t="s">
        <v>1542</v>
      </c>
      <c r="BC375" s="90">
        <f t="shared" si="398"/>
        <v>0</v>
      </c>
      <c r="BD375" s="90">
        <f t="shared" si="399"/>
        <v>0</v>
      </c>
      <c r="BE375" s="90">
        <v>0</v>
      </c>
      <c r="BF375" s="90">
        <f t="shared" si="400"/>
        <v>0</v>
      </c>
      <c r="BH375" s="90">
        <f t="shared" si="401"/>
        <v>0</v>
      </c>
      <c r="BI375" s="90">
        <f t="shared" si="402"/>
        <v>0</v>
      </c>
      <c r="BJ375" s="90">
        <f t="shared" si="403"/>
        <v>0</v>
      </c>
    </row>
    <row r="376" spans="1:62" ht="12.75">
      <c r="A376" s="88" t="s">
        <v>826</v>
      </c>
      <c r="B376" s="88" t="s">
        <v>60</v>
      </c>
      <c r="C376" s="88" t="s">
        <v>1055</v>
      </c>
      <c r="D376" s="88" t="s">
        <v>1336</v>
      </c>
      <c r="E376" s="88" t="s">
        <v>606</v>
      </c>
      <c r="F376" s="90">
        <v>0</v>
      </c>
      <c r="G376" s="90">
        <f>'Stavební rozpočet (SO 13)'!G210</f>
        <v>0</v>
      </c>
      <c r="H376" s="90">
        <f t="shared" si="378"/>
        <v>0</v>
      </c>
      <c r="I376" s="90">
        <f t="shared" si="379"/>
        <v>0</v>
      </c>
      <c r="J376" s="90">
        <f t="shared" si="380"/>
        <v>0</v>
      </c>
      <c r="K376" s="90">
        <v>0</v>
      </c>
      <c r="L376" s="90">
        <f t="shared" si="381"/>
        <v>0</v>
      </c>
      <c r="M376" s="91" t="s">
        <v>622</v>
      </c>
      <c r="O376" s="90"/>
      <c r="P376" s="90"/>
      <c r="Z376" s="90">
        <f t="shared" si="382"/>
        <v>0</v>
      </c>
      <c r="AB376" s="90">
        <f t="shared" si="383"/>
        <v>0</v>
      </c>
      <c r="AC376" s="90">
        <f t="shared" si="384"/>
        <v>0</v>
      </c>
      <c r="AD376" s="90">
        <f t="shared" si="385"/>
        <v>0</v>
      </c>
      <c r="AE376" s="90">
        <f t="shared" si="386"/>
        <v>0</v>
      </c>
      <c r="AF376" s="90">
        <f t="shared" si="387"/>
        <v>0</v>
      </c>
      <c r="AG376" s="90">
        <f t="shared" si="388"/>
        <v>0</v>
      </c>
      <c r="AH376" s="90">
        <f t="shared" si="389"/>
        <v>0</v>
      </c>
      <c r="AI376" s="154" t="s">
        <v>60</v>
      </c>
      <c r="AJ376" s="90">
        <f t="shared" si="390"/>
        <v>0</v>
      </c>
      <c r="AK376" s="90">
        <f t="shared" si="391"/>
        <v>0</v>
      </c>
      <c r="AL376" s="90">
        <f t="shared" si="392"/>
        <v>0</v>
      </c>
      <c r="AN376" s="90">
        <v>21</v>
      </c>
      <c r="AO376" s="90">
        <f t="shared" si="393"/>
        <v>0</v>
      </c>
      <c r="AP376" s="90">
        <f t="shared" si="394"/>
        <v>0</v>
      </c>
      <c r="AQ376" s="91" t="s">
        <v>85</v>
      </c>
      <c r="AV376" s="90">
        <f t="shared" si="395"/>
        <v>0</v>
      </c>
      <c r="AW376" s="90">
        <f t="shared" si="396"/>
        <v>0</v>
      </c>
      <c r="AX376" s="90">
        <f t="shared" si="397"/>
        <v>0</v>
      </c>
      <c r="AY376" s="91" t="s">
        <v>644</v>
      </c>
      <c r="AZ376" s="91" t="s">
        <v>1537</v>
      </c>
      <c r="BA376" s="154" t="s">
        <v>1542</v>
      </c>
      <c r="BC376" s="90">
        <f t="shared" si="398"/>
        <v>0</v>
      </c>
      <c r="BD376" s="90">
        <f t="shared" si="399"/>
        <v>0</v>
      </c>
      <c r="BE376" s="90">
        <v>0</v>
      </c>
      <c r="BF376" s="90">
        <f t="shared" si="400"/>
        <v>0</v>
      </c>
      <c r="BH376" s="90">
        <f t="shared" si="401"/>
        <v>0</v>
      </c>
      <c r="BI376" s="90">
        <f t="shared" si="402"/>
        <v>0</v>
      </c>
      <c r="BJ376" s="90">
        <f t="shared" si="403"/>
        <v>0</v>
      </c>
    </row>
    <row r="377" spans="1:62" ht="12.75">
      <c r="A377" s="88" t="s">
        <v>827</v>
      </c>
      <c r="B377" s="88" t="s">
        <v>60</v>
      </c>
      <c r="C377" s="88" t="s">
        <v>1056</v>
      </c>
      <c r="D377" s="88" t="s">
        <v>1337</v>
      </c>
      <c r="E377" s="88" t="s">
        <v>606</v>
      </c>
      <c r="F377" s="90">
        <v>0</v>
      </c>
      <c r="G377" s="90">
        <f>'Stavební rozpočet (SO 13)'!G211</f>
        <v>0</v>
      </c>
      <c r="H377" s="90">
        <f t="shared" si="378"/>
        <v>0</v>
      </c>
      <c r="I377" s="90">
        <f t="shared" si="379"/>
        <v>0</v>
      </c>
      <c r="J377" s="90">
        <f t="shared" si="380"/>
        <v>0</v>
      </c>
      <c r="K377" s="90">
        <v>0</v>
      </c>
      <c r="L377" s="90">
        <f t="shared" si="381"/>
        <v>0</v>
      </c>
      <c r="M377" s="91" t="s">
        <v>622</v>
      </c>
      <c r="O377" s="90"/>
      <c r="P377" s="90"/>
      <c r="Z377" s="90">
        <f t="shared" si="382"/>
        <v>0</v>
      </c>
      <c r="AB377" s="90">
        <f t="shared" si="383"/>
        <v>0</v>
      </c>
      <c r="AC377" s="90">
        <f t="shared" si="384"/>
        <v>0</v>
      </c>
      <c r="AD377" s="90">
        <f t="shared" si="385"/>
        <v>0</v>
      </c>
      <c r="AE377" s="90">
        <f t="shared" si="386"/>
        <v>0</v>
      </c>
      <c r="AF377" s="90">
        <f t="shared" si="387"/>
        <v>0</v>
      </c>
      <c r="AG377" s="90">
        <f t="shared" si="388"/>
        <v>0</v>
      </c>
      <c r="AH377" s="90">
        <f t="shared" si="389"/>
        <v>0</v>
      </c>
      <c r="AI377" s="154" t="s">
        <v>60</v>
      </c>
      <c r="AJ377" s="90">
        <f t="shared" si="390"/>
        <v>0</v>
      </c>
      <c r="AK377" s="90">
        <f t="shared" si="391"/>
        <v>0</v>
      </c>
      <c r="AL377" s="90">
        <f t="shared" si="392"/>
        <v>0</v>
      </c>
      <c r="AN377" s="90">
        <v>21</v>
      </c>
      <c r="AO377" s="90">
        <f t="shared" si="393"/>
        <v>0</v>
      </c>
      <c r="AP377" s="90">
        <f t="shared" si="394"/>
        <v>0</v>
      </c>
      <c r="AQ377" s="91" t="s">
        <v>85</v>
      </c>
      <c r="AV377" s="90">
        <f t="shared" si="395"/>
        <v>0</v>
      </c>
      <c r="AW377" s="90">
        <f t="shared" si="396"/>
        <v>0</v>
      </c>
      <c r="AX377" s="90">
        <f t="shared" si="397"/>
        <v>0</v>
      </c>
      <c r="AY377" s="91" t="s">
        <v>644</v>
      </c>
      <c r="AZ377" s="91" t="s">
        <v>1537</v>
      </c>
      <c r="BA377" s="154" t="s">
        <v>1542</v>
      </c>
      <c r="BC377" s="90">
        <f t="shared" si="398"/>
        <v>0</v>
      </c>
      <c r="BD377" s="90">
        <f t="shared" si="399"/>
        <v>0</v>
      </c>
      <c r="BE377" s="90">
        <v>0</v>
      </c>
      <c r="BF377" s="90">
        <f t="shared" si="400"/>
        <v>0</v>
      </c>
      <c r="BH377" s="90">
        <f t="shared" si="401"/>
        <v>0</v>
      </c>
      <c r="BI377" s="90">
        <f t="shared" si="402"/>
        <v>0</v>
      </c>
      <c r="BJ377" s="90">
        <f t="shared" si="403"/>
        <v>0</v>
      </c>
    </row>
    <row r="378" spans="1:62" ht="12.75">
      <c r="A378" s="88" t="s">
        <v>828</v>
      </c>
      <c r="B378" s="88" t="s">
        <v>60</v>
      </c>
      <c r="C378" s="88" t="s">
        <v>1057</v>
      </c>
      <c r="D378" s="88" t="s">
        <v>1338</v>
      </c>
      <c r="E378" s="88" t="s">
        <v>606</v>
      </c>
      <c r="F378" s="90">
        <v>0</v>
      </c>
      <c r="G378" s="90">
        <f>'Stavební rozpočet (SO 13)'!G212</f>
        <v>0</v>
      </c>
      <c r="H378" s="90">
        <f t="shared" si="378"/>
        <v>0</v>
      </c>
      <c r="I378" s="90">
        <f t="shared" si="379"/>
        <v>0</v>
      </c>
      <c r="J378" s="90">
        <f t="shared" si="380"/>
        <v>0</v>
      </c>
      <c r="K378" s="90">
        <v>0</v>
      </c>
      <c r="L378" s="90">
        <f t="shared" si="381"/>
        <v>0</v>
      </c>
      <c r="M378" s="91" t="s">
        <v>622</v>
      </c>
      <c r="O378" s="90"/>
      <c r="P378" s="90"/>
      <c r="Z378" s="90">
        <f t="shared" si="382"/>
        <v>0</v>
      </c>
      <c r="AB378" s="90">
        <f t="shared" si="383"/>
        <v>0</v>
      </c>
      <c r="AC378" s="90">
        <f t="shared" si="384"/>
        <v>0</v>
      </c>
      <c r="AD378" s="90">
        <f t="shared" si="385"/>
        <v>0</v>
      </c>
      <c r="AE378" s="90">
        <f t="shared" si="386"/>
        <v>0</v>
      </c>
      <c r="AF378" s="90">
        <f t="shared" si="387"/>
        <v>0</v>
      </c>
      <c r="AG378" s="90">
        <f t="shared" si="388"/>
        <v>0</v>
      </c>
      <c r="AH378" s="90">
        <f t="shared" si="389"/>
        <v>0</v>
      </c>
      <c r="AI378" s="154" t="s">
        <v>60</v>
      </c>
      <c r="AJ378" s="90">
        <f t="shared" si="390"/>
        <v>0</v>
      </c>
      <c r="AK378" s="90">
        <f t="shared" si="391"/>
        <v>0</v>
      </c>
      <c r="AL378" s="90">
        <f t="shared" si="392"/>
        <v>0</v>
      </c>
      <c r="AN378" s="90">
        <v>21</v>
      </c>
      <c r="AO378" s="90">
        <f t="shared" si="393"/>
        <v>0</v>
      </c>
      <c r="AP378" s="90">
        <f t="shared" si="394"/>
        <v>0</v>
      </c>
      <c r="AQ378" s="91" t="s">
        <v>85</v>
      </c>
      <c r="AV378" s="90">
        <f t="shared" si="395"/>
        <v>0</v>
      </c>
      <c r="AW378" s="90">
        <f t="shared" si="396"/>
        <v>0</v>
      </c>
      <c r="AX378" s="90">
        <f t="shared" si="397"/>
        <v>0</v>
      </c>
      <c r="AY378" s="91" t="s">
        <v>644</v>
      </c>
      <c r="AZ378" s="91" t="s">
        <v>1537</v>
      </c>
      <c r="BA378" s="154" t="s">
        <v>1542</v>
      </c>
      <c r="BC378" s="90">
        <f t="shared" si="398"/>
        <v>0</v>
      </c>
      <c r="BD378" s="90">
        <f t="shared" si="399"/>
        <v>0</v>
      </c>
      <c r="BE378" s="90">
        <v>0</v>
      </c>
      <c r="BF378" s="90">
        <f t="shared" si="400"/>
        <v>0</v>
      </c>
      <c r="BH378" s="90">
        <f t="shared" si="401"/>
        <v>0</v>
      </c>
      <c r="BI378" s="90">
        <f t="shared" si="402"/>
        <v>0</v>
      </c>
      <c r="BJ378" s="90">
        <f t="shared" si="403"/>
        <v>0</v>
      </c>
    </row>
    <row r="379" spans="1:62" ht="12.75">
      <c r="A379" s="88" t="s">
        <v>829</v>
      </c>
      <c r="B379" s="88" t="s">
        <v>60</v>
      </c>
      <c r="C379" s="88" t="s">
        <v>1058</v>
      </c>
      <c r="D379" s="88" t="s">
        <v>1339</v>
      </c>
      <c r="E379" s="88" t="s">
        <v>606</v>
      </c>
      <c r="F379" s="90">
        <v>0</v>
      </c>
      <c r="G379" s="90">
        <f>'Stavební rozpočet (SO 13)'!G213</f>
        <v>0</v>
      </c>
      <c r="H379" s="90">
        <f t="shared" si="378"/>
        <v>0</v>
      </c>
      <c r="I379" s="90">
        <f t="shared" si="379"/>
        <v>0</v>
      </c>
      <c r="J379" s="90">
        <f t="shared" si="380"/>
        <v>0</v>
      </c>
      <c r="K379" s="90">
        <v>0</v>
      </c>
      <c r="L379" s="90">
        <f t="shared" si="381"/>
        <v>0</v>
      </c>
      <c r="M379" s="91" t="s">
        <v>622</v>
      </c>
      <c r="O379" s="90"/>
      <c r="P379" s="90"/>
      <c r="Z379" s="90">
        <f t="shared" si="382"/>
        <v>0</v>
      </c>
      <c r="AB379" s="90">
        <f t="shared" si="383"/>
        <v>0</v>
      </c>
      <c r="AC379" s="90">
        <f t="shared" si="384"/>
        <v>0</v>
      </c>
      <c r="AD379" s="90">
        <f t="shared" si="385"/>
        <v>0</v>
      </c>
      <c r="AE379" s="90">
        <f t="shared" si="386"/>
        <v>0</v>
      </c>
      <c r="AF379" s="90">
        <f t="shared" si="387"/>
        <v>0</v>
      </c>
      <c r="AG379" s="90">
        <f t="shared" si="388"/>
        <v>0</v>
      </c>
      <c r="AH379" s="90">
        <f t="shared" si="389"/>
        <v>0</v>
      </c>
      <c r="AI379" s="154" t="s">
        <v>60</v>
      </c>
      <c r="AJ379" s="90">
        <f t="shared" si="390"/>
        <v>0</v>
      </c>
      <c r="AK379" s="90">
        <f t="shared" si="391"/>
        <v>0</v>
      </c>
      <c r="AL379" s="90">
        <f t="shared" si="392"/>
        <v>0</v>
      </c>
      <c r="AN379" s="90">
        <v>21</v>
      </c>
      <c r="AO379" s="90">
        <f t="shared" si="393"/>
        <v>0</v>
      </c>
      <c r="AP379" s="90">
        <f t="shared" si="394"/>
        <v>0</v>
      </c>
      <c r="AQ379" s="91" t="s">
        <v>85</v>
      </c>
      <c r="AV379" s="90">
        <f t="shared" si="395"/>
        <v>0</v>
      </c>
      <c r="AW379" s="90">
        <f t="shared" si="396"/>
        <v>0</v>
      </c>
      <c r="AX379" s="90">
        <f t="shared" si="397"/>
        <v>0</v>
      </c>
      <c r="AY379" s="91" t="s">
        <v>644</v>
      </c>
      <c r="AZ379" s="91" t="s">
        <v>1537</v>
      </c>
      <c r="BA379" s="154" t="s">
        <v>1542</v>
      </c>
      <c r="BC379" s="90">
        <f t="shared" si="398"/>
        <v>0</v>
      </c>
      <c r="BD379" s="90">
        <f t="shared" si="399"/>
        <v>0</v>
      </c>
      <c r="BE379" s="90">
        <v>0</v>
      </c>
      <c r="BF379" s="90">
        <f t="shared" si="400"/>
        <v>0</v>
      </c>
      <c r="BH379" s="90">
        <f t="shared" si="401"/>
        <v>0</v>
      </c>
      <c r="BI379" s="90">
        <f t="shared" si="402"/>
        <v>0</v>
      </c>
      <c r="BJ379" s="90">
        <f t="shared" si="403"/>
        <v>0</v>
      </c>
    </row>
    <row r="380" spans="1:62" ht="12.75">
      <c r="A380" s="88" t="s">
        <v>830</v>
      </c>
      <c r="B380" s="88" t="s">
        <v>60</v>
      </c>
      <c r="C380" s="88" t="s">
        <v>181</v>
      </c>
      <c r="D380" s="88" t="s">
        <v>1342</v>
      </c>
      <c r="E380" s="88" t="s">
        <v>609</v>
      </c>
      <c r="F380" s="90">
        <v>0.8</v>
      </c>
      <c r="G380" s="90">
        <f>'Stavební rozpočet (SO 13)'!G214</f>
        <v>0</v>
      </c>
      <c r="H380" s="90">
        <f t="shared" si="378"/>
        <v>0</v>
      </c>
      <c r="I380" s="90">
        <f t="shared" si="379"/>
        <v>0</v>
      </c>
      <c r="J380" s="90">
        <f t="shared" si="380"/>
        <v>0</v>
      </c>
      <c r="K380" s="90">
        <v>0</v>
      </c>
      <c r="L380" s="90">
        <f t="shared" si="381"/>
        <v>0</v>
      </c>
      <c r="M380" s="91" t="s">
        <v>622</v>
      </c>
      <c r="O380" s="90"/>
      <c r="P380" s="90"/>
      <c r="Z380" s="90">
        <f t="shared" si="382"/>
        <v>0</v>
      </c>
      <c r="AB380" s="90">
        <f t="shared" si="383"/>
        <v>0</v>
      </c>
      <c r="AC380" s="90">
        <f t="shared" si="384"/>
        <v>0</v>
      </c>
      <c r="AD380" s="90">
        <f t="shared" si="385"/>
        <v>0</v>
      </c>
      <c r="AE380" s="90">
        <f t="shared" si="386"/>
        <v>0</v>
      </c>
      <c r="AF380" s="90">
        <f t="shared" si="387"/>
        <v>0</v>
      </c>
      <c r="AG380" s="90">
        <f t="shared" si="388"/>
        <v>0</v>
      </c>
      <c r="AH380" s="90">
        <f t="shared" si="389"/>
        <v>0</v>
      </c>
      <c r="AI380" s="154" t="s">
        <v>60</v>
      </c>
      <c r="AJ380" s="90">
        <f t="shared" si="390"/>
        <v>0</v>
      </c>
      <c r="AK380" s="90">
        <f t="shared" si="391"/>
        <v>0</v>
      </c>
      <c r="AL380" s="90">
        <f t="shared" si="392"/>
        <v>0</v>
      </c>
      <c r="AN380" s="90">
        <v>21</v>
      </c>
      <c r="AO380" s="90">
        <f t="shared" si="393"/>
        <v>0</v>
      </c>
      <c r="AP380" s="90">
        <f t="shared" si="394"/>
        <v>0</v>
      </c>
      <c r="AQ380" s="91" t="s">
        <v>85</v>
      </c>
      <c r="AV380" s="90">
        <f t="shared" si="395"/>
        <v>0</v>
      </c>
      <c r="AW380" s="90">
        <f t="shared" si="396"/>
        <v>0</v>
      </c>
      <c r="AX380" s="90">
        <f t="shared" si="397"/>
        <v>0</v>
      </c>
      <c r="AY380" s="91" t="s">
        <v>644</v>
      </c>
      <c r="AZ380" s="91" t="s">
        <v>1537</v>
      </c>
      <c r="BA380" s="154" t="s">
        <v>1542</v>
      </c>
      <c r="BC380" s="90">
        <f t="shared" si="398"/>
        <v>0</v>
      </c>
      <c r="BD380" s="90">
        <f t="shared" si="399"/>
        <v>0</v>
      </c>
      <c r="BE380" s="90">
        <v>0</v>
      </c>
      <c r="BF380" s="90">
        <f t="shared" si="400"/>
        <v>0</v>
      </c>
      <c r="BH380" s="90">
        <f t="shared" si="401"/>
        <v>0</v>
      </c>
      <c r="BI380" s="90">
        <f t="shared" si="402"/>
        <v>0</v>
      </c>
      <c r="BJ380" s="90">
        <f t="shared" si="403"/>
        <v>0</v>
      </c>
    </row>
    <row r="381" spans="1:62" ht="12.75">
      <c r="A381" s="88" t="s">
        <v>831</v>
      </c>
      <c r="B381" s="88" t="s">
        <v>60</v>
      </c>
      <c r="C381" s="88" t="s">
        <v>182</v>
      </c>
      <c r="D381" s="88" t="s">
        <v>1343</v>
      </c>
      <c r="E381" s="88" t="s">
        <v>609</v>
      </c>
      <c r="F381" s="90">
        <v>0</v>
      </c>
      <c r="G381" s="90">
        <f>'Stavební rozpočet (SO 13)'!G215</f>
        <v>0</v>
      </c>
      <c r="H381" s="90">
        <f t="shared" si="378"/>
        <v>0</v>
      </c>
      <c r="I381" s="90">
        <f t="shared" si="379"/>
        <v>0</v>
      </c>
      <c r="J381" s="90">
        <f t="shared" si="380"/>
        <v>0</v>
      </c>
      <c r="K381" s="90">
        <v>0</v>
      </c>
      <c r="L381" s="90">
        <f t="shared" si="381"/>
        <v>0</v>
      </c>
      <c r="M381" s="91" t="s">
        <v>622</v>
      </c>
      <c r="O381" s="90"/>
      <c r="P381" s="90"/>
      <c r="Z381" s="90">
        <f t="shared" si="382"/>
        <v>0</v>
      </c>
      <c r="AB381" s="90">
        <f t="shared" si="383"/>
        <v>0</v>
      </c>
      <c r="AC381" s="90">
        <f t="shared" si="384"/>
        <v>0</v>
      </c>
      <c r="AD381" s="90">
        <f t="shared" si="385"/>
        <v>0</v>
      </c>
      <c r="AE381" s="90">
        <f t="shared" si="386"/>
        <v>0</v>
      </c>
      <c r="AF381" s="90">
        <f t="shared" si="387"/>
        <v>0</v>
      </c>
      <c r="AG381" s="90">
        <f t="shared" si="388"/>
        <v>0</v>
      </c>
      <c r="AH381" s="90">
        <f t="shared" si="389"/>
        <v>0</v>
      </c>
      <c r="AI381" s="154" t="s">
        <v>60</v>
      </c>
      <c r="AJ381" s="90">
        <f t="shared" si="390"/>
        <v>0</v>
      </c>
      <c r="AK381" s="90">
        <f t="shared" si="391"/>
        <v>0</v>
      </c>
      <c r="AL381" s="90">
        <f t="shared" si="392"/>
        <v>0</v>
      </c>
      <c r="AN381" s="90">
        <v>21</v>
      </c>
      <c r="AO381" s="90">
        <f t="shared" si="393"/>
        <v>0</v>
      </c>
      <c r="AP381" s="90">
        <f t="shared" si="394"/>
        <v>0</v>
      </c>
      <c r="AQ381" s="91" t="s">
        <v>85</v>
      </c>
      <c r="AV381" s="90">
        <f t="shared" si="395"/>
        <v>0</v>
      </c>
      <c r="AW381" s="90">
        <f t="shared" si="396"/>
        <v>0</v>
      </c>
      <c r="AX381" s="90">
        <f t="shared" si="397"/>
        <v>0</v>
      </c>
      <c r="AY381" s="91" t="s">
        <v>644</v>
      </c>
      <c r="AZ381" s="91" t="s">
        <v>1537</v>
      </c>
      <c r="BA381" s="154" t="s">
        <v>1542</v>
      </c>
      <c r="BC381" s="90">
        <f t="shared" si="398"/>
        <v>0</v>
      </c>
      <c r="BD381" s="90">
        <f t="shared" si="399"/>
        <v>0</v>
      </c>
      <c r="BE381" s="90">
        <v>0</v>
      </c>
      <c r="BF381" s="90">
        <f t="shared" si="400"/>
        <v>0</v>
      </c>
      <c r="BH381" s="90">
        <f t="shared" si="401"/>
        <v>0</v>
      </c>
      <c r="BI381" s="90">
        <f t="shared" si="402"/>
        <v>0</v>
      </c>
      <c r="BJ381" s="90">
        <f t="shared" si="403"/>
        <v>0</v>
      </c>
    </row>
    <row r="382" spans="1:62" ht="12.75">
      <c r="A382" s="88" t="s">
        <v>832</v>
      </c>
      <c r="B382" s="88" t="s">
        <v>60</v>
      </c>
      <c r="C382" s="88" t="s">
        <v>183</v>
      </c>
      <c r="D382" s="88" t="s">
        <v>1344</v>
      </c>
      <c r="E382" s="88" t="s">
        <v>609</v>
      </c>
      <c r="F382" s="90">
        <v>6.1</v>
      </c>
      <c r="G382" s="90">
        <f>'Stavební rozpočet (SO 13)'!G216</f>
        <v>0</v>
      </c>
      <c r="H382" s="90">
        <f t="shared" si="378"/>
        <v>0</v>
      </c>
      <c r="I382" s="90">
        <f t="shared" si="379"/>
        <v>0</v>
      </c>
      <c r="J382" s="90">
        <f t="shared" si="380"/>
        <v>0</v>
      </c>
      <c r="K382" s="90">
        <v>0</v>
      </c>
      <c r="L382" s="90">
        <f t="shared" si="381"/>
        <v>0</v>
      </c>
      <c r="M382" s="91" t="s">
        <v>622</v>
      </c>
      <c r="O382" s="90"/>
      <c r="P382" s="90"/>
      <c r="Z382" s="90">
        <f t="shared" si="382"/>
        <v>0</v>
      </c>
      <c r="AB382" s="90">
        <f t="shared" si="383"/>
        <v>0</v>
      </c>
      <c r="AC382" s="90">
        <f t="shared" si="384"/>
        <v>0</v>
      </c>
      <c r="AD382" s="90">
        <f t="shared" si="385"/>
        <v>0</v>
      </c>
      <c r="AE382" s="90">
        <f t="shared" si="386"/>
        <v>0</v>
      </c>
      <c r="AF382" s="90">
        <f t="shared" si="387"/>
        <v>0</v>
      </c>
      <c r="AG382" s="90">
        <f t="shared" si="388"/>
        <v>0</v>
      </c>
      <c r="AH382" s="90">
        <f t="shared" si="389"/>
        <v>0</v>
      </c>
      <c r="AI382" s="154" t="s">
        <v>60</v>
      </c>
      <c r="AJ382" s="90">
        <f t="shared" si="390"/>
        <v>0</v>
      </c>
      <c r="AK382" s="90">
        <f t="shared" si="391"/>
        <v>0</v>
      </c>
      <c r="AL382" s="90">
        <f t="shared" si="392"/>
        <v>0</v>
      </c>
      <c r="AN382" s="90">
        <v>21</v>
      </c>
      <c r="AO382" s="90">
        <f t="shared" si="393"/>
        <v>0</v>
      </c>
      <c r="AP382" s="90">
        <f t="shared" si="394"/>
        <v>0</v>
      </c>
      <c r="AQ382" s="91" t="s">
        <v>85</v>
      </c>
      <c r="AV382" s="90">
        <f t="shared" si="395"/>
        <v>0</v>
      </c>
      <c r="AW382" s="90">
        <f t="shared" si="396"/>
        <v>0</v>
      </c>
      <c r="AX382" s="90">
        <f t="shared" si="397"/>
        <v>0</v>
      </c>
      <c r="AY382" s="91" t="s">
        <v>644</v>
      </c>
      <c r="AZ382" s="91" t="s">
        <v>1537</v>
      </c>
      <c r="BA382" s="154" t="s">
        <v>1542</v>
      </c>
      <c r="BC382" s="90">
        <f t="shared" si="398"/>
        <v>0</v>
      </c>
      <c r="BD382" s="90">
        <f t="shared" si="399"/>
        <v>0</v>
      </c>
      <c r="BE382" s="90">
        <v>0</v>
      </c>
      <c r="BF382" s="90">
        <f t="shared" si="400"/>
        <v>0</v>
      </c>
      <c r="BH382" s="90">
        <f t="shared" si="401"/>
        <v>0</v>
      </c>
      <c r="BI382" s="90">
        <f t="shared" si="402"/>
        <v>0</v>
      </c>
      <c r="BJ382" s="90">
        <f t="shared" si="403"/>
        <v>0</v>
      </c>
    </row>
    <row r="383" spans="1:62" ht="12.75">
      <c r="A383" s="88" t="s">
        <v>833</v>
      </c>
      <c r="B383" s="88" t="s">
        <v>60</v>
      </c>
      <c r="C383" s="88" t="s">
        <v>184</v>
      </c>
      <c r="D383" s="88" t="s">
        <v>1345</v>
      </c>
      <c r="E383" s="88" t="s">
        <v>609</v>
      </c>
      <c r="F383" s="90">
        <v>6.4</v>
      </c>
      <c r="G383" s="90">
        <f>'Stavební rozpočet (SO 13)'!G217</f>
        <v>0</v>
      </c>
      <c r="H383" s="90">
        <f t="shared" si="378"/>
        <v>0</v>
      </c>
      <c r="I383" s="90">
        <f t="shared" si="379"/>
        <v>0</v>
      </c>
      <c r="J383" s="90">
        <f t="shared" si="380"/>
        <v>0</v>
      </c>
      <c r="K383" s="90">
        <v>0</v>
      </c>
      <c r="L383" s="90">
        <f t="shared" si="381"/>
        <v>0</v>
      </c>
      <c r="M383" s="91" t="s">
        <v>622</v>
      </c>
      <c r="O383" s="90"/>
      <c r="P383" s="90"/>
      <c r="Z383" s="90">
        <f t="shared" si="382"/>
        <v>0</v>
      </c>
      <c r="AB383" s="90">
        <f t="shared" si="383"/>
        <v>0</v>
      </c>
      <c r="AC383" s="90">
        <f t="shared" si="384"/>
        <v>0</v>
      </c>
      <c r="AD383" s="90">
        <f t="shared" si="385"/>
        <v>0</v>
      </c>
      <c r="AE383" s="90">
        <f t="shared" si="386"/>
        <v>0</v>
      </c>
      <c r="AF383" s="90">
        <f t="shared" si="387"/>
        <v>0</v>
      </c>
      <c r="AG383" s="90">
        <f t="shared" si="388"/>
        <v>0</v>
      </c>
      <c r="AH383" s="90">
        <f t="shared" si="389"/>
        <v>0</v>
      </c>
      <c r="AI383" s="154" t="s">
        <v>60</v>
      </c>
      <c r="AJ383" s="90">
        <f t="shared" si="390"/>
        <v>0</v>
      </c>
      <c r="AK383" s="90">
        <f t="shared" si="391"/>
        <v>0</v>
      </c>
      <c r="AL383" s="90">
        <f t="shared" si="392"/>
        <v>0</v>
      </c>
      <c r="AN383" s="90">
        <v>21</v>
      </c>
      <c r="AO383" s="90">
        <f t="shared" si="393"/>
        <v>0</v>
      </c>
      <c r="AP383" s="90">
        <f t="shared" si="394"/>
        <v>0</v>
      </c>
      <c r="AQ383" s="91" t="s">
        <v>85</v>
      </c>
      <c r="AV383" s="90">
        <f t="shared" si="395"/>
        <v>0</v>
      </c>
      <c r="AW383" s="90">
        <f t="shared" si="396"/>
        <v>0</v>
      </c>
      <c r="AX383" s="90">
        <f t="shared" si="397"/>
        <v>0</v>
      </c>
      <c r="AY383" s="91" t="s">
        <v>644</v>
      </c>
      <c r="AZ383" s="91" t="s">
        <v>1537</v>
      </c>
      <c r="BA383" s="154" t="s">
        <v>1542</v>
      </c>
      <c r="BC383" s="90">
        <f t="shared" si="398"/>
        <v>0</v>
      </c>
      <c r="BD383" s="90">
        <f t="shared" si="399"/>
        <v>0</v>
      </c>
      <c r="BE383" s="90">
        <v>0</v>
      </c>
      <c r="BF383" s="90">
        <f t="shared" si="400"/>
        <v>0</v>
      </c>
      <c r="BH383" s="90">
        <f t="shared" si="401"/>
        <v>0</v>
      </c>
      <c r="BI383" s="90">
        <f t="shared" si="402"/>
        <v>0</v>
      </c>
      <c r="BJ383" s="90">
        <f t="shared" si="403"/>
        <v>0</v>
      </c>
    </row>
    <row r="384" spans="1:62" ht="12.75">
      <c r="A384" s="88" t="s">
        <v>834</v>
      </c>
      <c r="B384" s="88" t="s">
        <v>60</v>
      </c>
      <c r="C384" s="88" t="s">
        <v>185</v>
      </c>
      <c r="D384" s="88" t="s">
        <v>1346</v>
      </c>
      <c r="E384" s="88" t="s">
        <v>609</v>
      </c>
      <c r="F384" s="90">
        <v>9.2</v>
      </c>
      <c r="G384" s="90">
        <f>'Stavební rozpočet (SO 13)'!G218</f>
        <v>0</v>
      </c>
      <c r="H384" s="90">
        <f t="shared" si="378"/>
        <v>0</v>
      </c>
      <c r="I384" s="90">
        <f t="shared" si="379"/>
        <v>0</v>
      </c>
      <c r="J384" s="90">
        <f t="shared" si="380"/>
        <v>0</v>
      </c>
      <c r="K384" s="90">
        <v>0</v>
      </c>
      <c r="L384" s="90">
        <f t="shared" si="381"/>
        <v>0</v>
      </c>
      <c r="M384" s="91" t="s">
        <v>622</v>
      </c>
      <c r="O384" s="90"/>
      <c r="P384" s="90"/>
      <c r="Z384" s="90">
        <f t="shared" si="382"/>
        <v>0</v>
      </c>
      <c r="AB384" s="90">
        <f t="shared" si="383"/>
        <v>0</v>
      </c>
      <c r="AC384" s="90">
        <f t="shared" si="384"/>
        <v>0</v>
      </c>
      <c r="AD384" s="90">
        <f t="shared" si="385"/>
        <v>0</v>
      </c>
      <c r="AE384" s="90">
        <f t="shared" si="386"/>
        <v>0</v>
      </c>
      <c r="AF384" s="90">
        <f t="shared" si="387"/>
        <v>0</v>
      </c>
      <c r="AG384" s="90">
        <f t="shared" si="388"/>
        <v>0</v>
      </c>
      <c r="AH384" s="90">
        <f t="shared" si="389"/>
        <v>0</v>
      </c>
      <c r="AI384" s="154" t="s">
        <v>60</v>
      </c>
      <c r="AJ384" s="90">
        <f t="shared" si="390"/>
        <v>0</v>
      </c>
      <c r="AK384" s="90">
        <f t="shared" si="391"/>
        <v>0</v>
      </c>
      <c r="AL384" s="90">
        <f t="shared" si="392"/>
        <v>0</v>
      </c>
      <c r="AN384" s="90">
        <v>21</v>
      </c>
      <c r="AO384" s="90">
        <f t="shared" si="393"/>
        <v>0</v>
      </c>
      <c r="AP384" s="90">
        <f t="shared" si="394"/>
        <v>0</v>
      </c>
      <c r="AQ384" s="91" t="s">
        <v>85</v>
      </c>
      <c r="AV384" s="90">
        <f t="shared" si="395"/>
        <v>0</v>
      </c>
      <c r="AW384" s="90">
        <f t="shared" si="396"/>
        <v>0</v>
      </c>
      <c r="AX384" s="90">
        <f t="shared" si="397"/>
        <v>0</v>
      </c>
      <c r="AY384" s="91" t="s">
        <v>644</v>
      </c>
      <c r="AZ384" s="91" t="s">
        <v>1537</v>
      </c>
      <c r="BA384" s="154" t="s">
        <v>1542</v>
      </c>
      <c r="BC384" s="90">
        <f t="shared" si="398"/>
        <v>0</v>
      </c>
      <c r="BD384" s="90">
        <f t="shared" si="399"/>
        <v>0</v>
      </c>
      <c r="BE384" s="90">
        <v>0</v>
      </c>
      <c r="BF384" s="90">
        <f t="shared" si="400"/>
        <v>0</v>
      </c>
      <c r="BH384" s="90">
        <f t="shared" si="401"/>
        <v>0</v>
      </c>
      <c r="BI384" s="90">
        <f t="shared" si="402"/>
        <v>0</v>
      </c>
      <c r="BJ384" s="90">
        <f t="shared" si="403"/>
        <v>0</v>
      </c>
    </row>
    <row r="385" spans="1:62" ht="12.75">
      <c r="A385" s="88" t="s">
        <v>835</v>
      </c>
      <c r="B385" s="88" t="s">
        <v>60</v>
      </c>
      <c r="C385" s="88" t="s">
        <v>186</v>
      </c>
      <c r="D385" s="88" t="s">
        <v>1347</v>
      </c>
      <c r="E385" s="88" t="s">
        <v>609</v>
      </c>
      <c r="F385" s="90">
        <v>9.1</v>
      </c>
      <c r="G385" s="90">
        <f>'Stavební rozpočet (SO 13)'!G219</f>
        <v>0</v>
      </c>
      <c r="H385" s="90">
        <f t="shared" si="378"/>
        <v>0</v>
      </c>
      <c r="I385" s="90">
        <f t="shared" si="379"/>
        <v>0</v>
      </c>
      <c r="J385" s="90">
        <f t="shared" si="380"/>
        <v>0</v>
      </c>
      <c r="K385" s="90">
        <v>0</v>
      </c>
      <c r="L385" s="90">
        <f t="shared" si="381"/>
        <v>0</v>
      </c>
      <c r="M385" s="91" t="s">
        <v>622</v>
      </c>
      <c r="O385" s="90"/>
      <c r="P385" s="90"/>
      <c r="Z385" s="90">
        <f t="shared" si="382"/>
        <v>0</v>
      </c>
      <c r="AB385" s="90">
        <f t="shared" si="383"/>
        <v>0</v>
      </c>
      <c r="AC385" s="90">
        <f t="shared" si="384"/>
        <v>0</v>
      </c>
      <c r="AD385" s="90">
        <f t="shared" si="385"/>
        <v>0</v>
      </c>
      <c r="AE385" s="90">
        <f t="shared" si="386"/>
        <v>0</v>
      </c>
      <c r="AF385" s="90">
        <f t="shared" si="387"/>
        <v>0</v>
      </c>
      <c r="AG385" s="90">
        <f t="shared" si="388"/>
        <v>0</v>
      </c>
      <c r="AH385" s="90">
        <f t="shared" si="389"/>
        <v>0</v>
      </c>
      <c r="AI385" s="154" t="s">
        <v>60</v>
      </c>
      <c r="AJ385" s="90">
        <f t="shared" si="390"/>
        <v>0</v>
      </c>
      <c r="AK385" s="90">
        <f t="shared" si="391"/>
        <v>0</v>
      </c>
      <c r="AL385" s="90">
        <f t="shared" si="392"/>
        <v>0</v>
      </c>
      <c r="AN385" s="90">
        <v>21</v>
      </c>
      <c r="AO385" s="90">
        <f t="shared" si="393"/>
        <v>0</v>
      </c>
      <c r="AP385" s="90">
        <f t="shared" si="394"/>
        <v>0</v>
      </c>
      <c r="AQ385" s="91" t="s">
        <v>85</v>
      </c>
      <c r="AV385" s="90">
        <f t="shared" si="395"/>
        <v>0</v>
      </c>
      <c r="AW385" s="90">
        <f t="shared" si="396"/>
        <v>0</v>
      </c>
      <c r="AX385" s="90">
        <f t="shared" si="397"/>
        <v>0</v>
      </c>
      <c r="AY385" s="91" t="s">
        <v>644</v>
      </c>
      <c r="AZ385" s="91" t="s">
        <v>1537</v>
      </c>
      <c r="BA385" s="154" t="s">
        <v>1542</v>
      </c>
      <c r="BC385" s="90">
        <f t="shared" si="398"/>
        <v>0</v>
      </c>
      <c r="BD385" s="90">
        <f t="shared" si="399"/>
        <v>0</v>
      </c>
      <c r="BE385" s="90">
        <v>0</v>
      </c>
      <c r="BF385" s="90">
        <f t="shared" si="400"/>
        <v>0</v>
      </c>
      <c r="BH385" s="90">
        <f t="shared" si="401"/>
        <v>0</v>
      </c>
      <c r="BI385" s="90">
        <f t="shared" si="402"/>
        <v>0</v>
      </c>
      <c r="BJ385" s="90">
        <f t="shared" si="403"/>
        <v>0</v>
      </c>
    </row>
    <row r="386" spans="1:62" ht="12.75">
      <c r="A386" s="88" t="s">
        <v>836</v>
      </c>
      <c r="B386" s="88" t="s">
        <v>60</v>
      </c>
      <c r="C386" s="88" t="s">
        <v>187</v>
      </c>
      <c r="D386" s="88" t="s">
        <v>1348</v>
      </c>
      <c r="E386" s="88" t="s">
        <v>609</v>
      </c>
      <c r="F386" s="90">
        <v>0</v>
      </c>
      <c r="G386" s="90">
        <f>'Stavební rozpočet (SO 13)'!G220</f>
        <v>0</v>
      </c>
      <c r="H386" s="90">
        <f t="shared" si="378"/>
        <v>0</v>
      </c>
      <c r="I386" s="90">
        <f t="shared" si="379"/>
        <v>0</v>
      </c>
      <c r="J386" s="90">
        <f t="shared" si="380"/>
        <v>0</v>
      </c>
      <c r="K386" s="90">
        <v>0</v>
      </c>
      <c r="L386" s="90">
        <f t="shared" si="381"/>
        <v>0</v>
      </c>
      <c r="M386" s="91" t="s">
        <v>622</v>
      </c>
      <c r="O386" s="90"/>
      <c r="P386" s="90"/>
      <c r="Z386" s="90">
        <f t="shared" si="382"/>
        <v>0</v>
      </c>
      <c r="AB386" s="90">
        <f t="shared" si="383"/>
        <v>0</v>
      </c>
      <c r="AC386" s="90">
        <f t="shared" si="384"/>
        <v>0</v>
      </c>
      <c r="AD386" s="90">
        <f t="shared" si="385"/>
        <v>0</v>
      </c>
      <c r="AE386" s="90">
        <f t="shared" si="386"/>
        <v>0</v>
      </c>
      <c r="AF386" s="90">
        <f t="shared" si="387"/>
        <v>0</v>
      </c>
      <c r="AG386" s="90">
        <f t="shared" si="388"/>
        <v>0</v>
      </c>
      <c r="AH386" s="90">
        <f t="shared" si="389"/>
        <v>0</v>
      </c>
      <c r="AI386" s="154" t="s">
        <v>60</v>
      </c>
      <c r="AJ386" s="90">
        <f t="shared" si="390"/>
        <v>0</v>
      </c>
      <c r="AK386" s="90">
        <f t="shared" si="391"/>
        <v>0</v>
      </c>
      <c r="AL386" s="90">
        <f t="shared" si="392"/>
        <v>0</v>
      </c>
      <c r="AN386" s="90">
        <v>21</v>
      </c>
      <c r="AO386" s="90">
        <f t="shared" si="393"/>
        <v>0</v>
      </c>
      <c r="AP386" s="90">
        <f t="shared" si="394"/>
        <v>0</v>
      </c>
      <c r="AQ386" s="91" t="s">
        <v>85</v>
      </c>
      <c r="AV386" s="90">
        <f t="shared" si="395"/>
        <v>0</v>
      </c>
      <c r="AW386" s="90">
        <f t="shared" si="396"/>
        <v>0</v>
      </c>
      <c r="AX386" s="90">
        <f t="shared" si="397"/>
        <v>0</v>
      </c>
      <c r="AY386" s="91" t="s">
        <v>644</v>
      </c>
      <c r="AZ386" s="91" t="s">
        <v>1537</v>
      </c>
      <c r="BA386" s="154" t="s">
        <v>1542</v>
      </c>
      <c r="BC386" s="90">
        <f t="shared" si="398"/>
        <v>0</v>
      </c>
      <c r="BD386" s="90">
        <f t="shared" si="399"/>
        <v>0</v>
      </c>
      <c r="BE386" s="90">
        <v>0</v>
      </c>
      <c r="BF386" s="90">
        <f t="shared" si="400"/>
        <v>0</v>
      </c>
      <c r="BH386" s="90">
        <f t="shared" si="401"/>
        <v>0</v>
      </c>
      <c r="BI386" s="90">
        <f t="shared" si="402"/>
        <v>0</v>
      </c>
      <c r="BJ386" s="90">
        <f t="shared" si="403"/>
        <v>0</v>
      </c>
    </row>
    <row r="387" spans="1:62" ht="12.75">
      <c r="A387" s="88" t="s">
        <v>837</v>
      </c>
      <c r="B387" s="88" t="s">
        <v>60</v>
      </c>
      <c r="C387" s="88" t="s">
        <v>188</v>
      </c>
      <c r="D387" s="88" t="s">
        <v>1349</v>
      </c>
      <c r="E387" s="88" t="s">
        <v>606</v>
      </c>
      <c r="F387" s="90">
        <v>5</v>
      </c>
      <c r="G387" s="90">
        <f>'Stavební rozpočet (SO 13)'!G221</f>
        <v>0</v>
      </c>
      <c r="H387" s="90">
        <f t="shared" si="378"/>
        <v>0</v>
      </c>
      <c r="I387" s="90">
        <f t="shared" si="379"/>
        <v>0</v>
      </c>
      <c r="J387" s="90">
        <f t="shared" si="380"/>
        <v>0</v>
      </c>
      <c r="K387" s="90">
        <v>0</v>
      </c>
      <c r="L387" s="90">
        <f t="shared" si="381"/>
        <v>0</v>
      </c>
      <c r="M387" s="91" t="s">
        <v>622</v>
      </c>
      <c r="O387" s="90"/>
      <c r="P387" s="90"/>
      <c r="Z387" s="90">
        <f t="shared" si="382"/>
        <v>0</v>
      </c>
      <c r="AB387" s="90">
        <f t="shared" si="383"/>
        <v>0</v>
      </c>
      <c r="AC387" s="90">
        <f t="shared" si="384"/>
        <v>0</v>
      </c>
      <c r="AD387" s="90">
        <f t="shared" si="385"/>
        <v>0</v>
      </c>
      <c r="AE387" s="90">
        <f t="shared" si="386"/>
        <v>0</v>
      </c>
      <c r="AF387" s="90">
        <f t="shared" si="387"/>
        <v>0</v>
      </c>
      <c r="AG387" s="90">
        <f t="shared" si="388"/>
        <v>0</v>
      </c>
      <c r="AH387" s="90">
        <f t="shared" si="389"/>
        <v>0</v>
      </c>
      <c r="AI387" s="154" t="s">
        <v>60</v>
      </c>
      <c r="AJ387" s="90">
        <f t="shared" si="390"/>
        <v>0</v>
      </c>
      <c r="AK387" s="90">
        <f t="shared" si="391"/>
        <v>0</v>
      </c>
      <c r="AL387" s="90">
        <f t="shared" si="392"/>
        <v>0</v>
      </c>
      <c r="AN387" s="90">
        <v>21</v>
      </c>
      <c r="AO387" s="90">
        <f t="shared" si="393"/>
        <v>0</v>
      </c>
      <c r="AP387" s="90">
        <f t="shared" si="394"/>
        <v>0</v>
      </c>
      <c r="AQ387" s="91" t="s">
        <v>85</v>
      </c>
      <c r="AV387" s="90">
        <f t="shared" si="395"/>
        <v>0</v>
      </c>
      <c r="AW387" s="90">
        <f t="shared" si="396"/>
        <v>0</v>
      </c>
      <c r="AX387" s="90">
        <f t="shared" si="397"/>
        <v>0</v>
      </c>
      <c r="AY387" s="91" t="s">
        <v>644</v>
      </c>
      <c r="AZ387" s="91" t="s">
        <v>1537</v>
      </c>
      <c r="BA387" s="154" t="s">
        <v>1542</v>
      </c>
      <c r="BC387" s="90">
        <f t="shared" si="398"/>
        <v>0</v>
      </c>
      <c r="BD387" s="90">
        <f t="shared" si="399"/>
        <v>0</v>
      </c>
      <c r="BE387" s="90">
        <v>0</v>
      </c>
      <c r="BF387" s="90">
        <f t="shared" si="400"/>
        <v>0</v>
      </c>
      <c r="BH387" s="90">
        <f t="shared" si="401"/>
        <v>0</v>
      </c>
      <c r="BI387" s="90">
        <f t="shared" si="402"/>
        <v>0</v>
      </c>
      <c r="BJ387" s="90">
        <f t="shared" si="403"/>
        <v>0</v>
      </c>
    </row>
    <row r="388" spans="1:62" ht="12.75">
      <c r="A388" s="88" t="s">
        <v>838</v>
      </c>
      <c r="B388" s="88" t="s">
        <v>60</v>
      </c>
      <c r="C388" s="88" t="s">
        <v>189</v>
      </c>
      <c r="D388" s="88" t="s">
        <v>1350</v>
      </c>
      <c r="E388" s="88" t="s">
        <v>606</v>
      </c>
      <c r="F388" s="90">
        <v>4</v>
      </c>
      <c r="G388" s="90">
        <f>'Stavební rozpočet (SO 13)'!G222</f>
        <v>0</v>
      </c>
      <c r="H388" s="90">
        <f t="shared" si="378"/>
        <v>0</v>
      </c>
      <c r="I388" s="90">
        <f t="shared" si="379"/>
        <v>0</v>
      </c>
      <c r="J388" s="90">
        <f t="shared" si="380"/>
        <v>0</v>
      </c>
      <c r="K388" s="90">
        <v>0</v>
      </c>
      <c r="L388" s="90">
        <f t="shared" si="381"/>
        <v>0</v>
      </c>
      <c r="M388" s="91" t="s">
        <v>622</v>
      </c>
      <c r="O388" s="90"/>
      <c r="P388" s="90"/>
      <c r="Z388" s="90">
        <f t="shared" si="382"/>
        <v>0</v>
      </c>
      <c r="AB388" s="90">
        <f t="shared" si="383"/>
        <v>0</v>
      </c>
      <c r="AC388" s="90">
        <f t="shared" si="384"/>
        <v>0</v>
      </c>
      <c r="AD388" s="90">
        <f t="shared" si="385"/>
        <v>0</v>
      </c>
      <c r="AE388" s="90">
        <f t="shared" si="386"/>
        <v>0</v>
      </c>
      <c r="AF388" s="90">
        <f t="shared" si="387"/>
        <v>0</v>
      </c>
      <c r="AG388" s="90">
        <f t="shared" si="388"/>
        <v>0</v>
      </c>
      <c r="AH388" s="90">
        <f t="shared" si="389"/>
        <v>0</v>
      </c>
      <c r="AI388" s="154" t="s">
        <v>60</v>
      </c>
      <c r="AJ388" s="90">
        <f t="shared" si="390"/>
        <v>0</v>
      </c>
      <c r="AK388" s="90">
        <f t="shared" si="391"/>
        <v>0</v>
      </c>
      <c r="AL388" s="90">
        <f t="shared" si="392"/>
        <v>0</v>
      </c>
      <c r="AN388" s="90">
        <v>21</v>
      </c>
      <c r="AO388" s="90">
        <f t="shared" si="393"/>
        <v>0</v>
      </c>
      <c r="AP388" s="90">
        <f t="shared" si="394"/>
        <v>0</v>
      </c>
      <c r="AQ388" s="91" t="s">
        <v>85</v>
      </c>
      <c r="AV388" s="90">
        <f t="shared" si="395"/>
        <v>0</v>
      </c>
      <c r="AW388" s="90">
        <f t="shared" si="396"/>
        <v>0</v>
      </c>
      <c r="AX388" s="90">
        <f t="shared" si="397"/>
        <v>0</v>
      </c>
      <c r="AY388" s="91" t="s">
        <v>644</v>
      </c>
      <c r="AZ388" s="91" t="s">
        <v>1537</v>
      </c>
      <c r="BA388" s="154" t="s">
        <v>1542</v>
      </c>
      <c r="BC388" s="90">
        <f t="shared" si="398"/>
        <v>0</v>
      </c>
      <c r="BD388" s="90">
        <f t="shared" si="399"/>
        <v>0</v>
      </c>
      <c r="BE388" s="90">
        <v>0</v>
      </c>
      <c r="BF388" s="90">
        <f t="shared" si="400"/>
        <v>0</v>
      </c>
      <c r="BH388" s="90">
        <f t="shared" si="401"/>
        <v>0</v>
      </c>
      <c r="BI388" s="90">
        <f t="shared" si="402"/>
        <v>0</v>
      </c>
      <c r="BJ388" s="90">
        <f t="shared" si="403"/>
        <v>0</v>
      </c>
    </row>
    <row r="389" spans="1:62" ht="12.75">
      <c r="A389" s="88" t="s">
        <v>839</v>
      </c>
      <c r="B389" s="88" t="s">
        <v>60</v>
      </c>
      <c r="C389" s="88" t="s">
        <v>190</v>
      </c>
      <c r="D389" s="88" t="s">
        <v>1351</v>
      </c>
      <c r="E389" s="88" t="s">
        <v>606</v>
      </c>
      <c r="F389" s="90">
        <v>0</v>
      </c>
      <c r="G389" s="90">
        <f>'Stavební rozpočet (SO 13)'!G223</f>
        <v>0</v>
      </c>
      <c r="H389" s="90">
        <f t="shared" si="378"/>
        <v>0</v>
      </c>
      <c r="I389" s="90">
        <f t="shared" si="379"/>
        <v>0</v>
      </c>
      <c r="J389" s="90">
        <f t="shared" si="380"/>
        <v>0</v>
      </c>
      <c r="K389" s="90">
        <v>0</v>
      </c>
      <c r="L389" s="90">
        <f t="shared" si="381"/>
        <v>0</v>
      </c>
      <c r="M389" s="91" t="s">
        <v>622</v>
      </c>
      <c r="O389" s="90"/>
      <c r="P389" s="90"/>
      <c r="Z389" s="90">
        <f t="shared" si="382"/>
        <v>0</v>
      </c>
      <c r="AB389" s="90">
        <f t="shared" si="383"/>
        <v>0</v>
      </c>
      <c r="AC389" s="90">
        <f t="shared" si="384"/>
        <v>0</v>
      </c>
      <c r="AD389" s="90">
        <f t="shared" si="385"/>
        <v>0</v>
      </c>
      <c r="AE389" s="90">
        <f t="shared" si="386"/>
        <v>0</v>
      </c>
      <c r="AF389" s="90">
        <f t="shared" si="387"/>
        <v>0</v>
      </c>
      <c r="AG389" s="90">
        <f t="shared" si="388"/>
        <v>0</v>
      </c>
      <c r="AH389" s="90">
        <f t="shared" si="389"/>
        <v>0</v>
      </c>
      <c r="AI389" s="154" t="s">
        <v>60</v>
      </c>
      <c r="AJ389" s="90">
        <f t="shared" si="390"/>
        <v>0</v>
      </c>
      <c r="AK389" s="90">
        <f t="shared" si="391"/>
        <v>0</v>
      </c>
      <c r="AL389" s="90">
        <f t="shared" si="392"/>
        <v>0</v>
      </c>
      <c r="AN389" s="90">
        <v>21</v>
      </c>
      <c r="AO389" s="90">
        <f t="shared" si="393"/>
        <v>0</v>
      </c>
      <c r="AP389" s="90">
        <f t="shared" si="394"/>
        <v>0</v>
      </c>
      <c r="AQ389" s="91" t="s">
        <v>85</v>
      </c>
      <c r="AV389" s="90">
        <f t="shared" si="395"/>
        <v>0</v>
      </c>
      <c r="AW389" s="90">
        <f t="shared" si="396"/>
        <v>0</v>
      </c>
      <c r="AX389" s="90">
        <f t="shared" si="397"/>
        <v>0</v>
      </c>
      <c r="AY389" s="91" t="s">
        <v>644</v>
      </c>
      <c r="AZ389" s="91" t="s">
        <v>1537</v>
      </c>
      <c r="BA389" s="154" t="s">
        <v>1542</v>
      </c>
      <c r="BC389" s="90">
        <f t="shared" si="398"/>
        <v>0</v>
      </c>
      <c r="BD389" s="90">
        <f t="shared" si="399"/>
        <v>0</v>
      </c>
      <c r="BE389" s="90">
        <v>0</v>
      </c>
      <c r="BF389" s="90">
        <f t="shared" si="400"/>
        <v>0</v>
      </c>
      <c r="BH389" s="90">
        <f t="shared" si="401"/>
        <v>0</v>
      </c>
      <c r="BI389" s="90">
        <f t="shared" si="402"/>
        <v>0</v>
      </c>
      <c r="BJ389" s="90">
        <f t="shared" si="403"/>
        <v>0</v>
      </c>
    </row>
    <row r="390" spans="1:62" ht="12.75">
      <c r="A390" s="88" t="s">
        <v>840</v>
      </c>
      <c r="B390" s="88" t="s">
        <v>60</v>
      </c>
      <c r="C390" s="88" t="s">
        <v>191</v>
      </c>
      <c r="D390" s="88" t="s">
        <v>1352</v>
      </c>
      <c r="E390" s="88" t="s">
        <v>606</v>
      </c>
      <c r="F390" s="90">
        <v>0</v>
      </c>
      <c r="G390" s="90">
        <f>'Stavební rozpočet (SO 13)'!G224</f>
        <v>0</v>
      </c>
      <c r="H390" s="90">
        <f t="shared" si="378"/>
        <v>0</v>
      </c>
      <c r="I390" s="90">
        <f t="shared" si="379"/>
        <v>0</v>
      </c>
      <c r="J390" s="90">
        <f t="shared" si="380"/>
        <v>0</v>
      </c>
      <c r="K390" s="90">
        <v>0</v>
      </c>
      <c r="L390" s="90">
        <f t="shared" si="381"/>
        <v>0</v>
      </c>
      <c r="M390" s="91" t="s">
        <v>622</v>
      </c>
      <c r="O390" s="90"/>
      <c r="P390" s="90"/>
      <c r="Z390" s="90">
        <f t="shared" si="382"/>
        <v>0</v>
      </c>
      <c r="AB390" s="90">
        <f t="shared" si="383"/>
        <v>0</v>
      </c>
      <c r="AC390" s="90">
        <f t="shared" si="384"/>
        <v>0</v>
      </c>
      <c r="AD390" s="90">
        <f t="shared" si="385"/>
        <v>0</v>
      </c>
      <c r="AE390" s="90">
        <f t="shared" si="386"/>
        <v>0</v>
      </c>
      <c r="AF390" s="90">
        <f t="shared" si="387"/>
        <v>0</v>
      </c>
      <c r="AG390" s="90">
        <f t="shared" si="388"/>
        <v>0</v>
      </c>
      <c r="AH390" s="90">
        <f t="shared" si="389"/>
        <v>0</v>
      </c>
      <c r="AI390" s="154" t="s">
        <v>60</v>
      </c>
      <c r="AJ390" s="90">
        <f t="shared" si="390"/>
        <v>0</v>
      </c>
      <c r="AK390" s="90">
        <f t="shared" si="391"/>
        <v>0</v>
      </c>
      <c r="AL390" s="90">
        <f t="shared" si="392"/>
        <v>0</v>
      </c>
      <c r="AN390" s="90">
        <v>21</v>
      </c>
      <c r="AO390" s="90">
        <f t="shared" si="393"/>
        <v>0</v>
      </c>
      <c r="AP390" s="90">
        <f t="shared" si="394"/>
        <v>0</v>
      </c>
      <c r="AQ390" s="91" t="s">
        <v>85</v>
      </c>
      <c r="AV390" s="90">
        <f t="shared" si="395"/>
        <v>0</v>
      </c>
      <c r="AW390" s="90">
        <f t="shared" si="396"/>
        <v>0</v>
      </c>
      <c r="AX390" s="90">
        <f t="shared" si="397"/>
        <v>0</v>
      </c>
      <c r="AY390" s="91" t="s">
        <v>644</v>
      </c>
      <c r="AZ390" s="91" t="s">
        <v>1537</v>
      </c>
      <c r="BA390" s="154" t="s">
        <v>1542</v>
      </c>
      <c r="BC390" s="90">
        <f t="shared" si="398"/>
        <v>0</v>
      </c>
      <c r="BD390" s="90">
        <f t="shared" si="399"/>
        <v>0</v>
      </c>
      <c r="BE390" s="90">
        <v>0</v>
      </c>
      <c r="BF390" s="90">
        <f t="shared" si="400"/>
        <v>0</v>
      </c>
      <c r="BH390" s="90">
        <f t="shared" si="401"/>
        <v>0</v>
      </c>
      <c r="BI390" s="90">
        <f t="shared" si="402"/>
        <v>0</v>
      </c>
      <c r="BJ390" s="90">
        <f t="shared" si="403"/>
        <v>0</v>
      </c>
    </row>
    <row r="391" spans="1:62" ht="12.75">
      <c r="A391" s="88" t="s">
        <v>841</v>
      </c>
      <c r="B391" s="88" t="s">
        <v>60</v>
      </c>
      <c r="C391" s="88" t="s">
        <v>192</v>
      </c>
      <c r="D391" s="88" t="s">
        <v>1353</v>
      </c>
      <c r="E391" s="88" t="s">
        <v>606</v>
      </c>
      <c r="F391" s="90">
        <v>1</v>
      </c>
      <c r="G391" s="90">
        <f>'Stavební rozpočet (SO 13)'!G225</f>
        <v>0</v>
      </c>
      <c r="H391" s="90">
        <f t="shared" si="378"/>
        <v>0</v>
      </c>
      <c r="I391" s="90">
        <f t="shared" si="379"/>
        <v>0</v>
      </c>
      <c r="J391" s="90">
        <f t="shared" si="380"/>
        <v>0</v>
      </c>
      <c r="K391" s="90">
        <v>0</v>
      </c>
      <c r="L391" s="90">
        <f t="shared" si="381"/>
        <v>0</v>
      </c>
      <c r="M391" s="91" t="s">
        <v>622</v>
      </c>
      <c r="O391" s="90"/>
      <c r="P391" s="90"/>
      <c r="Z391" s="90">
        <f t="shared" si="382"/>
        <v>0</v>
      </c>
      <c r="AB391" s="90">
        <f t="shared" si="383"/>
        <v>0</v>
      </c>
      <c r="AC391" s="90">
        <f t="shared" si="384"/>
        <v>0</v>
      </c>
      <c r="AD391" s="90">
        <f t="shared" si="385"/>
        <v>0</v>
      </c>
      <c r="AE391" s="90">
        <f t="shared" si="386"/>
        <v>0</v>
      </c>
      <c r="AF391" s="90">
        <f t="shared" si="387"/>
        <v>0</v>
      </c>
      <c r="AG391" s="90">
        <f t="shared" si="388"/>
        <v>0</v>
      </c>
      <c r="AH391" s="90">
        <f t="shared" si="389"/>
        <v>0</v>
      </c>
      <c r="AI391" s="154" t="s">
        <v>60</v>
      </c>
      <c r="AJ391" s="90">
        <f t="shared" si="390"/>
        <v>0</v>
      </c>
      <c r="AK391" s="90">
        <f t="shared" si="391"/>
        <v>0</v>
      </c>
      <c r="AL391" s="90">
        <f t="shared" si="392"/>
        <v>0</v>
      </c>
      <c r="AN391" s="90">
        <v>21</v>
      </c>
      <c r="AO391" s="90">
        <f t="shared" si="393"/>
        <v>0</v>
      </c>
      <c r="AP391" s="90">
        <f t="shared" si="394"/>
        <v>0</v>
      </c>
      <c r="AQ391" s="91" t="s">
        <v>85</v>
      </c>
      <c r="AV391" s="90">
        <f t="shared" si="395"/>
        <v>0</v>
      </c>
      <c r="AW391" s="90">
        <f t="shared" si="396"/>
        <v>0</v>
      </c>
      <c r="AX391" s="90">
        <f t="shared" si="397"/>
        <v>0</v>
      </c>
      <c r="AY391" s="91" t="s">
        <v>644</v>
      </c>
      <c r="AZ391" s="91" t="s">
        <v>1537</v>
      </c>
      <c r="BA391" s="154" t="s">
        <v>1542</v>
      </c>
      <c r="BC391" s="90">
        <f t="shared" si="398"/>
        <v>0</v>
      </c>
      <c r="BD391" s="90">
        <f t="shared" si="399"/>
        <v>0</v>
      </c>
      <c r="BE391" s="90">
        <v>0</v>
      </c>
      <c r="BF391" s="90">
        <f t="shared" si="400"/>
        <v>0</v>
      </c>
      <c r="BH391" s="90">
        <f t="shared" si="401"/>
        <v>0</v>
      </c>
      <c r="BI391" s="90">
        <f t="shared" si="402"/>
        <v>0</v>
      </c>
      <c r="BJ391" s="90">
        <f t="shared" si="403"/>
        <v>0</v>
      </c>
    </row>
    <row r="392" spans="1:62" ht="12.75">
      <c r="A392" s="88" t="s">
        <v>842</v>
      </c>
      <c r="B392" s="88" t="s">
        <v>60</v>
      </c>
      <c r="C392" s="88" t="s">
        <v>193</v>
      </c>
      <c r="D392" s="88" t="s">
        <v>1354</v>
      </c>
      <c r="E392" s="88" t="s">
        <v>606</v>
      </c>
      <c r="F392" s="90">
        <v>0</v>
      </c>
      <c r="G392" s="90">
        <f>'Stavební rozpočet (SO 13)'!G226</f>
        <v>0</v>
      </c>
      <c r="H392" s="90">
        <f t="shared" si="378"/>
        <v>0</v>
      </c>
      <c r="I392" s="90">
        <f t="shared" si="379"/>
        <v>0</v>
      </c>
      <c r="J392" s="90">
        <f t="shared" si="380"/>
        <v>0</v>
      </c>
      <c r="K392" s="90">
        <v>0</v>
      </c>
      <c r="L392" s="90">
        <f t="shared" si="381"/>
        <v>0</v>
      </c>
      <c r="M392" s="91" t="s">
        <v>622</v>
      </c>
      <c r="O392" s="90"/>
      <c r="P392" s="90"/>
      <c r="Z392" s="90">
        <f t="shared" si="382"/>
        <v>0</v>
      </c>
      <c r="AB392" s="90">
        <f t="shared" si="383"/>
        <v>0</v>
      </c>
      <c r="AC392" s="90">
        <f t="shared" si="384"/>
        <v>0</v>
      </c>
      <c r="AD392" s="90">
        <f t="shared" si="385"/>
        <v>0</v>
      </c>
      <c r="AE392" s="90">
        <f t="shared" si="386"/>
        <v>0</v>
      </c>
      <c r="AF392" s="90">
        <f t="shared" si="387"/>
        <v>0</v>
      </c>
      <c r="AG392" s="90">
        <f t="shared" si="388"/>
        <v>0</v>
      </c>
      <c r="AH392" s="90">
        <f t="shared" si="389"/>
        <v>0</v>
      </c>
      <c r="AI392" s="154" t="s">
        <v>60</v>
      </c>
      <c r="AJ392" s="90">
        <f t="shared" si="390"/>
        <v>0</v>
      </c>
      <c r="AK392" s="90">
        <f t="shared" si="391"/>
        <v>0</v>
      </c>
      <c r="AL392" s="90">
        <f t="shared" si="392"/>
        <v>0</v>
      </c>
      <c r="AN392" s="90">
        <v>21</v>
      </c>
      <c r="AO392" s="90">
        <f t="shared" si="393"/>
        <v>0</v>
      </c>
      <c r="AP392" s="90">
        <f t="shared" si="394"/>
        <v>0</v>
      </c>
      <c r="AQ392" s="91" t="s">
        <v>85</v>
      </c>
      <c r="AV392" s="90">
        <f t="shared" si="395"/>
        <v>0</v>
      </c>
      <c r="AW392" s="90">
        <f t="shared" si="396"/>
        <v>0</v>
      </c>
      <c r="AX392" s="90">
        <f t="shared" si="397"/>
        <v>0</v>
      </c>
      <c r="AY392" s="91" t="s">
        <v>644</v>
      </c>
      <c r="AZ392" s="91" t="s">
        <v>1537</v>
      </c>
      <c r="BA392" s="154" t="s">
        <v>1542</v>
      </c>
      <c r="BC392" s="90">
        <f t="shared" si="398"/>
        <v>0</v>
      </c>
      <c r="BD392" s="90">
        <f t="shared" si="399"/>
        <v>0</v>
      </c>
      <c r="BE392" s="90">
        <v>0</v>
      </c>
      <c r="BF392" s="90">
        <f t="shared" si="400"/>
        <v>0</v>
      </c>
      <c r="BH392" s="90">
        <f t="shared" si="401"/>
        <v>0</v>
      </c>
      <c r="BI392" s="90">
        <f t="shared" si="402"/>
        <v>0</v>
      </c>
      <c r="BJ392" s="90">
        <f t="shared" si="403"/>
        <v>0</v>
      </c>
    </row>
    <row r="393" spans="1:62" ht="12.75">
      <c r="A393" s="88" t="s">
        <v>843</v>
      </c>
      <c r="B393" s="88" t="s">
        <v>60</v>
      </c>
      <c r="C393" s="88" t="s">
        <v>194</v>
      </c>
      <c r="D393" s="88" t="s">
        <v>1355</v>
      </c>
      <c r="E393" s="88" t="s">
        <v>606</v>
      </c>
      <c r="F393" s="90">
        <v>2</v>
      </c>
      <c r="G393" s="90">
        <f>'Stavební rozpočet (SO 13)'!G227</f>
        <v>0</v>
      </c>
      <c r="H393" s="90">
        <f t="shared" si="378"/>
        <v>0</v>
      </c>
      <c r="I393" s="90">
        <f t="shared" si="379"/>
        <v>0</v>
      </c>
      <c r="J393" s="90">
        <f t="shared" si="380"/>
        <v>0</v>
      </c>
      <c r="K393" s="90">
        <v>0</v>
      </c>
      <c r="L393" s="90">
        <f t="shared" si="381"/>
        <v>0</v>
      </c>
      <c r="M393" s="91" t="s">
        <v>622</v>
      </c>
      <c r="O393" s="90"/>
      <c r="P393" s="90"/>
      <c r="Z393" s="90">
        <f t="shared" si="382"/>
        <v>0</v>
      </c>
      <c r="AB393" s="90">
        <f t="shared" si="383"/>
        <v>0</v>
      </c>
      <c r="AC393" s="90">
        <f t="shared" si="384"/>
        <v>0</v>
      </c>
      <c r="AD393" s="90">
        <f t="shared" si="385"/>
        <v>0</v>
      </c>
      <c r="AE393" s="90">
        <f t="shared" si="386"/>
        <v>0</v>
      </c>
      <c r="AF393" s="90">
        <f t="shared" si="387"/>
        <v>0</v>
      </c>
      <c r="AG393" s="90">
        <f t="shared" si="388"/>
        <v>0</v>
      </c>
      <c r="AH393" s="90">
        <f t="shared" si="389"/>
        <v>0</v>
      </c>
      <c r="AI393" s="154" t="s">
        <v>60</v>
      </c>
      <c r="AJ393" s="90">
        <f t="shared" si="390"/>
        <v>0</v>
      </c>
      <c r="AK393" s="90">
        <f t="shared" si="391"/>
        <v>0</v>
      </c>
      <c r="AL393" s="90">
        <f t="shared" si="392"/>
        <v>0</v>
      </c>
      <c r="AN393" s="90">
        <v>21</v>
      </c>
      <c r="AO393" s="90">
        <f t="shared" si="393"/>
        <v>0</v>
      </c>
      <c r="AP393" s="90">
        <f t="shared" si="394"/>
        <v>0</v>
      </c>
      <c r="AQ393" s="91" t="s">
        <v>85</v>
      </c>
      <c r="AV393" s="90">
        <f t="shared" si="395"/>
        <v>0</v>
      </c>
      <c r="AW393" s="90">
        <f t="shared" si="396"/>
        <v>0</v>
      </c>
      <c r="AX393" s="90">
        <f t="shared" si="397"/>
        <v>0</v>
      </c>
      <c r="AY393" s="91" t="s">
        <v>644</v>
      </c>
      <c r="AZ393" s="91" t="s">
        <v>1537</v>
      </c>
      <c r="BA393" s="154" t="s">
        <v>1542</v>
      </c>
      <c r="BC393" s="90">
        <f t="shared" si="398"/>
        <v>0</v>
      </c>
      <c r="BD393" s="90">
        <f t="shared" si="399"/>
        <v>0</v>
      </c>
      <c r="BE393" s="90">
        <v>0</v>
      </c>
      <c r="BF393" s="90">
        <f t="shared" si="400"/>
        <v>0</v>
      </c>
      <c r="BH393" s="90">
        <f t="shared" si="401"/>
        <v>0</v>
      </c>
      <c r="BI393" s="90">
        <f t="shared" si="402"/>
        <v>0</v>
      </c>
      <c r="BJ393" s="90">
        <f t="shared" si="403"/>
        <v>0</v>
      </c>
    </row>
    <row r="394" spans="1:62" ht="12.75">
      <c r="A394" s="88" t="s">
        <v>844</v>
      </c>
      <c r="B394" s="88" t="s">
        <v>60</v>
      </c>
      <c r="C394" s="88" t="s">
        <v>195</v>
      </c>
      <c r="D394" s="88" t="s">
        <v>1356</v>
      </c>
      <c r="E394" s="88" t="s">
        <v>606</v>
      </c>
      <c r="F394" s="90">
        <v>1</v>
      </c>
      <c r="G394" s="90">
        <f>'Stavební rozpočet (SO 13)'!G228</f>
        <v>0</v>
      </c>
      <c r="H394" s="90">
        <f t="shared" si="378"/>
        <v>0</v>
      </c>
      <c r="I394" s="90">
        <f t="shared" si="379"/>
        <v>0</v>
      </c>
      <c r="J394" s="90">
        <f t="shared" si="380"/>
        <v>0</v>
      </c>
      <c r="K394" s="90">
        <v>0</v>
      </c>
      <c r="L394" s="90">
        <f t="shared" si="381"/>
        <v>0</v>
      </c>
      <c r="M394" s="91" t="s">
        <v>622</v>
      </c>
      <c r="O394" s="90"/>
      <c r="P394" s="90"/>
      <c r="Z394" s="90">
        <f t="shared" si="382"/>
        <v>0</v>
      </c>
      <c r="AB394" s="90">
        <f t="shared" si="383"/>
        <v>0</v>
      </c>
      <c r="AC394" s="90">
        <f t="shared" si="384"/>
        <v>0</v>
      </c>
      <c r="AD394" s="90">
        <f t="shared" si="385"/>
        <v>0</v>
      </c>
      <c r="AE394" s="90">
        <f t="shared" si="386"/>
        <v>0</v>
      </c>
      <c r="AF394" s="90">
        <f t="shared" si="387"/>
        <v>0</v>
      </c>
      <c r="AG394" s="90">
        <f t="shared" si="388"/>
        <v>0</v>
      </c>
      <c r="AH394" s="90">
        <f t="shared" si="389"/>
        <v>0</v>
      </c>
      <c r="AI394" s="154" t="s">
        <v>60</v>
      </c>
      <c r="AJ394" s="90">
        <f t="shared" si="390"/>
        <v>0</v>
      </c>
      <c r="AK394" s="90">
        <f t="shared" si="391"/>
        <v>0</v>
      </c>
      <c r="AL394" s="90">
        <f t="shared" si="392"/>
        <v>0</v>
      </c>
      <c r="AN394" s="90">
        <v>21</v>
      </c>
      <c r="AO394" s="90">
        <f t="shared" si="393"/>
        <v>0</v>
      </c>
      <c r="AP394" s="90">
        <f t="shared" si="394"/>
        <v>0</v>
      </c>
      <c r="AQ394" s="91" t="s">
        <v>85</v>
      </c>
      <c r="AV394" s="90">
        <f t="shared" si="395"/>
        <v>0</v>
      </c>
      <c r="AW394" s="90">
        <f t="shared" si="396"/>
        <v>0</v>
      </c>
      <c r="AX394" s="90">
        <f t="shared" si="397"/>
        <v>0</v>
      </c>
      <c r="AY394" s="91" t="s">
        <v>644</v>
      </c>
      <c r="AZ394" s="91" t="s">
        <v>1537</v>
      </c>
      <c r="BA394" s="154" t="s">
        <v>1542</v>
      </c>
      <c r="BC394" s="90">
        <f t="shared" si="398"/>
        <v>0</v>
      </c>
      <c r="BD394" s="90">
        <f t="shared" si="399"/>
        <v>0</v>
      </c>
      <c r="BE394" s="90">
        <v>0</v>
      </c>
      <c r="BF394" s="90">
        <f t="shared" si="400"/>
        <v>0</v>
      </c>
      <c r="BH394" s="90">
        <f t="shared" si="401"/>
        <v>0</v>
      </c>
      <c r="BI394" s="90">
        <f t="shared" si="402"/>
        <v>0</v>
      </c>
      <c r="BJ394" s="90">
        <f t="shared" si="403"/>
        <v>0</v>
      </c>
    </row>
    <row r="395" spans="1:62" ht="12.75">
      <c r="A395" s="88" t="s">
        <v>845</v>
      </c>
      <c r="B395" s="88" t="s">
        <v>60</v>
      </c>
      <c r="C395" s="88" t="s">
        <v>196</v>
      </c>
      <c r="D395" s="88" t="s">
        <v>1357</v>
      </c>
      <c r="E395" s="88" t="s">
        <v>606</v>
      </c>
      <c r="F395" s="90">
        <v>0</v>
      </c>
      <c r="G395" s="90">
        <f>'Stavební rozpočet (SO 13)'!G229</f>
        <v>0</v>
      </c>
      <c r="H395" s="90">
        <f t="shared" si="378"/>
        <v>0</v>
      </c>
      <c r="I395" s="90">
        <f t="shared" si="379"/>
        <v>0</v>
      </c>
      <c r="J395" s="90">
        <f t="shared" si="380"/>
        <v>0</v>
      </c>
      <c r="K395" s="90">
        <v>0</v>
      </c>
      <c r="L395" s="90">
        <f t="shared" si="381"/>
        <v>0</v>
      </c>
      <c r="M395" s="91" t="s">
        <v>622</v>
      </c>
      <c r="O395" s="90"/>
      <c r="P395" s="90"/>
      <c r="Z395" s="90">
        <f t="shared" si="382"/>
        <v>0</v>
      </c>
      <c r="AB395" s="90">
        <f t="shared" si="383"/>
        <v>0</v>
      </c>
      <c r="AC395" s="90">
        <f t="shared" si="384"/>
        <v>0</v>
      </c>
      <c r="AD395" s="90">
        <f t="shared" si="385"/>
        <v>0</v>
      </c>
      <c r="AE395" s="90">
        <f t="shared" si="386"/>
        <v>0</v>
      </c>
      <c r="AF395" s="90">
        <f t="shared" si="387"/>
        <v>0</v>
      </c>
      <c r="AG395" s="90">
        <f t="shared" si="388"/>
        <v>0</v>
      </c>
      <c r="AH395" s="90">
        <f t="shared" si="389"/>
        <v>0</v>
      </c>
      <c r="AI395" s="154" t="s">
        <v>60</v>
      </c>
      <c r="AJ395" s="90">
        <f t="shared" si="390"/>
        <v>0</v>
      </c>
      <c r="AK395" s="90">
        <f t="shared" si="391"/>
        <v>0</v>
      </c>
      <c r="AL395" s="90">
        <f t="shared" si="392"/>
        <v>0</v>
      </c>
      <c r="AN395" s="90">
        <v>21</v>
      </c>
      <c r="AO395" s="90">
        <f t="shared" si="393"/>
        <v>0</v>
      </c>
      <c r="AP395" s="90">
        <f t="shared" si="394"/>
        <v>0</v>
      </c>
      <c r="AQ395" s="91" t="s">
        <v>85</v>
      </c>
      <c r="AV395" s="90">
        <f t="shared" si="395"/>
        <v>0</v>
      </c>
      <c r="AW395" s="90">
        <f t="shared" si="396"/>
        <v>0</v>
      </c>
      <c r="AX395" s="90">
        <f t="shared" si="397"/>
        <v>0</v>
      </c>
      <c r="AY395" s="91" t="s">
        <v>644</v>
      </c>
      <c r="AZ395" s="91" t="s">
        <v>1537</v>
      </c>
      <c r="BA395" s="154" t="s">
        <v>1542</v>
      </c>
      <c r="BC395" s="90">
        <f t="shared" si="398"/>
        <v>0</v>
      </c>
      <c r="BD395" s="90">
        <f t="shared" si="399"/>
        <v>0</v>
      </c>
      <c r="BE395" s="90">
        <v>0</v>
      </c>
      <c r="BF395" s="90">
        <f t="shared" si="400"/>
        <v>0</v>
      </c>
      <c r="BH395" s="90">
        <f t="shared" si="401"/>
        <v>0</v>
      </c>
      <c r="BI395" s="90">
        <f t="shared" si="402"/>
        <v>0</v>
      </c>
      <c r="BJ395" s="90">
        <f t="shared" si="403"/>
        <v>0</v>
      </c>
    </row>
    <row r="396" spans="1:62" ht="12.75">
      <c r="A396" s="88" t="s">
        <v>846</v>
      </c>
      <c r="B396" s="88" t="s">
        <v>60</v>
      </c>
      <c r="C396" s="88" t="s">
        <v>197</v>
      </c>
      <c r="D396" s="88" t="s">
        <v>1358</v>
      </c>
      <c r="E396" s="88" t="s">
        <v>606</v>
      </c>
      <c r="F396" s="90">
        <v>0</v>
      </c>
      <c r="G396" s="90">
        <f>'Stavební rozpočet (SO 13)'!G230</f>
        <v>0</v>
      </c>
      <c r="H396" s="90">
        <f t="shared" si="378"/>
        <v>0</v>
      </c>
      <c r="I396" s="90">
        <f t="shared" si="379"/>
        <v>0</v>
      </c>
      <c r="J396" s="90">
        <f t="shared" si="380"/>
        <v>0</v>
      </c>
      <c r="K396" s="90">
        <v>0</v>
      </c>
      <c r="L396" s="90">
        <f t="shared" si="381"/>
        <v>0</v>
      </c>
      <c r="M396" s="91" t="s">
        <v>622</v>
      </c>
      <c r="O396" s="90"/>
      <c r="P396" s="90"/>
      <c r="Z396" s="90">
        <f t="shared" si="382"/>
        <v>0</v>
      </c>
      <c r="AB396" s="90">
        <f t="shared" si="383"/>
        <v>0</v>
      </c>
      <c r="AC396" s="90">
        <f t="shared" si="384"/>
        <v>0</v>
      </c>
      <c r="AD396" s="90">
        <f t="shared" si="385"/>
        <v>0</v>
      </c>
      <c r="AE396" s="90">
        <f t="shared" si="386"/>
        <v>0</v>
      </c>
      <c r="AF396" s="90">
        <f t="shared" si="387"/>
        <v>0</v>
      </c>
      <c r="AG396" s="90">
        <f t="shared" si="388"/>
        <v>0</v>
      </c>
      <c r="AH396" s="90">
        <f t="shared" si="389"/>
        <v>0</v>
      </c>
      <c r="AI396" s="154" t="s">
        <v>60</v>
      </c>
      <c r="AJ396" s="90">
        <f t="shared" si="390"/>
        <v>0</v>
      </c>
      <c r="AK396" s="90">
        <f t="shared" si="391"/>
        <v>0</v>
      </c>
      <c r="AL396" s="90">
        <f t="shared" si="392"/>
        <v>0</v>
      </c>
      <c r="AN396" s="90">
        <v>21</v>
      </c>
      <c r="AO396" s="90">
        <f t="shared" si="393"/>
        <v>0</v>
      </c>
      <c r="AP396" s="90">
        <f t="shared" si="394"/>
        <v>0</v>
      </c>
      <c r="AQ396" s="91" t="s">
        <v>85</v>
      </c>
      <c r="AV396" s="90">
        <f t="shared" si="395"/>
        <v>0</v>
      </c>
      <c r="AW396" s="90">
        <f t="shared" si="396"/>
        <v>0</v>
      </c>
      <c r="AX396" s="90">
        <f t="shared" si="397"/>
        <v>0</v>
      </c>
      <c r="AY396" s="91" t="s">
        <v>644</v>
      </c>
      <c r="AZ396" s="91" t="s">
        <v>1537</v>
      </c>
      <c r="BA396" s="154" t="s">
        <v>1542</v>
      </c>
      <c r="BC396" s="90">
        <f t="shared" si="398"/>
        <v>0</v>
      </c>
      <c r="BD396" s="90">
        <f t="shared" si="399"/>
        <v>0</v>
      </c>
      <c r="BE396" s="90">
        <v>0</v>
      </c>
      <c r="BF396" s="90">
        <f t="shared" si="400"/>
        <v>0</v>
      </c>
      <c r="BH396" s="90">
        <f t="shared" si="401"/>
        <v>0</v>
      </c>
      <c r="BI396" s="90">
        <f t="shared" si="402"/>
        <v>0</v>
      </c>
      <c r="BJ396" s="90">
        <f t="shared" si="403"/>
        <v>0</v>
      </c>
    </row>
    <row r="397" spans="1:62" ht="12.75">
      <c r="A397" s="88" t="s">
        <v>847</v>
      </c>
      <c r="B397" s="88" t="s">
        <v>60</v>
      </c>
      <c r="C397" s="88" t="s">
        <v>198</v>
      </c>
      <c r="D397" s="88" t="s">
        <v>1359</v>
      </c>
      <c r="E397" s="88" t="s">
        <v>606</v>
      </c>
      <c r="F397" s="90">
        <v>1</v>
      </c>
      <c r="G397" s="90">
        <f>'Stavební rozpočet (SO 13)'!G231</f>
        <v>0</v>
      </c>
      <c r="H397" s="90">
        <f t="shared" si="378"/>
        <v>0</v>
      </c>
      <c r="I397" s="90">
        <f t="shared" si="379"/>
        <v>0</v>
      </c>
      <c r="J397" s="90">
        <f t="shared" si="380"/>
        <v>0</v>
      </c>
      <c r="K397" s="90">
        <v>0</v>
      </c>
      <c r="L397" s="90">
        <f t="shared" si="381"/>
        <v>0</v>
      </c>
      <c r="M397" s="91" t="s">
        <v>622</v>
      </c>
      <c r="O397" s="90"/>
      <c r="P397" s="90"/>
      <c r="Z397" s="90">
        <f t="shared" si="382"/>
        <v>0</v>
      </c>
      <c r="AB397" s="90">
        <f t="shared" si="383"/>
        <v>0</v>
      </c>
      <c r="AC397" s="90">
        <f t="shared" si="384"/>
        <v>0</v>
      </c>
      <c r="AD397" s="90">
        <f t="shared" si="385"/>
        <v>0</v>
      </c>
      <c r="AE397" s="90">
        <f t="shared" si="386"/>
        <v>0</v>
      </c>
      <c r="AF397" s="90">
        <f t="shared" si="387"/>
        <v>0</v>
      </c>
      <c r="AG397" s="90">
        <f t="shared" si="388"/>
        <v>0</v>
      </c>
      <c r="AH397" s="90">
        <f t="shared" si="389"/>
        <v>0</v>
      </c>
      <c r="AI397" s="154" t="s">
        <v>60</v>
      </c>
      <c r="AJ397" s="90">
        <f t="shared" si="390"/>
        <v>0</v>
      </c>
      <c r="AK397" s="90">
        <f t="shared" si="391"/>
        <v>0</v>
      </c>
      <c r="AL397" s="90">
        <f t="shared" si="392"/>
        <v>0</v>
      </c>
      <c r="AN397" s="90">
        <v>21</v>
      </c>
      <c r="AO397" s="90">
        <f t="shared" si="393"/>
        <v>0</v>
      </c>
      <c r="AP397" s="90">
        <f t="shared" si="394"/>
        <v>0</v>
      </c>
      <c r="AQ397" s="91" t="s">
        <v>85</v>
      </c>
      <c r="AV397" s="90">
        <f t="shared" si="395"/>
        <v>0</v>
      </c>
      <c r="AW397" s="90">
        <f t="shared" si="396"/>
        <v>0</v>
      </c>
      <c r="AX397" s="90">
        <f t="shared" si="397"/>
        <v>0</v>
      </c>
      <c r="AY397" s="91" t="s">
        <v>644</v>
      </c>
      <c r="AZ397" s="91" t="s">
        <v>1537</v>
      </c>
      <c r="BA397" s="154" t="s">
        <v>1542</v>
      </c>
      <c r="BC397" s="90">
        <f t="shared" si="398"/>
        <v>0</v>
      </c>
      <c r="BD397" s="90">
        <f t="shared" si="399"/>
        <v>0</v>
      </c>
      <c r="BE397" s="90">
        <v>0</v>
      </c>
      <c r="BF397" s="90">
        <f t="shared" si="400"/>
        <v>0</v>
      </c>
      <c r="BH397" s="90">
        <f t="shared" si="401"/>
        <v>0</v>
      </c>
      <c r="BI397" s="90">
        <f t="shared" si="402"/>
        <v>0</v>
      </c>
      <c r="BJ397" s="90">
        <f t="shared" si="403"/>
        <v>0</v>
      </c>
    </row>
    <row r="398" spans="1:62" ht="12.75">
      <c r="A398" s="88" t="s">
        <v>848</v>
      </c>
      <c r="B398" s="88" t="s">
        <v>60</v>
      </c>
      <c r="C398" s="88" t="s">
        <v>199</v>
      </c>
      <c r="D398" s="88" t="s">
        <v>1360</v>
      </c>
      <c r="E398" s="88" t="s">
        <v>608</v>
      </c>
      <c r="F398" s="90">
        <v>7.4</v>
      </c>
      <c r="G398" s="90">
        <f>'Stavební rozpočet (SO 13)'!G232</f>
        <v>0</v>
      </c>
      <c r="H398" s="90">
        <f t="shared" si="378"/>
        <v>0</v>
      </c>
      <c r="I398" s="90">
        <f t="shared" si="379"/>
        <v>0</v>
      </c>
      <c r="J398" s="90">
        <f t="shared" si="380"/>
        <v>0</v>
      </c>
      <c r="K398" s="90">
        <v>0</v>
      </c>
      <c r="L398" s="90">
        <f t="shared" si="381"/>
        <v>0</v>
      </c>
      <c r="M398" s="91" t="s">
        <v>622</v>
      </c>
      <c r="O398" s="90"/>
      <c r="P398" s="90"/>
      <c r="Z398" s="90">
        <f t="shared" si="382"/>
        <v>0</v>
      </c>
      <c r="AB398" s="90">
        <f t="shared" si="383"/>
        <v>0</v>
      </c>
      <c r="AC398" s="90">
        <f t="shared" si="384"/>
        <v>0</v>
      </c>
      <c r="AD398" s="90">
        <f t="shared" si="385"/>
        <v>0</v>
      </c>
      <c r="AE398" s="90">
        <f t="shared" si="386"/>
        <v>0</v>
      </c>
      <c r="AF398" s="90">
        <f t="shared" si="387"/>
        <v>0</v>
      </c>
      <c r="AG398" s="90">
        <f t="shared" si="388"/>
        <v>0</v>
      </c>
      <c r="AH398" s="90">
        <f t="shared" si="389"/>
        <v>0</v>
      </c>
      <c r="AI398" s="154" t="s">
        <v>60</v>
      </c>
      <c r="AJ398" s="90">
        <f t="shared" si="390"/>
        <v>0</v>
      </c>
      <c r="AK398" s="90">
        <f t="shared" si="391"/>
        <v>0</v>
      </c>
      <c r="AL398" s="90">
        <f t="shared" si="392"/>
        <v>0</v>
      </c>
      <c r="AN398" s="90">
        <v>21</v>
      </c>
      <c r="AO398" s="90">
        <f t="shared" si="393"/>
        <v>0</v>
      </c>
      <c r="AP398" s="90">
        <f t="shared" si="394"/>
        <v>0</v>
      </c>
      <c r="AQ398" s="91" t="s">
        <v>85</v>
      </c>
      <c r="AV398" s="90">
        <f t="shared" si="395"/>
        <v>0</v>
      </c>
      <c r="AW398" s="90">
        <f t="shared" si="396"/>
        <v>0</v>
      </c>
      <c r="AX398" s="90">
        <f t="shared" si="397"/>
        <v>0</v>
      </c>
      <c r="AY398" s="91" t="s">
        <v>644</v>
      </c>
      <c r="AZ398" s="91" t="s">
        <v>1537</v>
      </c>
      <c r="BA398" s="154" t="s">
        <v>1542</v>
      </c>
      <c r="BC398" s="90">
        <f t="shared" si="398"/>
        <v>0</v>
      </c>
      <c r="BD398" s="90">
        <f t="shared" si="399"/>
        <v>0</v>
      </c>
      <c r="BE398" s="90">
        <v>0</v>
      </c>
      <c r="BF398" s="90">
        <f t="shared" si="400"/>
        <v>0</v>
      </c>
      <c r="BH398" s="90">
        <f t="shared" si="401"/>
        <v>0</v>
      </c>
      <c r="BI398" s="90">
        <f t="shared" si="402"/>
        <v>0</v>
      </c>
      <c r="BJ398" s="90">
        <f t="shared" si="403"/>
        <v>0</v>
      </c>
    </row>
    <row r="399" spans="1:62" ht="12.75">
      <c r="A399" s="88" t="s">
        <v>849</v>
      </c>
      <c r="B399" s="88" t="s">
        <v>60</v>
      </c>
      <c r="C399" s="88" t="s">
        <v>200</v>
      </c>
      <c r="D399" s="88" t="s">
        <v>1361</v>
      </c>
      <c r="E399" s="88" t="s">
        <v>607</v>
      </c>
      <c r="F399" s="90">
        <v>10</v>
      </c>
      <c r="G399" s="90">
        <f>'Stavební rozpočet (SO 13)'!G233</f>
        <v>0</v>
      </c>
      <c r="H399" s="90">
        <f t="shared" si="378"/>
        <v>0</v>
      </c>
      <c r="I399" s="90">
        <f t="shared" si="379"/>
        <v>0</v>
      </c>
      <c r="J399" s="90">
        <f t="shared" si="380"/>
        <v>0</v>
      </c>
      <c r="K399" s="90">
        <v>0</v>
      </c>
      <c r="L399" s="90">
        <f t="shared" si="381"/>
        <v>0</v>
      </c>
      <c r="M399" s="91" t="s">
        <v>622</v>
      </c>
      <c r="O399" s="90"/>
      <c r="P399" s="90"/>
      <c r="Z399" s="90">
        <f t="shared" si="382"/>
        <v>0</v>
      </c>
      <c r="AB399" s="90">
        <f t="shared" si="383"/>
        <v>0</v>
      </c>
      <c r="AC399" s="90">
        <f t="shared" si="384"/>
        <v>0</v>
      </c>
      <c r="AD399" s="90">
        <f t="shared" si="385"/>
        <v>0</v>
      </c>
      <c r="AE399" s="90">
        <f t="shared" si="386"/>
        <v>0</v>
      </c>
      <c r="AF399" s="90">
        <f t="shared" si="387"/>
        <v>0</v>
      </c>
      <c r="AG399" s="90">
        <f t="shared" si="388"/>
        <v>0</v>
      </c>
      <c r="AH399" s="90">
        <f t="shared" si="389"/>
        <v>0</v>
      </c>
      <c r="AI399" s="154" t="s">
        <v>60</v>
      </c>
      <c r="AJ399" s="90">
        <f t="shared" si="390"/>
        <v>0</v>
      </c>
      <c r="AK399" s="90">
        <f t="shared" si="391"/>
        <v>0</v>
      </c>
      <c r="AL399" s="90">
        <f t="shared" si="392"/>
        <v>0</v>
      </c>
      <c r="AN399" s="90">
        <v>21</v>
      </c>
      <c r="AO399" s="90">
        <f t="shared" si="393"/>
        <v>0</v>
      </c>
      <c r="AP399" s="90">
        <f t="shared" si="394"/>
        <v>0</v>
      </c>
      <c r="AQ399" s="91" t="s">
        <v>85</v>
      </c>
      <c r="AV399" s="90">
        <f t="shared" si="395"/>
        <v>0</v>
      </c>
      <c r="AW399" s="90">
        <f t="shared" si="396"/>
        <v>0</v>
      </c>
      <c r="AX399" s="90">
        <f t="shared" si="397"/>
        <v>0</v>
      </c>
      <c r="AY399" s="91" t="s">
        <v>644</v>
      </c>
      <c r="AZ399" s="91" t="s">
        <v>1537</v>
      </c>
      <c r="BA399" s="154" t="s">
        <v>1542</v>
      </c>
      <c r="BC399" s="90">
        <f t="shared" si="398"/>
        <v>0</v>
      </c>
      <c r="BD399" s="90">
        <f t="shared" si="399"/>
        <v>0</v>
      </c>
      <c r="BE399" s="90">
        <v>0</v>
      </c>
      <c r="BF399" s="90">
        <f t="shared" si="400"/>
        <v>0</v>
      </c>
      <c r="BH399" s="90">
        <f t="shared" si="401"/>
        <v>0</v>
      </c>
      <c r="BI399" s="90">
        <f t="shared" si="402"/>
        <v>0</v>
      </c>
      <c r="BJ399" s="90">
        <f t="shared" si="403"/>
        <v>0</v>
      </c>
    </row>
    <row r="400" spans="1:62" ht="12.75">
      <c r="A400" s="88" t="s">
        <v>850</v>
      </c>
      <c r="B400" s="88" t="s">
        <v>60</v>
      </c>
      <c r="C400" s="88" t="s">
        <v>201</v>
      </c>
      <c r="D400" s="88" t="s">
        <v>1362</v>
      </c>
      <c r="E400" s="88" t="s">
        <v>607</v>
      </c>
      <c r="F400" s="90">
        <v>5</v>
      </c>
      <c r="G400" s="90">
        <f>'Stavební rozpočet (SO 13)'!G234</f>
        <v>0</v>
      </c>
      <c r="H400" s="90">
        <f aca="true" t="shared" si="404" ref="H400:H416">F400*AO400</f>
        <v>0</v>
      </c>
      <c r="I400" s="90">
        <f aca="true" t="shared" si="405" ref="I400:I416">F400*AP400</f>
        <v>0</v>
      </c>
      <c r="J400" s="90">
        <f aca="true" t="shared" si="406" ref="J400:J416">F400*G400</f>
        <v>0</v>
      </c>
      <c r="K400" s="90">
        <v>0</v>
      </c>
      <c r="L400" s="90">
        <f aca="true" t="shared" si="407" ref="L400:L416">F400*K400</f>
        <v>0</v>
      </c>
      <c r="M400" s="91" t="s">
        <v>622</v>
      </c>
      <c r="O400" s="90"/>
      <c r="P400" s="90"/>
      <c r="Z400" s="90">
        <f aca="true" t="shared" si="408" ref="Z400:Z416">IF(AQ400="5",BJ400,0)</f>
        <v>0</v>
      </c>
      <c r="AB400" s="90">
        <f aca="true" t="shared" si="409" ref="AB400:AB416">IF(AQ400="1",BH400,0)</f>
        <v>0</v>
      </c>
      <c r="AC400" s="90">
        <f aca="true" t="shared" si="410" ref="AC400:AC416">IF(AQ400="1",BI400,0)</f>
        <v>0</v>
      </c>
      <c r="AD400" s="90">
        <f aca="true" t="shared" si="411" ref="AD400:AD416">IF(AQ400="7",BH400,0)</f>
        <v>0</v>
      </c>
      <c r="AE400" s="90">
        <f aca="true" t="shared" si="412" ref="AE400:AE416">IF(AQ400="7",BI400,0)</f>
        <v>0</v>
      </c>
      <c r="AF400" s="90">
        <f aca="true" t="shared" si="413" ref="AF400:AF416">IF(AQ400="2",BH400,0)</f>
        <v>0</v>
      </c>
      <c r="AG400" s="90">
        <f aca="true" t="shared" si="414" ref="AG400:AG416">IF(AQ400="2",BI400,0)</f>
        <v>0</v>
      </c>
      <c r="AH400" s="90">
        <f aca="true" t="shared" si="415" ref="AH400:AH416">IF(AQ400="0",BJ400,0)</f>
        <v>0</v>
      </c>
      <c r="AI400" s="154" t="s">
        <v>60</v>
      </c>
      <c r="AJ400" s="90">
        <f aca="true" t="shared" si="416" ref="AJ400:AJ416">IF(AN400=0,J400,0)</f>
        <v>0</v>
      </c>
      <c r="AK400" s="90">
        <f aca="true" t="shared" si="417" ref="AK400:AK416">IF(AN400=15,J400,0)</f>
        <v>0</v>
      </c>
      <c r="AL400" s="90">
        <f aca="true" t="shared" si="418" ref="AL400:AL416">IF(AN400=21,J400,0)</f>
        <v>0</v>
      </c>
      <c r="AN400" s="90">
        <v>21</v>
      </c>
      <c r="AO400" s="90">
        <f aca="true" t="shared" si="419" ref="AO400:AO416">G400*0</f>
        <v>0</v>
      </c>
      <c r="AP400" s="90">
        <f aca="true" t="shared" si="420" ref="AP400:AP416">G400*(1-0)</f>
        <v>0</v>
      </c>
      <c r="AQ400" s="91" t="s">
        <v>85</v>
      </c>
      <c r="AV400" s="90">
        <f aca="true" t="shared" si="421" ref="AV400:AV416">AW400+AX400</f>
        <v>0</v>
      </c>
      <c r="AW400" s="90">
        <f aca="true" t="shared" si="422" ref="AW400:AW416">F400*AO400</f>
        <v>0</v>
      </c>
      <c r="AX400" s="90">
        <f aca="true" t="shared" si="423" ref="AX400:AX416">F400*AP400</f>
        <v>0</v>
      </c>
      <c r="AY400" s="91" t="s">
        <v>644</v>
      </c>
      <c r="AZ400" s="91" t="s">
        <v>1537</v>
      </c>
      <c r="BA400" s="154" t="s">
        <v>1542</v>
      </c>
      <c r="BC400" s="90">
        <f aca="true" t="shared" si="424" ref="BC400:BC416">AW400+AX400</f>
        <v>0</v>
      </c>
      <c r="BD400" s="90">
        <f aca="true" t="shared" si="425" ref="BD400:BD416">G400/(100-BE400)*100</f>
        <v>0</v>
      </c>
      <c r="BE400" s="90">
        <v>0</v>
      </c>
      <c r="BF400" s="90">
        <f aca="true" t="shared" si="426" ref="BF400:BF416">L400</f>
        <v>0</v>
      </c>
      <c r="BH400" s="90">
        <f aca="true" t="shared" si="427" ref="BH400:BH416">F400*AO400</f>
        <v>0</v>
      </c>
      <c r="BI400" s="90">
        <f aca="true" t="shared" si="428" ref="BI400:BI416">F400*AP400</f>
        <v>0</v>
      </c>
      <c r="BJ400" s="90">
        <f aca="true" t="shared" si="429" ref="BJ400:BJ416">F400*G400</f>
        <v>0</v>
      </c>
    </row>
    <row r="401" spans="1:62" ht="12.75">
      <c r="A401" s="88" t="s">
        <v>851</v>
      </c>
      <c r="B401" s="88" t="s">
        <v>60</v>
      </c>
      <c r="C401" s="88" t="s">
        <v>315</v>
      </c>
      <c r="D401" s="88" t="s">
        <v>501</v>
      </c>
      <c r="E401" s="88" t="s">
        <v>611</v>
      </c>
      <c r="F401" s="90">
        <v>20</v>
      </c>
      <c r="G401" s="90">
        <f>'Stavební rozpočet (SO 13)'!G235</f>
        <v>0</v>
      </c>
      <c r="H401" s="90">
        <f t="shared" si="404"/>
        <v>0</v>
      </c>
      <c r="I401" s="90">
        <f t="shared" si="405"/>
        <v>0</v>
      </c>
      <c r="J401" s="90">
        <f t="shared" si="406"/>
        <v>0</v>
      </c>
      <c r="K401" s="90">
        <v>0</v>
      </c>
      <c r="L401" s="90">
        <f t="shared" si="407"/>
        <v>0</v>
      </c>
      <c r="M401" s="91" t="s">
        <v>622</v>
      </c>
      <c r="O401" s="90"/>
      <c r="P401" s="90"/>
      <c r="Z401" s="90">
        <f t="shared" si="408"/>
        <v>0</v>
      </c>
      <c r="AB401" s="90">
        <f t="shared" si="409"/>
        <v>0</v>
      </c>
      <c r="AC401" s="90">
        <f t="shared" si="410"/>
        <v>0</v>
      </c>
      <c r="AD401" s="90">
        <f t="shared" si="411"/>
        <v>0</v>
      </c>
      <c r="AE401" s="90">
        <f t="shared" si="412"/>
        <v>0</v>
      </c>
      <c r="AF401" s="90">
        <f t="shared" si="413"/>
        <v>0</v>
      </c>
      <c r="AG401" s="90">
        <f t="shared" si="414"/>
        <v>0</v>
      </c>
      <c r="AH401" s="90">
        <f t="shared" si="415"/>
        <v>0</v>
      </c>
      <c r="AI401" s="154" t="s">
        <v>60</v>
      </c>
      <c r="AJ401" s="90">
        <f t="shared" si="416"/>
        <v>0</v>
      </c>
      <c r="AK401" s="90">
        <f t="shared" si="417"/>
        <v>0</v>
      </c>
      <c r="AL401" s="90">
        <f t="shared" si="418"/>
        <v>0</v>
      </c>
      <c r="AN401" s="90">
        <v>21</v>
      </c>
      <c r="AO401" s="90">
        <f t="shared" si="419"/>
        <v>0</v>
      </c>
      <c r="AP401" s="90">
        <f t="shared" si="420"/>
        <v>0</v>
      </c>
      <c r="AQ401" s="91" t="s">
        <v>85</v>
      </c>
      <c r="AV401" s="90">
        <f t="shared" si="421"/>
        <v>0</v>
      </c>
      <c r="AW401" s="90">
        <f t="shared" si="422"/>
        <v>0</v>
      </c>
      <c r="AX401" s="90">
        <f t="shared" si="423"/>
        <v>0</v>
      </c>
      <c r="AY401" s="91" t="s">
        <v>644</v>
      </c>
      <c r="AZ401" s="91" t="s">
        <v>1537</v>
      </c>
      <c r="BA401" s="154" t="s">
        <v>1542</v>
      </c>
      <c r="BC401" s="90">
        <f t="shared" si="424"/>
        <v>0</v>
      </c>
      <c r="BD401" s="90">
        <f t="shared" si="425"/>
        <v>0</v>
      </c>
      <c r="BE401" s="90">
        <v>0</v>
      </c>
      <c r="BF401" s="90">
        <f t="shared" si="426"/>
        <v>0</v>
      </c>
      <c r="BH401" s="90">
        <f t="shared" si="427"/>
        <v>0</v>
      </c>
      <c r="BI401" s="90">
        <f t="shared" si="428"/>
        <v>0</v>
      </c>
      <c r="BJ401" s="90">
        <f t="shared" si="429"/>
        <v>0</v>
      </c>
    </row>
    <row r="402" spans="1:62" ht="12.75">
      <c r="A402" s="88" t="s">
        <v>852</v>
      </c>
      <c r="B402" s="88" t="s">
        <v>60</v>
      </c>
      <c r="C402" s="88" t="s">
        <v>316</v>
      </c>
      <c r="D402" s="88" t="s">
        <v>1363</v>
      </c>
      <c r="E402" s="88" t="s">
        <v>606</v>
      </c>
      <c r="F402" s="90">
        <v>1</v>
      </c>
      <c r="G402" s="90">
        <f>'Stavební rozpočet (SO 13)'!G236</f>
        <v>0</v>
      </c>
      <c r="H402" s="90">
        <f t="shared" si="404"/>
        <v>0</v>
      </c>
      <c r="I402" s="90">
        <f t="shared" si="405"/>
        <v>0</v>
      </c>
      <c r="J402" s="90">
        <f t="shared" si="406"/>
        <v>0</v>
      </c>
      <c r="K402" s="90">
        <v>0</v>
      </c>
      <c r="L402" s="90">
        <f t="shared" si="407"/>
        <v>0</v>
      </c>
      <c r="M402" s="91" t="s">
        <v>622</v>
      </c>
      <c r="O402" s="90"/>
      <c r="P402" s="90"/>
      <c r="Z402" s="90">
        <f t="shared" si="408"/>
        <v>0</v>
      </c>
      <c r="AB402" s="90">
        <f t="shared" si="409"/>
        <v>0</v>
      </c>
      <c r="AC402" s="90">
        <f t="shared" si="410"/>
        <v>0</v>
      </c>
      <c r="AD402" s="90">
        <f t="shared" si="411"/>
        <v>0</v>
      </c>
      <c r="AE402" s="90">
        <f t="shared" si="412"/>
        <v>0</v>
      </c>
      <c r="AF402" s="90">
        <f t="shared" si="413"/>
        <v>0</v>
      </c>
      <c r="AG402" s="90">
        <f t="shared" si="414"/>
        <v>0</v>
      </c>
      <c r="AH402" s="90">
        <f t="shared" si="415"/>
        <v>0</v>
      </c>
      <c r="AI402" s="154" t="s">
        <v>60</v>
      </c>
      <c r="AJ402" s="90">
        <f t="shared" si="416"/>
        <v>0</v>
      </c>
      <c r="AK402" s="90">
        <f t="shared" si="417"/>
        <v>0</v>
      </c>
      <c r="AL402" s="90">
        <f t="shared" si="418"/>
        <v>0</v>
      </c>
      <c r="AN402" s="90">
        <v>21</v>
      </c>
      <c r="AO402" s="90">
        <f t="shared" si="419"/>
        <v>0</v>
      </c>
      <c r="AP402" s="90">
        <f t="shared" si="420"/>
        <v>0</v>
      </c>
      <c r="AQ402" s="91" t="s">
        <v>85</v>
      </c>
      <c r="AV402" s="90">
        <f t="shared" si="421"/>
        <v>0</v>
      </c>
      <c r="AW402" s="90">
        <f t="shared" si="422"/>
        <v>0</v>
      </c>
      <c r="AX402" s="90">
        <f t="shared" si="423"/>
        <v>0</v>
      </c>
      <c r="AY402" s="91" t="s">
        <v>644</v>
      </c>
      <c r="AZ402" s="91" t="s">
        <v>1537</v>
      </c>
      <c r="BA402" s="154" t="s">
        <v>1542</v>
      </c>
      <c r="BC402" s="90">
        <f t="shared" si="424"/>
        <v>0</v>
      </c>
      <c r="BD402" s="90">
        <f t="shared" si="425"/>
        <v>0</v>
      </c>
      <c r="BE402" s="90">
        <v>0</v>
      </c>
      <c r="BF402" s="90">
        <f t="shared" si="426"/>
        <v>0</v>
      </c>
      <c r="BH402" s="90">
        <f t="shared" si="427"/>
        <v>0</v>
      </c>
      <c r="BI402" s="90">
        <f t="shared" si="428"/>
        <v>0</v>
      </c>
      <c r="BJ402" s="90">
        <f t="shared" si="429"/>
        <v>0</v>
      </c>
    </row>
    <row r="403" spans="1:62" ht="12.75">
      <c r="A403" s="88" t="s">
        <v>853</v>
      </c>
      <c r="B403" s="88" t="s">
        <v>60</v>
      </c>
      <c r="C403" s="88" t="s">
        <v>698</v>
      </c>
      <c r="D403" s="88" t="s">
        <v>1364</v>
      </c>
      <c r="E403" s="88" t="s">
        <v>606</v>
      </c>
      <c r="F403" s="90">
        <v>8</v>
      </c>
      <c r="G403" s="90">
        <f>'Stavební rozpočet (SO 13)'!G237</f>
        <v>0</v>
      </c>
      <c r="H403" s="90">
        <f t="shared" si="404"/>
        <v>0</v>
      </c>
      <c r="I403" s="90">
        <f t="shared" si="405"/>
        <v>0</v>
      </c>
      <c r="J403" s="90">
        <f t="shared" si="406"/>
        <v>0</v>
      </c>
      <c r="K403" s="90">
        <v>0</v>
      </c>
      <c r="L403" s="90">
        <f t="shared" si="407"/>
        <v>0</v>
      </c>
      <c r="M403" s="91" t="s">
        <v>622</v>
      </c>
      <c r="O403" s="90"/>
      <c r="P403" s="90"/>
      <c r="Z403" s="90">
        <f t="shared" si="408"/>
        <v>0</v>
      </c>
      <c r="AB403" s="90">
        <f t="shared" si="409"/>
        <v>0</v>
      </c>
      <c r="AC403" s="90">
        <f t="shared" si="410"/>
        <v>0</v>
      </c>
      <c r="AD403" s="90">
        <f t="shared" si="411"/>
        <v>0</v>
      </c>
      <c r="AE403" s="90">
        <f t="shared" si="412"/>
        <v>0</v>
      </c>
      <c r="AF403" s="90">
        <f t="shared" si="413"/>
        <v>0</v>
      </c>
      <c r="AG403" s="90">
        <f t="shared" si="414"/>
        <v>0</v>
      </c>
      <c r="AH403" s="90">
        <f t="shared" si="415"/>
        <v>0</v>
      </c>
      <c r="AI403" s="154" t="s">
        <v>60</v>
      </c>
      <c r="AJ403" s="90">
        <f t="shared" si="416"/>
        <v>0</v>
      </c>
      <c r="AK403" s="90">
        <f t="shared" si="417"/>
        <v>0</v>
      </c>
      <c r="AL403" s="90">
        <f t="shared" si="418"/>
        <v>0</v>
      </c>
      <c r="AN403" s="90">
        <v>21</v>
      </c>
      <c r="AO403" s="90">
        <f t="shared" si="419"/>
        <v>0</v>
      </c>
      <c r="AP403" s="90">
        <f t="shared" si="420"/>
        <v>0</v>
      </c>
      <c r="AQ403" s="91" t="s">
        <v>85</v>
      </c>
      <c r="AV403" s="90">
        <f t="shared" si="421"/>
        <v>0</v>
      </c>
      <c r="AW403" s="90">
        <f t="shared" si="422"/>
        <v>0</v>
      </c>
      <c r="AX403" s="90">
        <f t="shared" si="423"/>
        <v>0</v>
      </c>
      <c r="AY403" s="91" t="s">
        <v>644</v>
      </c>
      <c r="AZ403" s="91" t="s">
        <v>1537</v>
      </c>
      <c r="BA403" s="154" t="s">
        <v>1542</v>
      </c>
      <c r="BC403" s="90">
        <f t="shared" si="424"/>
        <v>0</v>
      </c>
      <c r="BD403" s="90">
        <f t="shared" si="425"/>
        <v>0</v>
      </c>
      <c r="BE403" s="90">
        <v>0</v>
      </c>
      <c r="BF403" s="90">
        <f t="shared" si="426"/>
        <v>0</v>
      </c>
      <c r="BH403" s="90">
        <f t="shared" si="427"/>
        <v>0</v>
      </c>
      <c r="BI403" s="90">
        <f t="shared" si="428"/>
        <v>0</v>
      </c>
      <c r="BJ403" s="90">
        <f t="shared" si="429"/>
        <v>0</v>
      </c>
    </row>
    <row r="404" spans="1:62" ht="12.75">
      <c r="A404" s="88" t="s">
        <v>854</v>
      </c>
      <c r="B404" s="88" t="s">
        <v>60</v>
      </c>
      <c r="C404" s="88" t="s">
        <v>699</v>
      </c>
      <c r="D404" s="88" t="s">
        <v>1365</v>
      </c>
      <c r="E404" s="88" t="s">
        <v>1527</v>
      </c>
      <c r="F404" s="90">
        <v>1</v>
      </c>
      <c r="G404" s="90">
        <f>'Stavební rozpočet (SO 13)'!G238</f>
        <v>0</v>
      </c>
      <c r="H404" s="90">
        <f t="shared" si="404"/>
        <v>0</v>
      </c>
      <c r="I404" s="90">
        <f t="shared" si="405"/>
        <v>0</v>
      </c>
      <c r="J404" s="90">
        <f t="shared" si="406"/>
        <v>0</v>
      </c>
      <c r="K404" s="90">
        <v>0</v>
      </c>
      <c r="L404" s="90">
        <f t="shared" si="407"/>
        <v>0</v>
      </c>
      <c r="M404" s="91" t="s">
        <v>622</v>
      </c>
      <c r="O404" s="90"/>
      <c r="P404" s="90"/>
      <c r="Z404" s="90">
        <f t="shared" si="408"/>
        <v>0</v>
      </c>
      <c r="AB404" s="90">
        <f t="shared" si="409"/>
        <v>0</v>
      </c>
      <c r="AC404" s="90">
        <f t="shared" si="410"/>
        <v>0</v>
      </c>
      <c r="AD404" s="90">
        <f t="shared" si="411"/>
        <v>0</v>
      </c>
      <c r="AE404" s="90">
        <f t="shared" si="412"/>
        <v>0</v>
      </c>
      <c r="AF404" s="90">
        <f t="shared" si="413"/>
        <v>0</v>
      </c>
      <c r="AG404" s="90">
        <f t="shared" si="414"/>
        <v>0</v>
      </c>
      <c r="AH404" s="90">
        <f t="shared" si="415"/>
        <v>0</v>
      </c>
      <c r="AI404" s="154" t="s">
        <v>60</v>
      </c>
      <c r="AJ404" s="90">
        <f t="shared" si="416"/>
        <v>0</v>
      </c>
      <c r="AK404" s="90">
        <f t="shared" si="417"/>
        <v>0</v>
      </c>
      <c r="AL404" s="90">
        <f t="shared" si="418"/>
        <v>0</v>
      </c>
      <c r="AN404" s="90">
        <v>21</v>
      </c>
      <c r="AO404" s="90">
        <f t="shared" si="419"/>
        <v>0</v>
      </c>
      <c r="AP404" s="90">
        <f t="shared" si="420"/>
        <v>0</v>
      </c>
      <c r="AQ404" s="91" t="s">
        <v>85</v>
      </c>
      <c r="AV404" s="90">
        <f t="shared" si="421"/>
        <v>0</v>
      </c>
      <c r="AW404" s="90">
        <f t="shared" si="422"/>
        <v>0</v>
      </c>
      <c r="AX404" s="90">
        <f t="shared" si="423"/>
        <v>0</v>
      </c>
      <c r="AY404" s="91" t="s">
        <v>644</v>
      </c>
      <c r="AZ404" s="91" t="s">
        <v>1537</v>
      </c>
      <c r="BA404" s="154" t="s">
        <v>1542</v>
      </c>
      <c r="BC404" s="90">
        <f t="shared" si="424"/>
        <v>0</v>
      </c>
      <c r="BD404" s="90">
        <f t="shared" si="425"/>
        <v>0</v>
      </c>
      <c r="BE404" s="90">
        <v>0</v>
      </c>
      <c r="BF404" s="90">
        <f t="shared" si="426"/>
        <v>0</v>
      </c>
      <c r="BH404" s="90">
        <f t="shared" si="427"/>
        <v>0</v>
      </c>
      <c r="BI404" s="90">
        <f t="shared" si="428"/>
        <v>0</v>
      </c>
      <c r="BJ404" s="90">
        <f t="shared" si="429"/>
        <v>0</v>
      </c>
    </row>
    <row r="405" spans="1:62" ht="12.75">
      <c r="A405" s="88" t="s">
        <v>855</v>
      </c>
      <c r="B405" s="88" t="s">
        <v>60</v>
      </c>
      <c r="C405" s="88" t="s">
        <v>700</v>
      </c>
      <c r="D405" s="88" t="s">
        <v>497</v>
      </c>
      <c r="E405" s="88" t="s">
        <v>611</v>
      </c>
      <c r="F405" s="90">
        <v>5</v>
      </c>
      <c r="G405" s="90">
        <f>'Stavební rozpočet (SO 13)'!G239</f>
        <v>0</v>
      </c>
      <c r="H405" s="90">
        <f t="shared" si="404"/>
        <v>0</v>
      </c>
      <c r="I405" s="90">
        <f t="shared" si="405"/>
        <v>0</v>
      </c>
      <c r="J405" s="90">
        <f t="shared" si="406"/>
        <v>0</v>
      </c>
      <c r="K405" s="90">
        <v>0</v>
      </c>
      <c r="L405" s="90">
        <f t="shared" si="407"/>
        <v>0</v>
      </c>
      <c r="M405" s="91" t="s">
        <v>622</v>
      </c>
      <c r="O405" s="90"/>
      <c r="P405" s="90"/>
      <c r="Z405" s="90">
        <f t="shared" si="408"/>
        <v>0</v>
      </c>
      <c r="AB405" s="90">
        <f t="shared" si="409"/>
        <v>0</v>
      </c>
      <c r="AC405" s="90">
        <f t="shared" si="410"/>
        <v>0</v>
      </c>
      <c r="AD405" s="90">
        <f t="shared" si="411"/>
        <v>0</v>
      </c>
      <c r="AE405" s="90">
        <f t="shared" si="412"/>
        <v>0</v>
      </c>
      <c r="AF405" s="90">
        <f t="shared" si="413"/>
        <v>0</v>
      </c>
      <c r="AG405" s="90">
        <f t="shared" si="414"/>
        <v>0</v>
      </c>
      <c r="AH405" s="90">
        <f t="shared" si="415"/>
        <v>0</v>
      </c>
      <c r="AI405" s="154" t="s">
        <v>60</v>
      </c>
      <c r="AJ405" s="90">
        <f t="shared" si="416"/>
        <v>0</v>
      </c>
      <c r="AK405" s="90">
        <f t="shared" si="417"/>
        <v>0</v>
      </c>
      <c r="AL405" s="90">
        <f t="shared" si="418"/>
        <v>0</v>
      </c>
      <c r="AN405" s="90">
        <v>21</v>
      </c>
      <c r="AO405" s="90">
        <f t="shared" si="419"/>
        <v>0</v>
      </c>
      <c r="AP405" s="90">
        <f t="shared" si="420"/>
        <v>0</v>
      </c>
      <c r="AQ405" s="91" t="s">
        <v>85</v>
      </c>
      <c r="AV405" s="90">
        <f t="shared" si="421"/>
        <v>0</v>
      </c>
      <c r="AW405" s="90">
        <f t="shared" si="422"/>
        <v>0</v>
      </c>
      <c r="AX405" s="90">
        <f t="shared" si="423"/>
        <v>0</v>
      </c>
      <c r="AY405" s="91" t="s">
        <v>644</v>
      </c>
      <c r="AZ405" s="91" t="s">
        <v>1537</v>
      </c>
      <c r="BA405" s="154" t="s">
        <v>1542</v>
      </c>
      <c r="BC405" s="90">
        <f t="shared" si="424"/>
        <v>0</v>
      </c>
      <c r="BD405" s="90">
        <f t="shared" si="425"/>
        <v>0</v>
      </c>
      <c r="BE405" s="90">
        <v>0</v>
      </c>
      <c r="BF405" s="90">
        <f t="shared" si="426"/>
        <v>0</v>
      </c>
      <c r="BH405" s="90">
        <f t="shared" si="427"/>
        <v>0</v>
      </c>
      <c r="BI405" s="90">
        <f t="shared" si="428"/>
        <v>0</v>
      </c>
      <c r="BJ405" s="90">
        <f t="shared" si="429"/>
        <v>0</v>
      </c>
    </row>
    <row r="406" spans="1:62" ht="12.75">
      <c r="A406" s="88" t="s">
        <v>856</v>
      </c>
      <c r="B406" s="88" t="s">
        <v>60</v>
      </c>
      <c r="C406" s="88" t="s">
        <v>701</v>
      </c>
      <c r="D406" s="88" t="s">
        <v>1366</v>
      </c>
      <c r="E406" s="88" t="s">
        <v>606</v>
      </c>
      <c r="F406" s="90">
        <v>1</v>
      </c>
      <c r="G406" s="90">
        <f>'Stavební rozpočet (SO 13)'!G240</f>
        <v>0</v>
      </c>
      <c r="H406" s="90">
        <f t="shared" si="404"/>
        <v>0</v>
      </c>
      <c r="I406" s="90">
        <f t="shared" si="405"/>
        <v>0</v>
      </c>
      <c r="J406" s="90">
        <f t="shared" si="406"/>
        <v>0</v>
      </c>
      <c r="K406" s="90">
        <v>0</v>
      </c>
      <c r="L406" s="90">
        <f t="shared" si="407"/>
        <v>0</v>
      </c>
      <c r="M406" s="91" t="s">
        <v>622</v>
      </c>
      <c r="O406" s="90"/>
      <c r="P406" s="90"/>
      <c r="Z406" s="90">
        <f t="shared" si="408"/>
        <v>0</v>
      </c>
      <c r="AB406" s="90">
        <f t="shared" si="409"/>
        <v>0</v>
      </c>
      <c r="AC406" s="90">
        <f t="shared" si="410"/>
        <v>0</v>
      </c>
      <c r="AD406" s="90">
        <f t="shared" si="411"/>
        <v>0</v>
      </c>
      <c r="AE406" s="90">
        <f t="shared" si="412"/>
        <v>0</v>
      </c>
      <c r="AF406" s="90">
        <f t="shared" si="413"/>
        <v>0</v>
      </c>
      <c r="AG406" s="90">
        <f t="shared" si="414"/>
        <v>0</v>
      </c>
      <c r="AH406" s="90">
        <f t="shared" si="415"/>
        <v>0</v>
      </c>
      <c r="AI406" s="154" t="s">
        <v>60</v>
      </c>
      <c r="AJ406" s="90">
        <f t="shared" si="416"/>
        <v>0</v>
      </c>
      <c r="AK406" s="90">
        <f t="shared" si="417"/>
        <v>0</v>
      </c>
      <c r="AL406" s="90">
        <f t="shared" si="418"/>
        <v>0</v>
      </c>
      <c r="AN406" s="90">
        <v>21</v>
      </c>
      <c r="AO406" s="90">
        <f t="shared" si="419"/>
        <v>0</v>
      </c>
      <c r="AP406" s="90">
        <f t="shared" si="420"/>
        <v>0</v>
      </c>
      <c r="AQ406" s="91" t="s">
        <v>85</v>
      </c>
      <c r="AV406" s="90">
        <f t="shared" si="421"/>
        <v>0</v>
      </c>
      <c r="AW406" s="90">
        <f t="shared" si="422"/>
        <v>0</v>
      </c>
      <c r="AX406" s="90">
        <f t="shared" si="423"/>
        <v>0</v>
      </c>
      <c r="AY406" s="91" t="s">
        <v>644</v>
      </c>
      <c r="AZ406" s="91" t="s">
        <v>1537</v>
      </c>
      <c r="BA406" s="154" t="s">
        <v>1542</v>
      </c>
      <c r="BC406" s="90">
        <f t="shared" si="424"/>
        <v>0</v>
      </c>
      <c r="BD406" s="90">
        <f t="shared" si="425"/>
        <v>0</v>
      </c>
      <c r="BE406" s="90">
        <v>0</v>
      </c>
      <c r="BF406" s="90">
        <f t="shared" si="426"/>
        <v>0</v>
      </c>
      <c r="BH406" s="90">
        <f t="shared" si="427"/>
        <v>0</v>
      </c>
      <c r="BI406" s="90">
        <f t="shared" si="428"/>
        <v>0</v>
      </c>
      <c r="BJ406" s="90">
        <f t="shared" si="429"/>
        <v>0</v>
      </c>
    </row>
    <row r="407" spans="1:62" ht="12.75">
      <c r="A407" s="88" t="s">
        <v>857</v>
      </c>
      <c r="B407" s="88" t="s">
        <v>60</v>
      </c>
      <c r="C407" s="88" t="s">
        <v>702</v>
      </c>
      <c r="D407" s="88" t="s">
        <v>1367</v>
      </c>
      <c r="E407" s="88" t="s">
        <v>606</v>
      </c>
      <c r="F407" s="90">
        <v>1</v>
      </c>
      <c r="G407" s="90">
        <f>'Stavební rozpočet (SO 13)'!G241</f>
        <v>0</v>
      </c>
      <c r="H407" s="90">
        <f t="shared" si="404"/>
        <v>0</v>
      </c>
      <c r="I407" s="90">
        <f t="shared" si="405"/>
        <v>0</v>
      </c>
      <c r="J407" s="90">
        <f t="shared" si="406"/>
        <v>0</v>
      </c>
      <c r="K407" s="90">
        <v>0</v>
      </c>
      <c r="L407" s="90">
        <f t="shared" si="407"/>
        <v>0</v>
      </c>
      <c r="M407" s="91" t="s">
        <v>622</v>
      </c>
      <c r="O407" s="90"/>
      <c r="P407" s="90"/>
      <c r="Z407" s="90">
        <f t="shared" si="408"/>
        <v>0</v>
      </c>
      <c r="AB407" s="90">
        <f t="shared" si="409"/>
        <v>0</v>
      </c>
      <c r="AC407" s="90">
        <f t="shared" si="410"/>
        <v>0</v>
      </c>
      <c r="AD407" s="90">
        <f t="shared" si="411"/>
        <v>0</v>
      </c>
      <c r="AE407" s="90">
        <f t="shared" si="412"/>
        <v>0</v>
      </c>
      <c r="AF407" s="90">
        <f t="shared" si="413"/>
        <v>0</v>
      </c>
      <c r="AG407" s="90">
        <f t="shared" si="414"/>
        <v>0</v>
      </c>
      <c r="AH407" s="90">
        <f t="shared" si="415"/>
        <v>0</v>
      </c>
      <c r="AI407" s="154" t="s">
        <v>60</v>
      </c>
      <c r="AJ407" s="90">
        <f t="shared" si="416"/>
        <v>0</v>
      </c>
      <c r="AK407" s="90">
        <f t="shared" si="417"/>
        <v>0</v>
      </c>
      <c r="AL407" s="90">
        <f t="shared" si="418"/>
        <v>0</v>
      </c>
      <c r="AN407" s="90">
        <v>21</v>
      </c>
      <c r="AO407" s="90">
        <f t="shared" si="419"/>
        <v>0</v>
      </c>
      <c r="AP407" s="90">
        <f t="shared" si="420"/>
        <v>0</v>
      </c>
      <c r="AQ407" s="91" t="s">
        <v>85</v>
      </c>
      <c r="AV407" s="90">
        <f t="shared" si="421"/>
        <v>0</v>
      </c>
      <c r="AW407" s="90">
        <f t="shared" si="422"/>
        <v>0</v>
      </c>
      <c r="AX407" s="90">
        <f t="shared" si="423"/>
        <v>0</v>
      </c>
      <c r="AY407" s="91" t="s">
        <v>644</v>
      </c>
      <c r="AZ407" s="91" t="s">
        <v>1537</v>
      </c>
      <c r="BA407" s="154" t="s">
        <v>1542</v>
      </c>
      <c r="BC407" s="90">
        <f t="shared" si="424"/>
        <v>0</v>
      </c>
      <c r="BD407" s="90">
        <f t="shared" si="425"/>
        <v>0</v>
      </c>
      <c r="BE407" s="90">
        <v>0</v>
      </c>
      <c r="BF407" s="90">
        <f t="shared" si="426"/>
        <v>0</v>
      </c>
      <c r="BH407" s="90">
        <f t="shared" si="427"/>
        <v>0</v>
      </c>
      <c r="BI407" s="90">
        <f t="shared" si="428"/>
        <v>0</v>
      </c>
      <c r="BJ407" s="90">
        <f t="shared" si="429"/>
        <v>0</v>
      </c>
    </row>
    <row r="408" spans="1:62" ht="12.75">
      <c r="A408" s="88" t="s">
        <v>858</v>
      </c>
      <c r="B408" s="88" t="s">
        <v>60</v>
      </c>
      <c r="C408" s="88" t="s">
        <v>703</v>
      </c>
      <c r="D408" s="88" t="s">
        <v>1368</v>
      </c>
      <c r="E408" s="88" t="s">
        <v>606</v>
      </c>
      <c r="F408" s="90">
        <v>1</v>
      </c>
      <c r="G408" s="90">
        <f>'Stavební rozpočet (SO 13)'!G242</f>
        <v>0</v>
      </c>
      <c r="H408" s="90">
        <f t="shared" si="404"/>
        <v>0</v>
      </c>
      <c r="I408" s="90">
        <f t="shared" si="405"/>
        <v>0</v>
      </c>
      <c r="J408" s="90">
        <f t="shared" si="406"/>
        <v>0</v>
      </c>
      <c r="K408" s="90">
        <v>0</v>
      </c>
      <c r="L408" s="90">
        <f t="shared" si="407"/>
        <v>0</v>
      </c>
      <c r="M408" s="91" t="s">
        <v>622</v>
      </c>
      <c r="O408" s="90"/>
      <c r="P408" s="90"/>
      <c r="Z408" s="90">
        <f t="shared" si="408"/>
        <v>0</v>
      </c>
      <c r="AB408" s="90">
        <f t="shared" si="409"/>
        <v>0</v>
      </c>
      <c r="AC408" s="90">
        <f t="shared" si="410"/>
        <v>0</v>
      </c>
      <c r="AD408" s="90">
        <f t="shared" si="411"/>
        <v>0</v>
      </c>
      <c r="AE408" s="90">
        <f t="shared" si="412"/>
        <v>0</v>
      </c>
      <c r="AF408" s="90">
        <f t="shared" si="413"/>
        <v>0</v>
      </c>
      <c r="AG408" s="90">
        <f t="shared" si="414"/>
        <v>0</v>
      </c>
      <c r="AH408" s="90">
        <f t="shared" si="415"/>
        <v>0</v>
      </c>
      <c r="AI408" s="154" t="s">
        <v>60</v>
      </c>
      <c r="AJ408" s="90">
        <f t="shared" si="416"/>
        <v>0</v>
      </c>
      <c r="AK408" s="90">
        <f t="shared" si="417"/>
        <v>0</v>
      </c>
      <c r="AL408" s="90">
        <f t="shared" si="418"/>
        <v>0</v>
      </c>
      <c r="AN408" s="90">
        <v>21</v>
      </c>
      <c r="AO408" s="90">
        <f t="shared" si="419"/>
        <v>0</v>
      </c>
      <c r="AP408" s="90">
        <f t="shared" si="420"/>
        <v>0</v>
      </c>
      <c r="AQ408" s="91" t="s">
        <v>85</v>
      </c>
      <c r="AV408" s="90">
        <f t="shared" si="421"/>
        <v>0</v>
      </c>
      <c r="AW408" s="90">
        <f t="shared" si="422"/>
        <v>0</v>
      </c>
      <c r="AX408" s="90">
        <f t="shared" si="423"/>
        <v>0</v>
      </c>
      <c r="AY408" s="91" t="s">
        <v>644</v>
      </c>
      <c r="AZ408" s="91" t="s">
        <v>1537</v>
      </c>
      <c r="BA408" s="154" t="s">
        <v>1542</v>
      </c>
      <c r="BC408" s="90">
        <f t="shared" si="424"/>
        <v>0</v>
      </c>
      <c r="BD408" s="90">
        <f t="shared" si="425"/>
        <v>0</v>
      </c>
      <c r="BE408" s="90">
        <v>0</v>
      </c>
      <c r="BF408" s="90">
        <f t="shared" si="426"/>
        <v>0</v>
      </c>
      <c r="BH408" s="90">
        <f t="shared" si="427"/>
        <v>0</v>
      </c>
      <c r="BI408" s="90">
        <f t="shared" si="428"/>
        <v>0</v>
      </c>
      <c r="BJ408" s="90">
        <f t="shared" si="429"/>
        <v>0</v>
      </c>
    </row>
    <row r="409" spans="1:62" ht="12.75">
      <c r="A409" s="88" t="s">
        <v>859</v>
      </c>
      <c r="B409" s="88" t="s">
        <v>60</v>
      </c>
      <c r="C409" s="88" t="s">
        <v>704</v>
      </c>
      <c r="D409" s="88" t="s">
        <v>1369</v>
      </c>
      <c r="E409" s="88" t="s">
        <v>606</v>
      </c>
      <c r="F409" s="90">
        <v>1</v>
      </c>
      <c r="G409" s="90">
        <f>'Stavební rozpočet (SO 13)'!G243</f>
        <v>0</v>
      </c>
      <c r="H409" s="90">
        <f t="shared" si="404"/>
        <v>0</v>
      </c>
      <c r="I409" s="90">
        <f t="shared" si="405"/>
        <v>0</v>
      </c>
      <c r="J409" s="90">
        <f t="shared" si="406"/>
        <v>0</v>
      </c>
      <c r="K409" s="90">
        <v>0</v>
      </c>
      <c r="L409" s="90">
        <f t="shared" si="407"/>
        <v>0</v>
      </c>
      <c r="M409" s="91" t="s">
        <v>622</v>
      </c>
      <c r="O409" s="90"/>
      <c r="P409" s="90"/>
      <c r="Z409" s="90">
        <f t="shared" si="408"/>
        <v>0</v>
      </c>
      <c r="AB409" s="90">
        <f t="shared" si="409"/>
        <v>0</v>
      </c>
      <c r="AC409" s="90">
        <f t="shared" si="410"/>
        <v>0</v>
      </c>
      <c r="AD409" s="90">
        <f t="shared" si="411"/>
        <v>0</v>
      </c>
      <c r="AE409" s="90">
        <f t="shared" si="412"/>
        <v>0</v>
      </c>
      <c r="AF409" s="90">
        <f t="shared" si="413"/>
        <v>0</v>
      </c>
      <c r="AG409" s="90">
        <f t="shared" si="414"/>
        <v>0</v>
      </c>
      <c r="AH409" s="90">
        <f t="shared" si="415"/>
        <v>0</v>
      </c>
      <c r="AI409" s="154" t="s">
        <v>60</v>
      </c>
      <c r="AJ409" s="90">
        <f t="shared" si="416"/>
        <v>0</v>
      </c>
      <c r="AK409" s="90">
        <f t="shared" si="417"/>
        <v>0</v>
      </c>
      <c r="AL409" s="90">
        <f t="shared" si="418"/>
        <v>0</v>
      </c>
      <c r="AN409" s="90">
        <v>21</v>
      </c>
      <c r="AO409" s="90">
        <f t="shared" si="419"/>
        <v>0</v>
      </c>
      <c r="AP409" s="90">
        <f t="shared" si="420"/>
        <v>0</v>
      </c>
      <c r="AQ409" s="91" t="s">
        <v>85</v>
      </c>
      <c r="AV409" s="90">
        <f t="shared" si="421"/>
        <v>0</v>
      </c>
      <c r="AW409" s="90">
        <f t="shared" si="422"/>
        <v>0</v>
      </c>
      <c r="AX409" s="90">
        <f t="shared" si="423"/>
        <v>0</v>
      </c>
      <c r="AY409" s="91" t="s">
        <v>644</v>
      </c>
      <c r="AZ409" s="91" t="s">
        <v>1537</v>
      </c>
      <c r="BA409" s="154" t="s">
        <v>1542</v>
      </c>
      <c r="BC409" s="90">
        <f t="shared" si="424"/>
        <v>0</v>
      </c>
      <c r="BD409" s="90">
        <f t="shared" si="425"/>
        <v>0</v>
      </c>
      <c r="BE409" s="90">
        <v>0</v>
      </c>
      <c r="BF409" s="90">
        <f t="shared" si="426"/>
        <v>0</v>
      </c>
      <c r="BH409" s="90">
        <f t="shared" si="427"/>
        <v>0</v>
      </c>
      <c r="BI409" s="90">
        <f t="shared" si="428"/>
        <v>0</v>
      </c>
      <c r="BJ409" s="90">
        <f t="shared" si="429"/>
        <v>0</v>
      </c>
    </row>
    <row r="410" spans="1:62" ht="12.75">
      <c r="A410" s="88" t="s">
        <v>860</v>
      </c>
      <c r="B410" s="88" t="s">
        <v>60</v>
      </c>
      <c r="C410" s="88" t="s">
        <v>705</v>
      </c>
      <c r="D410" s="88" t="s">
        <v>1370</v>
      </c>
      <c r="E410" s="88" t="s">
        <v>611</v>
      </c>
      <c r="F410" s="90">
        <v>10</v>
      </c>
      <c r="G410" s="90">
        <f>'Stavební rozpočet (SO 13)'!G244</f>
        <v>0</v>
      </c>
      <c r="H410" s="90">
        <f t="shared" si="404"/>
        <v>0</v>
      </c>
      <c r="I410" s="90">
        <f t="shared" si="405"/>
        <v>0</v>
      </c>
      <c r="J410" s="90">
        <f t="shared" si="406"/>
        <v>0</v>
      </c>
      <c r="K410" s="90">
        <v>0</v>
      </c>
      <c r="L410" s="90">
        <f t="shared" si="407"/>
        <v>0</v>
      </c>
      <c r="M410" s="91" t="s">
        <v>622</v>
      </c>
      <c r="O410" s="90"/>
      <c r="P410" s="90"/>
      <c r="Z410" s="90">
        <f t="shared" si="408"/>
        <v>0</v>
      </c>
      <c r="AB410" s="90">
        <f t="shared" si="409"/>
        <v>0</v>
      </c>
      <c r="AC410" s="90">
        <f t="shared" si="410"/>
        <v>0</v>
      </c>
      <c r="AD410" s="90">
        <f t="shared" si="411"/>
        <v>0</v>
      </c>
      <c r="AE410" s="90">
        <f t="shared" si="412"/>
        <v>0</v>
      </c>
      <c r="AF410" s="90">
        <f t="shared" si="413"/>
        <v>0</v>
      </c>
      <c r="AG410" s="90">
        <f t="shared" si="414"/>
        <v>0</v>
      </c>
      <c r="AH410" s="90">
        <f t="shared" si="415"/>
        <v>0</v>
      </c>
      <c r="AI410" s="154" t="s">
        <v>60</v>
      </c>
      <c r="AJ410" s="90">
        <f t="shared" si="416"/>
        <v>0</v>
      </c>
      <c r="AK410" s="90">
        <f t="shared" si="417"/>
        <v>0</v>
      </c>
      <c r="AL410" s="90">
        <f t="shared" si="418"/>
        <v>0</v>
      </c>
      <c r="AN410" s="90">
        <v>21</v>
      </c>
      <c r="AO410" s="90">
        <f t="shared" si="419"/>
        <v>0</v>
      </c>
      <c r="AP410" s="90">
        <f t="shared" si="420"/>
        <v>0</v>
      </c>
      <c r="AQ410" s="91" t="s">
        <v>85</v>
      </c>
      <c r="AV410" s="90">
        <f t="shared" si="421"/>
        <v>0</v>
      </c>
      <c r="AW410" s="90">
        <f t="shared" si="422"/>
        <v>0</v>
      </c>
      <c r="AX410" s="90">
        <f t="shared" si="423"/>
        <v>0</v>
      </c>
      <c r="AY410" s="91" t="s">
        <v>644</v>
      </c>
      <c r="AZ410" s="91" t="s">
        <v>1537</v>
      </c>
      <c r="BA410" s="154" t="s">
        <v>1542</v>
      </c>
      <c r="BC410" s="90">
        <f t="shared" si="424"/>
        <v>0</v>
      </c>
      <c r="BD410" s="90">
        <f t="shared" si="425"/>
        <v>0</v>
      </c>
      <c r="BE410" s="90">
        <v>0</v>
      </c>
      <c r="BF410" s="90">
        <f t="shared" si="426"/>
        <v>0</v>
      </c>
      <c r="BH410" s="90">
        <f t="shared" si="427"/>
        <v>0</v>
      </c>
      <c r="BI410" s="90">
        <f t="shared" si="428"/>
        <v>0</v>
      </c>
      <c r="BJ410" s="90">
        <f t="shared" si="429"/>
        <v>0</v>
      </c>
    </row>
    <row r="411" spans="1:62" ht="12.75">
      <c r="A411" s="88" t="s">
        <v>861</v>
      </c>
      <c r="B411" s="88" t="s">
        <v>60</v>
      </c>
      <c r="C411" s="88" t="s">
        <v>706</v>
      </c>
      <c r="D411" s="88" t="s">
        <v>491</v>
      </c>
      <c r="E411" s="88" t="s">
        <v>606</v>
      </c>
      <c r="F411" s="90">
        <v>1</v>
      </c>
      <c r="G411" s="90">
        <f>'Stavební rozpočet (SO 13)'!G245</f>
        <v>0</v>
      </c>
      <c r="H411" s="90">
        <f t="shared" si="404"/>
        <v>0</v>
      </c>
      <c r="I411" s="90">
        <f t="shared" si="405"/>
        <v>0</v>
      </c>
      <c r="J411" s="90">
        <f t="shared" si="406"/>
        <v>0</v>
      </c>
      <c r="K411" s="90">
        <v>0</v>
      </c>
      <c r="L411" s="90">
        <f t="shared" si="407"/>
        <v>0</v>
      </c>
      <c r="M411" s="91" t="s">
        <v>622</v>
      </c>
      <c r="O411" s="90"/>
      <c r="P411" s="90"/>
      <c r="Z411" s="90">
        <f t="shared" si="408"/>
        <v>0</v>
      </c>
      <c r="AB411" s="90">
        <f t="shared" si="409"/>
        <v>0</v>
      </c>
      <c r="AC411" s="90">
        <f t="shared" si="410"/>
        <v>0</v>
      </c>
      <c r="AD411" s="90">
        <f t="shared" si="411"/>
        <v>0</v>
      </c>
      <c r="AE411" s="90">
        <f t="shared" si="412"/>
        <v>0</v>
      </c>
      <c r="AF411" s="90">
        <f t="shared" si="413"/>
        <v>0</v>
      </c>
      <c r="AG411" s="90">
        <f t="shared" si="414"/>
        <v>0</v>
      </c>
      <c r="AH411" s="90">
        <f t="shared" si="415"/>
        <v>0</v>
      </c>
      <c r="AI411" s="154" t="s">
        <v>60</v>
      </c>
      <c r="AJ411" s="90">
        <f t="shared" si="416"/>
        <v>0</v>
      </c>
      <c r="AK411" s="90">
        <f t="shared" si="417"/>
        <v>0</v>
      </c>
      <c r="AL411" s="90">
        <f t="shared" si="418"/>
        <v>0</v>
      </c>
      <c r="AN411" s="90">
        <v>21</v>
      </c>
      <c r="AO411" s="90">
        <f t="shared" si="419"/>
        <v>0</v>
      </c>
      <c r="AP411" s="90">
        <f t="shared" si="420"/>
        <v>0</v>
      </c>
      <c r="AQ411" s="91" t="s">
        <v>85</v>
      </c>
      <c r="AV411" s="90">
        <f t="shared" si="421"/>
        <v>0</v>
      </c>
      <c r="AW411" s="90">
        <f t="shared" si="422"/>
        <v>0</v>
      </c>
      <c r="AX411" s="90">
        <f t="shared" si="423"/>
        <v>0</v>
      </c>
      <c r="AY411" s="91" t="s">
        <v>644</v>
      </c>
      <c r="AZ411" s="91" t="s">
        <v>1537</v>
      </c>
      <c r="BA411" s="154" t="s">
        <v>1542</v>
      </c>
      <c r="BC411" s="90">
        <f t="shared" si="424"/>
        <v>0</v>
      </c>
      <c r="BD411" s="90">
        <f t="shared" si="425"/>
        <v>0</v>
      </c>
      <c r="BE411" s="90">
        <v>0</v>
      </c>
      <c r="BF411" s="90">
        <f t="shared" si="426"/>
        <v>0</v>
      </c>
      <c r="BH411" s="90">
        <f t="shared" si="427"/>
        <v>0</v>
      </c>
      <c r="BI411" s="90">
        <f t="shared" si="428"/>
        <v>0</v>
      </c>
      <c r="BJ411" s="90">
        <f t="shared" si="429"/>
        <v>0</v>
      </c>
    </row>
    <row r="412" spans="1:62" ht="12.75">
      <c r="A412" s="88" t="s">
        <v>862</v>
      </c>
      <c r="B412" s="88" t="s">
        <v>60</v>
      </c>
      <c r="C412" s="88" t="s">
        <v>707</v>
      </c>
      <c r="D412" s="88" t="s">
        <v>1371</v>
      </c>
      <c r="E412" s="88" t="s">
        <v>611</v>
      </c>
      <c r="F412" s="90">
        <v>5</v>
      </c>
      <c r="G412" s="90">
        <f>'Stavební rozpočet (SO 13)'!G246</f>
        <v>0</v>
      </c>
      <c r="H412" s="90">
        <f t="shared" si="404"/>
        <v>0</v>
      </c>
      <c r="I412" s="90">
        <f t="shared" si="405"/>
        <v>0</v>
      </c>
      <c r="J412" s="90">
        <f t="shared" si="406"/>
        <v>0</v>
      </c>
      <c r="K412" s="90">
        <v>0</v>
      </c>
      <c r="L412" s="90">
        <f t="shared" si="407"/>
        <v>0</v>
      </c>
      <c r="M412" s="91" t="s">
        <v>622</v>
      </c>
      <c r="O412" s="90"/>
      <c r="P412" s="90"/>
      <c r="Z412" s="90">
        <f t="shared" si="408"/>
        <v>0</v>
      </c>
      <c r="AB412" s="90">
        <f t="shared" si="409"/>
        <v>0</v>
      </c>
      <c r="AC412" s="90">
        <f t="shared" si="410"/>
        <v>0</v>
      </c>
      <c r="AD412" s="90">
        <f t="shared" si="411"/>
        <v>0</v>
      </c>
      <c r="AE412" s="90">
        <f t="shared" si="412"/>
        <v>0</v>
      </c>
      <c r="AF412" s="90">
        <f t="shared" si="413"/>
        <v>0</v>
      </c>
      <c r="AG412" s="90">
        <f t="shared" si="414"/>
        <v>0</v>
      </c>
      <c r="AH412" s="90">
        <f t="shared" si="415"/>
        <v>0</v>
      </c>
      <c r="AI412" s="154" t="s">
        <v>60</v>
      </c>
      <c r="AJ412" s="90">
        <f t="shared" si="416"/>
        <v>0</v>
      </c>
      <c r="AK412" s="90">
        <f t="shared" si="417"/>
        <v>0</v>
      </c>
      <c r="AL412" s="90">
        <f t="shared" si="418"/>
        <v>0</v>
      </c>
      <c r="AN412" s="90">
        <v>21</v>
      </c>
      <c r="AO412" s="90">
        <f t="shared" si="419"/>
        <v>0</v>
      </c>
      <c r="AP412" s="90">
        <f t="shared" si="420"/>
        <v>0</v>
      </c>
      <c r="AQ412" s="91" t="s">
        <v>85</v>
      </c>
      <c r="AV412" s="90">
        <f t="shared" si="421"/>
        <v>0</v>
      </c>
      <c r="AW412" s="90">
        <f t="shared" si="422"/>
        <v>0</v>
      </c>
      <c r="AX412" s="90">
        <f t="shared" si="423"/>
        <v>0</v>
      </c>
      <c r="AY412" s="91" t="s">
        <v>644</v>
      </c>
      <c r="AZ412" s="91" t="s">
        <v>1537</v>
      </c>
      <c r="BA412" s="154" t="s">
        <v>1542</v>
      </c>
      <c r="BC412" s="90">
        <f t="shared" si="424"/>
        <v>0</v>
      </c>
      <c r="BD412" s="90">
        <f t="shared" si="425"/>
        <v>0</v>
      </c>
      <c r="BE412" s="90">
        <v>0</v>
      </c>
      <c r="BF412" s="90">
        <f t="shared" si="426"/>
        <v>0</v>
      </c>
      <c r="BH412" s="90">
        <f t="shared" si="427"/>
        <v>0</v>
      </c>
      <c r="BI412" s="90">
        <f t="shared" si="428"/>
        <v>0</v>
      </c>
      <c r="BJ412" s="90">
        <f t="shared" si="429"/>
        <v>0</v>
      </c>
    </row>
    <row r="413" spans="1:62" ht="12.75">
      <c r="A413" s="88" t="s">
        <v>863</v>
      </c>
      <c r="B413" s="88" t="s">
        <v>60</v>
      </c>
      <c r="C413" s="88" t="s">
        <v>708</v>
      </c>
      <c r="D413" s="88" t="s">
        <v>1372</v>
      </c>
      <c r="E413" s="88" t="s">
        <v>606</v>
      </c>
      <c r="F413" s="90">
        <v>1</v>
      </c>
      <c r="G413" s="90">
        <f>'Stavební rozpočet (SO 13)'!G247</f>
        <v>0</v>
      </c>
      <c r="H413" s="90">
        <f t="shared" si="404"/>
        <v>0</v>
      </c>
      <c r="I413" s="90">
        <f t="shared" si="405"/>
        <v>0</v>
      </c>
      <c r="J413" s="90">
        <f t="shared" si="406"/>
        <v>0</v>
      </c>
      <c r="K413" s="90">
        <v>0</v>
      </c>
      <c r="L413" s="90">
        <f t="shared" si="407"/>
        <v>0</v>
      </c>
      <c r="M413" s="91" t="s">
        <v>622</v>
      </c>
      <c r="O413" s="90"/>
      <c r="P413" s="90"/>
      <c r="Z413" s="90">
        <f t="shared" si="408"/>
        <v>0</v>
      </c>
      <c r="AB413" s="90">
        <f t="shared" si="409"/>
        <v>0</v>
      </c>
      <c r="AC413" s="90">
        <f t="shared" si="410"/>
        <v>0</v>
      </c>
      <c r="AD413" s="90">
        <f t="shared" si="411"/>
        <v>0</v>
      </c>
      <c r="AE413" s="90">
        <f t="shared" si="412"/>
        <v>0</v>
      </c>
      <c r="AF413" s="90">
        <f t="shared" si="413"/>
        <v>0</v>
      </c>
      <c r="AG413" s="90">
        <f t="shared" si="414"/>
        <v>0</v>
      </c>
      <c r="AH413" s="90">
        <f t="shared" si="415"/>
        <v>0</v>
      </c>
      <c r="AI413" s="154" t="s">
        <v>60</v>
      </c>
      <c r="AJ413" s="90">
        <f t="shared" si="416"/>
        <v>0</v>
      </c>
      <c r="AK413" s="90">
        <f t="shared" si="417"/>
        <v>0</v>
      </c>
      <c r="AL413" s="90">
        <f t="shared" si="418"/>
        <v>0</v>
      </c>
      <c r="AN413" s="90">
        <v>21</v>
      </c>
      <c r="AO413" s="90">
        <f t="shared" si="419"/>
        <v>0</v>
      </c>
      <c r="AP413" s="90">
        <f t="shared" si="420"/>
        <v>0</v>
      </c>
      <c r="AQ413" s="91" t="s">
        <v>85</v>
      </c>
      <c r="AV413" s="90">
        <f t="shared" si="421"/>
        <v>0</v>
      </c>
      <c r="AW413" s="90">
        <f t="shared" si="422"/>
        <v>0</v>
      </c>
      <c r="AX413" s="90">
        <f t="shared" si="423"/>
        <v>0</v>
      </c>
      <c r="AY413" s="91" t="s">
        <v>644</v>
      </c>
      <c r="AZ413" s="91" t="s">
        <v>1537</v>
      </c>
      <c r="BA413" s="154" t="s">
        <v>1542</v>
      </c>
      <c r="BC413" s="90">
        <f t="shared" si="424"/>
        <v>0</v>
      </c>
      <c r="BD413" s="90">
        <f t="shared" si="425"/>
        <v>0</v>
      </c>
      <c r="BE413" s="90">
        <v>0</v>
      </c>
      <c r="BF413" s="90">
        <f t="shared" si="426"/>
        <v>0</v>
      </c>
      <c r="BH413" s="90">
        <f t="shared" si="427"/>
        <v>0</v>
      </c>
      <c r="BI413" s="90">
        <f t="shared" si="428"/>
        <v>0</v>
      </c>
      <c r="BJ413" s="90">
        <f t="shared" si="429"/>
        <v>0</v>
      </c>
    </row>
    <row r="414" spans="1:62" ht="12.75">
      <c r="A414" s="88" t="s">
        <v>864</v>
      </c>
      <c r="B414" s="88" t="s">
        <v>60</v>
      </c>
      <c r="C414" s="88" t="s">
        <v>709</v>
      </c>
      <c r="D414" s="88" t="s">
        <v>489</v>
      </c>
      <c r="E414" s="88" t="s">
        <v>606</v>
      </c>
      <c r="F414" s="90">
        <v>1</v>
      </c>
      <c r="G414" s="90">
        <f>'Stavební rozpočet (SO 13)'!G248</f>
        <v>0</v>
      </c>
      <c r="H414" s="90">
        <f t="shared" si="404"/>
        <v>0</v>
      </c>
      <c r="I414" s="90">
        <f t="shared" si="405"/>
        <v>0</v>
      </c>
      <c r="J414" s="90">
        <f t="shared" si="406"/>
        <v>0</v>
      </c>
      <c r="K414" s="90">
        <v>0</v>
      </c>
      <c r="L414" s="90">
        <f t="shared" si="407"/>
        <v>0</v>
      </c>
      <c r="M414" s="91" t="s">
        <v>622</v>
      </c>
      <c r="O414" s="90"/>
      <c r="P414" s="90"/>
      <c r="Z414" s="90">
        <f t="shared" si="408"/>
        <v>0</v>
      </c>
      <c r="AB414" s="90">
        <f t="shared" si="409"/>
        <v>0</v>
      </c>
      <c r="AC414" s="90">
        <f t="shared" si="410"/>
        <v>0</v>
      </c>
      <c r="AD414" s="90">
        <f t="shared" si="411"/>
        <v>0</v>
      </c>
      <c r="AE414" s="90">
        <f t="shared" si="412"/>
        <v>0</v>
      </c>
      <c r="AF414" s="90">
        <f t="shared" si="413"/>
        <v>0</v>
      </c>
      <c r="AG414" s="90">
        <f t="shared" si="414"/>
        <v>0</v>
      </c>
      <c r="AH414" s="90">
        <f t="shared" si="415"/>
        <v>0</v>
      </c>
      <c r="AI414" s="154" t="s">
        <v>60</v>
      </c>
      <c r="AJ414" s="90">
        <f t="shared" si="416"/>
        <v>0</v>
      </c>
      <c r="AK414" s="90">
        <f t="shared" si="417"/>
        <v>0</v>
      </c>
      <c r="AL414" s="90">
        <f t="shared" si="418"/>
        <v>0</v>
      </c>
      <c r="AN414" s="90">
        <v>21</v>
      </c>
      <c r="AO414" s="90">
        <f t="shared" si="419"/>
        <v>0</v>
      </c>
      <c r="AP414" s="90">
        <f t="shared" si="420"/>
        <v>0</v>
      </c>
      <c r="AQ414" s="91" t="s">
        <v>85</v>
      </c>
      <c r="AV414" s="90">
        <f t="shared" si="421"/>
        <v>0</v>
      </c>
      <c r="AW414" s="90">
        <f t="shared" si="422"/>
        <v>0</v>
      </c>
      <c r="AX414" s="90">
        <f t="shared" si="423"/>
        <v>0</v>
      </c>
      <c r="AY414" s="91" t="s">
        <v>644</v>
      </c>
      <c r="AZ414" s="91" t="s">
        <v>1537</v>
      </c>
      <c r="BA414" s="154" t="s">
        <v>1542</v>
      </c>
      <c r="BC414" s="90">
        <f t="shared" si="424"/>
        <v>0</v>
      </c>
      <c r="BD414" s="90">
        <f t="shared" si="425"/>
        <v>0</v>
      </c>
      <c r="BE414" s="90">
        <v>0</v>
      </c>
      <c r="BF414" s="90">
        <f t="shared" si="426"/>
        <v>0</v>
      </c>
      <c r="BH414" s="90">
        <f t="shared" si="427"/>
        <v>0</v>
      </c>
      <c r="BI414" s="90">
        <f t="shared" si="428"/>
        <v>0</v>
      </c>
      <c r="BJ414" s="90">
        <f t="shared" si="429"/>
        <v>0</v>
      </c>
    </row>
    <row r="415" spans="1:62" ht="12.75">
      <c r="A415" s="88" t="s">
        <v>865</v>
      </c>
      <c r="B415" s="88" t="s">
        <v>60</v>
      </c>
      <c r="C415" s="88" t="s">
        <v>710</v>
      </c>
      <c r="D415" s="88" t="s">
        <v>492</v>
      </c>
      <c r="E415" s="88" t="s">
        <v>606</v>
      </c>
      <c r="F415" s="90">
        <v>1</v>
      </c>
      <c r="G415" s="90">
        <f>'Stavební rozpočet (SO 13)'!G249</f>
        <v>0</v>
      </c>
      <c r="H415" s="90">
        <f t="shared" si="404"/>
        <v>0</v>
      </c>
      <c r="I415" s="90">
        <f t="shared" si="405"/>
        <v>0</v>
      </c>
      <c r="J415" s="90">
        <f t="shared" si="406"/>
        <v>0</v>
      </c>
      <c r="K415" s="90">
        <v>0</v>
      </c>
      <c r="L415" s="90">
        <f t="shared" si="407"/>
        <v>0</v>
      </c>
      <c r="M415" s="91" t="s">
        <v>622</v>
      </c>
      <c r="O415" s="90"/>
      <c r="P415" s="90"/>
      <c r="Z415" s="90">
        <f t="shared" si="408"/>
        <v>0</v>
      </c>
      <c r="AB415" s="90">
        <f t="shared" si="409"/>
        <v>0</v>
      </c>
      <c r="AC415" s="90">
        <f t="shared" si="410"/>
        <v>0</v>
      </c>
      <c r="AD415" s="90">
        <f t="shared" si="411"/>
        <v>0</v>
      </c>
      <c r="AE415" s="90">
        <f t="shared" si="412"/>
        <v>0</v>
      </c>
      <c r="AF415" s="90">
        <f t="shared" si="413"/>
        <v>0</v>
      </c>
      <c r="AG415" s="90">
        <f t="shared" si="414"/>
        <v>0</v>
      </c>
      <c r="AH415" s="90">
        <f t="shared" si="415"/>
        <v>0</v>
      </c>
      <c r="AI415" s="154" t="s">
        <v>60</v>
      </c>
      <c r="AJ415" s="90">
        <f t="shared" si="416"/>
        <v>0</v>
      </c>
      <c r="AK415" s="90">
        <f t="shared" si="417"/>
        <v>0</v>
      </c>
      <c r="AL415" s="90">
        <f t="shared" si="418"/>
        <v>0</v>
      </c>
      <c r="AN415" s="90">
        <v>21</v>
      </c>
      <c r="AO415" s="90">
        <f t="shared" si="419"/>
        <v>0</v>
      </c>
      <c r="AP415" s="90">
        <f t="shared" si="420"/>
        <v>0</v>
      </c>
      <c r="AQ415" s="91" t="s">
        <v>85</v>
      </c>
      <c r="AV415" s="90">
        <f t="shared" si="421"/>
        <v>0</v>
      </c>
      <c r="AW415" s="90">
        <f t="shared" si="422"/>
        <v>0</v>
      </c>
      <c r="AX415" s="90">
        <f t="shared" si="423"/>
        <v>0</v>
      </c>
      <c r="AY415" s="91" t="s">
        <v>644</v>
      </c>
      <c r="AZ415" s="91" t="s">
        <v>1537</v>
      </c>
      <c r="BA415" s="154" t="s">
        <v>1542</v>
      </c>
      <c r="BC415" s="90">
        <f t="shared" si="424"/>
        <v>0</v>
      </c>
      <c r="BD415" s="90">
        <f t="shared" si="425"/>
        <v>0</v>
      </c>
      <c r="BE415" s="90">
        <v>0</v>
      </c>
      <c r="BF415" s="90">
        <f t="shared" si="426"/>
        <v>0</v>
      </c>
      <c r="BH415" s="90">
        <f t="shared" si="427"/>
        <v>0</v>
      </c>
      <c r="BI415" s="90">
        <f t="shared" si="428"/>
        <v>0</v>
      </c>
      <c r="BJ415" s="90">
        <f t="shared" si="429"/>
        <v>0</v>
      </c>
    </row>
    <row r="416" spans="1:62" ht="12.75">
      <c r="A416" s="88" t="s">
        <v>866</v>
      </c>
      <c r="B416" s="88" t="s">
        <v>60</v>
      </c>
      <c r="C416" s="88" t="s">
        <v>711</v>
      </c>
      <c r="D416" s="88" t="s">
        <v>493</v>
      </c>
      <c r="E416" s="88" t="s">
        <v>606</v>
      </c>
      <c r="F416" s="90">
        <v>1</v>
      </c>
      <c r="G416" s="90">
        <f>'Stavební rozpočet (SO 13)'!G250</f>
        <v>0</v>
      </c>
      <c r="H416" s="90">
        <f t="shared" si="404"/>
        <v>0</v>
      </c>
      <c r="I416" s="90">
        <f t="shared" si="405"/>
        <v>0</v>
      </c>
      <c r="J416" s="90">
        <f t="shared" si="406"/>
        <v>0</v>
      </c>
      <c r="K416" s="90">
        <v>0</v>
      </c>
      <c r="L416" s="90">
        <f t="shared" si="407"/>
        <v>0</v>
      </c>
      <c r="M416" s="91" t="s">
        <v>622</v>
      </c>
      <c r="O416" s="90"/>
      <c r="P416" s="90"/>
      <c r="Z416" s="90">
        <f t="shared" si="408"/>
        <v>0</v>
      </c>
      <c r="AB416" s="90">
        <f t="shared" si="409"/>
        <v>0</v>
      </c>
      <c r="AC416" s="90">
        <f t="shared" si="410"/>
        <v>0</v>
      </c>
      <c r="AD416" s="90">
        <f t="shared" si="411"/>
        <v>0</v>
      </c>
      <c r="AE416" s="90">
        <f t="shared" si="412"/>
        <v>0</v>
      </c>
      <c r="AF416" s="90">
        <f t="shared" si="413"/>
        <v>0</v>
      </c>
      <c r="AG416" s="90">
        <f t="shared" si="414"/>
        <v>0</v>
      </c>
      <c r="AH416" s="90">
        <f t="shared" si="415"/>
        <v>0</v>
      </c>
      <c r="AI416" s="154" t="s">
        <v>60</v>
      </c>
      <c r="AJ416" s="90">
        <f t="shared" si="416"/>
        <v>0</v>
      </c>
      <c r="AK416" s="90">
        <f t="shared" si="417"/>
        <v>0</v>
      </c>
      <c r="AL416" s="90">
        <f t="shared" si="418"/>
        <v>0</v>
      </c>
      <c r="AN416" s="90">
        <v>21</v>
      </c>
      <c r="AO416" s="90">
        <f t="shared" si="419"/>
        <v>0</v>
      </c>
      <c r="AP416" s="90">
        <f t="shared" si="420"/>
        <v>0</v>
      </c>
      <c r="AQ416" s="91" t="s">
        <v>85</v>
      </c>
      <c r="AV416" s="90">
        <f t="shared" si="421"/>
        <v>0</v>
      </c>
      <c r="AW416" s="90">
        <f t="shared" si="422"/>
        <v>0</v>
      </c>
      <c r="AX416" s="90">
        <f t="shared" si="423"/>
        <v>0</v>
      </c>
      <c r="AY416" s="91" t="s">
        <v>644</v>
      </c>
      <c r="AZ416" s="91" t="s">
        <v>1537</v>
      </c>
      <c r="BA416" s="154" t="s">
        <v>1542</v>
      </c>
      <c r="BC416" s="90">
        <f t="shared" si="424"/>
        <v>0</v>
      </c>
      <c r="BD416" s="90">
        <f t="shared" si="425"/>
        <v>0</v>
      </c>
      <c r="BE416" s="90">
        <v>0</v>
      </c>
      <c r="BF416" s="90">
        <f t="shared" si="426"/>
        <v>0</v>
      </c>
      <c r="BH416" s="90">
        <f t="shared" si="427"/>
        <v>0</v>
      </c>
      <c r="BI416" s="90">
        <f t="shared" si="428"/>
        <v>0</v>
      </c>
      <c r="BJ416" s="90">
        <f t="shared" si="429"/>
        <v>0</v>
      </c>
    </row>
    <row r="417" spans="1:47" ht="12.75">
      <c r="A417" s="159"/>
      <c r="B417" s="160" t="s">
        <v>60</v>
      </c>
      <c r="C417" s="160" t="s">
        <v>317</v>
      </c>
      <c r="D417" s="160" t="s">
        <v>506</v>
      </c>
      <c r="E417" s="159" t="s">
        <v>57</v>
      </c>
      <c r="F417" s="159" t="s">
        <v>57</v>
      </c>
      <c r="G417" s="159"/>
      <c r="H417" s="161">
        <f>SUM(H418:H481)</f>
        <v>0</v>
      </c>
      <c r="I417" s="161">
        <f>SUM(I418:I481)</f>
        <v>0</v>
      </c>
      <c r="J417" s="161">
        <f>SUM(J418:J481)</f>
        <v>0</v>
      </c>
      <c r="K417" s="154"/>
      <c r="L417" s="161">
        <f>SUM(L418:L481)</f>
        <v>0</v>
      </c>
      <c r="M417" s="154"/>
      <c r="O417" s="159"/>
      <c r="P417" s="159"/>
      <c r="AI417" s="154" t="s">
        <v>60</v>
      </c>
      <c r="AS417" s="161">
        <f>SUM(AJ418:AJ481)</f>
        <v>0</v>
      </c>
      <c r="AT417" s="161">
        <f>SUM(AK418:AK481)</f>
        <v>0</v>
      </c>
      <c r="AU417" s="161">
        <f>SUM(AL418:AL481)</f>
        <v>0</v>
      </c>
    </row>
    <row r="418" spans="1:62" ht="12.75">
      <c r="A418" s="88" t="s">
        <v>867</v>
      </c>
      <c r="B418" s="88" t="s">
        <v>60</v>
      </c>
      <c r="C418" s="88" t="s">
        <v>318</v>
      </c>
      <c r="D418" s="88" t="s">
        <v>509</v>
      </c>
      <c r="E418" s="88" t="s">
        <v>609</v>
      </c>
      <c r="F418" s="90">
        <v>105.9</v>
      </c>
      <c r="G418" s="90">
        <f>'Stavební rozpočet (SO 13)'!G252</f>
        <v>0</v>
      </c>
      <c r="H418" s="90">
        <f aca="true" t="shared" si="430" ref="H418:H449">F418*AO418</f>
        <v>0</v>
      </c>
      <c r="I418" s="90">
        <f aca="true" t="shared" si="431" ref="I418:I449">F418*AP418</f>
        <v>0</v>
      </c>
      <c r="J418" s="90">
        <f aca="true" t="shared" si="432" ref="J418:J449">F418*G418</f>
        <v>0</v>
      </c>
      <c r="K418" s="90">
        <v>0</v>
      </c>
      <c r="L418" s="90">
        <f aca="true" t="shared" si="433" ref="L418:L449">F418*K418</f>
        <v>0</v>
      </c>
      <c r="M418" s="91" t="s">
        <v>622</v>
      </c>
      <c r="O418" s="90"/>
      <c r="P418" s="90"/>
      <c r="Z418" s="90">
        <f aca="true" t="shared" si="434" ref="Z418:Z449">IF(AQ418="5",BJ418,0)</f>
        <v>0</v>
      </c>
      <c r="AB418" s="90">
        <f aca="true" t="shared" si="435" ref="AB418:AB449">IF(AQ418="1",BH418,0)</f>
        <v>0</v>
      </c>
      <c r="AC418" s="90">
        <f aca="true" t="shared" si="436" ref="AC418:AC449">IF(AQ418="1",BI418,0)</f>
        <v>0</v>
      </c>
      <c r="AD418" s="90">
        <f aca="true" t="shared" si="437" ref="AD418:AD449">IF(AQ418="7",BH418,0)</f>
        <v>0</v>
      </c>
      <c r="AE418" s="90">
        <f aca="true" t="shared" si="438" ref="AE418:AE449">IF(AQ418="7",BI418,0)</f>
        <v>0</v>
      </c>
      <c r="AF418" s="90">
        <f aca="true" t="shared" si="439" ref="AF418:AF449">IF(AQ418="2",BH418,0)</f>
        <v>0</v>
      </c>
      <c r="AG418" s="90">
        <f aca="true" t="shared" si="440" ref="AG418:AG449">IF(AQ418="2",BI418,0)</f>
        <v>0</v>
      </c>
      <c r="AH418" s="90">
        <f aca="true" t="shared" si="441" ref="AH418:AH449">IF(AQ418="0",BJ418,0)</f>
        <v>0</v>
      </c>
      <c r="AI418" s="154" t="s">
        <v>60</v>
      </c>
      <c r="AJ418" s="90">
        <f aca="true" t="shared" si="442" ref="AJ418:AJ449">IF(AN418=0,J418,0)</f>
        <v>0</v>
      </c>
      <c r="AK418" s="90">
        <f aca="true" t="shared" si="443" ref="AK418:AK449">IF(AN418=15,J418,0)</f>
        <v>0</v>
      </c>
      <c r="AL418" s="90">
        <f aca="true" t="shared" si="444" ref="AL418:AL449">IF(AN418=21,J418,0)</f>
        <v>0</v>
      </c>
      <c r="AN418" s="90">
        <v>21</v>
      </c>
      <c r="AO418" s="90">
        <f aca="true" t="shared" si="445" ref="AO418:AO449">G418*0</f>
        <v>0</v>
      </c>
      <c r="AP418" s="90">
        <f aca="true" t="shared" si="446" ref="AP418:AP449">G418*(1-0)</f>
        <v>0</v>
      </c>
      <c r="AQ418" s="91" t="s">
        <v>85</v>
      </c>
      <c r="AV418" s="90">
        <f aca="true" t="shared" si="447" ref="AV418:AV449">AW418+AX418</f>
        <v>0</v>
      </c>
      <c r="AW418" s="90">
        <f aca="true" t="shared" si="448" ref="AW418:AW449">F418*AO418</f>
        <v>0</v>
      </c>
      <c r="AX418" s="90">
        <f aca="true" t="shared" si="449" ref="AX418:AX449">F418*AP418</f>
        <v>0</v>
      </c>
      <c r="AY418" s="91" t="s">
        <v>645</v>
      </c>
      <c r="AZ418" s="91" t="s">
        <v>1538</v>
      </c>
      <c r="BA418" s="154" t="s">
        <v>1542</v>
      </c>
      <c r="BC418" s="90">
        <f aca="true" t="shared" si="450" ref="BC418:BC449">AW418+AX418</f>
        <v>0</v>
      </c>
      <c r="BD418" s="90">
        <f aca="true" t="shared" si="451" ref="BD418:BD449">G418/(100-BE418)*100</f>
        <v>0</v>
      </c>
      <c r="BE418" s="90">
        <v>0</v>
      </c>
      <c r="BF418" s="90">
        <f aca="true" t="shared" si="452" ref="BF418:BF449">L418</f>
        <v>0</v>
      </c>
      <c r="BH418" s="90">
        <f aca="true" t="shared" si="453" ref="BH418:BH449">F418*AO418</f>
        <v>0</v>
      </c>
      <c r="BI418" s="90">
        <f aca="true" t="shared" si="454" ref="BI418:BI449">F418*AP418</f>
        <v>0</v>
      </c>
      <c r="BJ418" s="90">
        <f aca="true" t="shared" si="455" ref="BJ418:BJ449">F418*G418</f>
        <v>0</v>
      </c>
    </row>
    <row r="419" spans="1:62" ht="12.75">
      <c r="A419" s="88" t="s">
        <v>868</v>
      </c>
      <c r="B419" s="88" t="s">
        <v>60</v>
      </c>
      <c r="C419" s="88" t="s">
        <v>319</v>
      </c>
      <c r="D419" s="88" t="s">
        <v>510</v>
      </c>
      <c r="E419" s="88" t="s">
        <v>609</v>
      </c>
      <c r="F419" s="90">
        <v>33.6</v>
      </c>
      <c r="G419" s="90">
        <f>'Stavební rozpočet (SO 13)'!G253</f>
        <v>0</v>
      </c>
      <c r="H419" s="90">
        <f t="shared" si="430"/>
        <v>0</v>
      </c>
      <c r="I419" s="90">
        <f t="shared" si="431"/>
        <v>0</v>
      </c>
      <c r="J419" s="90">
        <f t="shared" si="432"/>
        <v>0</v>
      </c>
      <c r="K419" s="90">
        <v>0</v>
      </c>
      <c r="L419" s="90">
        <f t="shared" si="433"/>
        <v>0</v>
      </c>
      <c r="M419" s="91" t="s">
        <v>622</v>
      </c>
      <c r="O419" s="90"/>
      <c r="P419" s="90"/>
      <c r="Z419" s="90">
        <f t="shared" si="434"/>
        <v>0</v>
      </c>
      <c r="AB419" s="90">
        <f t="shared" si="435"/>
        <v>0</v>
      </c>
      <c r="AC419" s="90">
        <f t="shared" si="436"/>
        <v>0</v>
      </c>
      <c r="AD419" s="90">
        <f t="shared" si="437"/>
        <v>0</v>
      </c>
      <c r="AE419" s="90">
        <f t="shared" si="438"/>
        <v>0</v>
      </c>
      <c r="AF419" s="90">
        <f t="shared" si="439"/>
        <v>0</v>
      </c>
      <c r="AG419" s="90">
        <f t="shared" si="440"/>
        <v>0</v>
      </c>
      <c r="AH419" s="90">
        <f t="shared" si="441"/>
        <v>0</v>
      </c>
      <c r="AI419" s="154" t="s">
        <v>60</v>
      </c>
      <c r="AJ419" s="90">
        <f t="shared" si="442"/>
        <v>0</v>
      </c>
      <c r="AK419" s="90">
        <f t="shared" si="443"/>
        <v>0</v>
      </c>
      <c r="AL419" s="90">
        <f t="shared" si="444"/>
        <v>0</v>
      </c>
      <c r="AN419" s="90">
        <v>21</v>
      </c>
      <c r="AO419" s="90">
        <f t="shared" si="445"/>
        <v>0</v>
      </c>
      <c r="AP419" s="90">
        <f t="shared" si="446"/>
        <v>0</v>
      </c>
      <c r="AQ419" s="91" t="s">
        <v>85</v>
      </c>
      <c r="AV419" s="90">
        <f t="shared" si="447"/>
        <v>0</v>
      </c>
      <c r="AW419" s="90">
        <f t="shared" si="448"/>
        <v>0</v>
      </c>
      <c r="AX419" s="90">
        <f t="shared" si="449"/>
        <v>0</v>
      </c>
      <c r="AY419" s="91" t="s">
        <v>645</v>
      </c>
      <c r="AZ419" s="91" t="s">
        <v>1538</v>
      </c>
      <c r="BA419" s="154" t="s">
        <v>1542</v>
      </c>
      <c r="BC419" s="90">
        <f t="shared" si="450"/>
        <v>0</v>
      </c>
      <c r="BD419" s="90">
        <f t="shared" si="451"/>
        <v>0</v>
      </c>
      <c r="BE419" s="90">
        <v>0</v>
      </c>
      <c r="BF419" s="90">
        <f t="shared" si="452"/>
        <v>0</v>
      </c>
      <c r="BH419" s="90">
        <f t="shared" si="453"/>
        <v>0</v>
      </c>
      <c r="BI419" s="90">
        <f t="shared" si="454"/>
        <v>0</v>
      </c>
      <c r="BJ419" s="90">
        <f t="shared" si="455"/>
        <v>0</v>
      </c>
    </row>
    <row r="420" spans="1:62" ht="12.75">
      <c r="A420" s="88" t="s">
        <v>869</v>
      </c>
      <c r="B420" s="88" t="s">
        <v>60</v>
      </c>
      <c r="C420" s="88" t="s">
        <v>1059</v>
      </c>
      <c r="D420" s="88" t="s">
        <v>1373</v>
      </c>
      <c r="E420" s="88" t="s">
        <v>609</v>
      </c>
      <c r="F420" s="90">
        <v>26.7</v>
      </c>
      <c r="G420" s="90">
        <f>'Stavební rozpočet (SO 13)'!G254</f>
        <v>0</v>
      </c>
      <c r="H420" s="90">
        <f t="shared" si="430"/>
        <v>0</v>
      </c>
      <c r="I420" s="90">
        <f t="shared" si="431"/>
        <v>0</v>
      </c>
      <c r="J420" s="90">
        <f t="shared" si="432"/>
        <v>0</v>
      </c>
      <c r="K420" s="90">
        <v>0</v>
      </c>
      <c r="L420" s="90">
        <f t="shared" si="433"/>
        <v>0</v>
      </c>
      <c r="M420" s="91" t="s">
        <v>622</v>
      </c>
      <c r="O420" s="90"/>
      <c r="P420" s="90"/>
      <c r="Z420" s="90">
        <f t="shared" si="434"/>
        <v>0</v>
      </c>
      <c r="AB420" s="90">
        <f t="shared" si="435"/>
        <v>0</v>
      </c>
      <c r="AC420" s="90">
        <f t="shared" si="436"/>
        <v>0</v>
      </c>
      <c r="AD420" s="90">
        <f t="shared" si="437"/>
        <v>0</v>
      </c>
      <c r="AE420" s="90">
        <f t="shared" si="438"/>
        <v>0</v>
      </c>
      <c r="AF420" s="90">
        <f t="shared" si="439"/>
        <v>0</v>
      </c>
      <c r="AG420" s="90">
        <f t="shared" si="440"/>
        <v>0</v>
      </c>
      <c r="AH420" s="90">
        <f t="shared" si="441"/>
        <v>0</v>
      </c>
      <c r="AI420" s="154" t="s">
        <v>60</v>
      </c>
      <c r="AJ420" s="90">
        <f t="shared" si="442"/>
        <v>0</v>
      </c>
      <c r="AK420" s="90">
        <f t="shared" si="443"/>
        <v>0</v>
      </c>
      <c r="AL420" s="90">
        <f t="shared" si="444"/>
        <v>0</v>
      </c>
      <c r="AN420" s="90">
        <v>21</v>
      </c>
      <c r="AO420" s="90">
        <f t="shared" si="445"/>
        <v>0</v>
      </c>
      <c r="AP420" s="90">
        <f t="shared" si="446"/>
        <v>0</v>
      </c>
      <c r="AQ420" s="91" t="s">
        <v>85</v>
      </c>
      <c r="AV420" s="90">
        <f t="shared" si="447"/>
        <v>0</v>
      </c>
      <c r="AW420" s="90">
        <f t="shared" si="448"/>
        <v>0</v>
      </c>
      <c r="AX420" s="90">
        <f t="shared" si="449"/>
        <v>0</v>
      </c>
      <c r="AY420" s="91" t="s">
        <v>645</v>
      </c>
      <c r="AZ420" s="91" t="s">
        <v>1538</v>
      </c>
      <c r="BA420" s="154" t="s">
        <v>1542</v>
      </c>
      <c r="BC420" s="90">
        <f t="shared" si="450"/>
        <v>0</v>
      </c>
      <c r="BD420" s="90">
        <f t="shared" si="451"/>
        <v>0</v>
      </c>
      <c r="BE420" s="90">
        <v>0</v>
      </c>
      <c r="BF420" s="90">
        <f t="shared" si="452"/>
        <v>0</v>
      </c>
      <c r="BH420" s="90">
        <f t="shared" si="453"/>
        <v>0</v>
      </c>
      <c r="BI420" s="90">
        <f t="shared" si="454"/>
        <v>0</v>
      </c>
      <c r="BJ420" s="90">
        <f t="shared" si="455"/>
        <v>0</v>
      </c>
    </row>
    <row r="421" spans="1:62" ht="12.75">
      <c r="A421" s="88" t="s">
        <v>870</v>
      </c>
      <c r="B421" s="88" t="s">
        <v>60</v>
      </c>
      <c r="C421" s="88" t="s">
        <v>1060</v>
      </c>
      <c r="D421" s="88" t="s">
        <v>511</v>
      </c>
      <c r="E421" s="88" t="s">
        <v>609</v>
      </c>
      <c r="F421" s="90">
        <v>38.3</v>
      </c>
      <c r="G421" s="90">
        <f>'Stavební rozpočet (SO 13)'!G255</f>
        <v>0</v>
      </c>
      <c r="H421" s="90">
        <f t="shared" si="430"/>
        <v>0</v>
      </c>
      <c r="I421" s="90">
        <f t="shared" si="431"/>
        <v>0</v>
      </c>
      <c r="J421" s="90">
        <f t="shared" si="432"/>
        <v>0</v>
      </c>
      <c r="K421" s="90">
        <v>0</v>
      </c>
      <c r="L421" s="90">
        <f t="shared" si="433"/>
        <v>0</v>
      </c>
      <c r="M421" s="91" t="s">
        <v>622</v>
      </c>
      <c r="O421" s="90"/>
      <c r="P421" s="90"/>
      <c r="Z421" s="90">
        <f t="shared" si="434"/>
        <v>0</v>
      </c>
      <c r="AB421" s="90">
        <f t="shared" si="435"/>
        <v>0</v>
      </c>
      <c r="AC421" s="90">
        <f t="shared" si="436"/>
        <v>0</v>
      </c>
      <c r="AD421" s="90">
        <f t="shared" si="437"/>
        <v>0</v>
      </c>
      <c r="AE421" s="90">
        <f t="shared" si="438"/>
        <v>0</v>
      </c>
      <c r="AF421" s="90">
        <f t="shared" si="439"/>
        <v>0</v>
      </c>
      <c r="AG421" s="90">
        <f t="shared" si="440"/>
        <v>0</v>
      </c>
      <c r="AH421" s="90">
        <f t="shared" si="441"/>
        <v>0</v>
      </c>
      <c r="AI421" s="154" t="s">
        <v>60</v>
      </c>
      <c r="AJ421" s="90">
        <f t="shared" si="442"/>
        <v>0</v>
      </c>
      <c r="AK421" s="90">
        <f t="shared" si="443"/>
        <v>0</v>
      </c>
      <c r="AL421" s="90">
        <f t="shared" si="444"/>
        <v>0</v>
      </c>
      <c r="AN421" s="90">
        <v>21</v>
      </c>
      <c r="AO421" s="90">
        <f t="shared" si="445"/>
        <v>0</v>
      </c>
      <c r="AP421" s="90">
        <f t="shared" si="446"/>
        <v>0</v>
      </c>
      <c r="AQ421" s="91" t="s">
        <v>85</v>
      </c>
      <c r="AV421" s="90">
        <f t="shared" si="447"/>
        <v>0</v>
      </c>
      <c r="AW421" s="90">
        <f t="shared" si="448"/>
        <v>0</v>
      </c>
      <c r="AX421" s="90">
        <f t="shared" si="449"/>
        <v>0</v>
      </c>
      <c r="AY421" s="91" t="s">
        <v>645</v>
      </c>
      <c r="AZ421" s="91" t="s">
        <v>1538</v>
      </c>
      <c r="BA421" s="154" t="s">
        <v>1542</v>
      </c>
      <c r="BC421" s="90">
        <f t="shared" si="450"/>
        <v>0</v>
      </c>
      <c r="BD421" s="90">
        <f t="shared" si="451"/>
        <v>0</v>
      </c>
      <c r="BE421" s="90">
        <v>0</v>
      </c>
      <c r="BF421" s="90">
        <f t="shared" si="452"/>
        <v>0</v>
      </c>
      <c r="BH421" s="90">
        <f t="shared" si="453"/>
        <v>0</v>
      </c>
      <c r="BI421" s="90">
        <f t="shared" si="454"/>
        <v>0</v>
      </c>
      <c r="BJ421" s="90">
        <f t="shared" si="455"/>
        <v>0</v>
      </c>
    </row>
    <row r="422" spans="1:62" ht="12.75">
      <c r="A422" s="88" t="s">
        <v>871</v>
      </c>
      <c r="B422" s="88" t="s">
        <v>60</v>
      </c>
      <c r="C422" s="88" t="s">
        <v>320</v>
      </c>
      <c r="D422" s="88" t="s">
        <v>1374</v>
      </c>
      <c r="E422" s="88" t="s">
        <v>609</v>
      </c>
      <c r="F422" s="90">
        <v>2.3</v>
      </c>
      <c r="G422" s="90">
        <f>'Stavební rozpočet (SO 13)'!G256</f>
        <v>0</v>
      </c>
      <c r="H422" s="90">
        <f t="shared" si="430"/>
        <v>0</v>
      </c>
      <c r="I422" s="90">
        <f t="shared" si="431"/>
        <v>0</v>
      </c>
      <c r="J422" s="90">
        <f t="shared" si="432"/>
        <v>0</v>
      </c>
      <c r="K422" s="90">
        <v>0</v>
      </c>
      <c r="L422" s="90">
        <f t="shared" si="433"/>
        <v>0</v>
      </c>
      <c r="M422" s="91" t="s">
        <v>622</v>
      </c>
      <c r="O422" s="90"/>
      <c r="P422" s="90"/>
      <c r="Z422" s="90">
        <f t="shared" si="434"/>
        <v>0</v>
      </c>
      <c r="AB422" s="90">
        <f t="shared" si="435"/>
        <v>0</v>
      </c>
      <c r="AC422" s="90">
        <f t="shared" si="436"/>
        <v>0</v>
      </c>
      <c r="AD422" s="90">
        <f t="shared" si="437"/>
        <v>0</v>
      </c>
      <c r="AE422" s="90">
        <f t="shared" si="438"/>
        <v>0</v>
      </c>
      <c r="AF422" s="90">
        <f t="shared" si="439"/>
        <v>0</v>
      </c>
      <c r="AG422" s="90">
        <f t="shared" si="440"/>
        <v>0</v>
      </c>
      <c r="AH422" s="90">
        <f t="shared" si="441"/>
        <v>0</v>
      </c>
      <c r="AI422" s="154" t="s">
        <v>60</v>
      </c>
      <c r="AJ422" s="90">
        <f t="shared" si="442"/>
        <v>0</v>
      </c>
      <c r="AK422" s="90">
        <f t="shared" si="443"/>
        <v>0</v>
      </c>
      <c r="AL422" s="90">
        <f t="shared" si="444"/>
        <v>0</v>
      </c>
      <c r="AN422" s="90">
        <v>21</v>
      </c>
      <c r="AO422" s="90">
        <f t="shared" si="445"/>
        <v>0</v>
      </c>
      <c r="AP422" s="90">
        <f t="shared" si="446"/>
        <v>0</v>
      </c>
      <c r="AQ422" s="91" t="s">
        <v>85</v>
      </c>
      <c r="AV422" s="90">
        <f t="shared" si="447"/>
        <v>0</v>
      </c>
      <c r="AW422" s="90">
        <f t="shared" si="448"/>
        <v>0</v>
      </c>
      <c r="AX422" s="90">
        <f t="shared" si="449"/>
        <v>0</v>
      </c>
      <c r="AY422" s="91" t="s">
        <v>645</v>
      </c>
      <c r="AZ422" s="91" t="s">
        <v>1538</v>
      </c>
      <c r="BA422" s="154" t="s">
        <v>1542</v>
      </c>
      <c r="BC422" s="90">
        <f t="shared" si="450"/>
        <v>0</v>
      </c>
      <c r="BD422" s="90">
        <f t="shared" si="451"/>
        <v>0</v>
      </c>
      <c r="BE422" s="90">
        <v>0</v>
      </c>
      <c r="BF422" s="90">
        <f t="shared" si="452"/>
        <v>0</v>
      </c>
      <c r="BH422" s="90">
        <f t="shared" si="453"/>
        <v>0</v>
      </c>
      <c r="BI422" s="90">
        <f t="shared" si="454"/>
        <v>0</v>
      </c>
      <c r="BJ422" s="90">
        <f t="shared" si="455"/>
        <v>0</v>
      </c>
    </row>
    <row r="423" spans="1:62" ht="12.75">
      <c r="A423" s="88" t="s">
        <v>872</v>
      </c>
      <c r="B423" s="88" t="s">
        <v>60</v>
      </c>
      <c r="C423" s="88" t="s">
        <v>323</v>
      </c>
      <c r="D423" s="88" t="s">
        <v>513</v>
      </c>
      <c r="E423" s="88" t="s">
        <v>609</v>
      </c>
      <c r="F423" s="90">
        <v>0</v>
      </c>
      <c r="G423" s="90">
        <f>'Stavební rozpočet (SO 13)'!G257</f>
        <v>0</v>
      </c>
      <c r="H423" s="90">
        <f t="shared" si="430"/>
        <v>0</v>
      </c>
      <c r="I423" s="90">
        <f t="shared" si="431"/>
        <v>0</v>
      </c>
      <c r="J423" s="90">
        <f t="shared" si="432"/>
        <v>0</v>
      </c>
      <c r="K423" s="90">
        <v>0</v>
      </c>
      <c r="L423" s="90">
        <f t="shared" si="433"/>
        <v>0</v>
      </c>
      <c r="M423" s="91" t="s">
        <v>622</v>
      </c>
      <c r="O423" s="90"/>
      <c r="P423" s="90"/>
      <c r="Z423" s="90">
        <f t="shared" si="434"/>
        <v>0</v>
      </c>
      <c r="AB423" s="90">
        <f t="shared" si="435"/>
        <v>0</v>
      </c>
      <c r="AC423" s="90">
        <f t="shared" si="436"/>
        <v>0</v>
      </c>
      <c r="AD423" s="90">
        <f t="shared" si="437"/>
        <v>0</v>
      </c>
      <c r="AE423" s="90">
        <f t="shared" si="438"/>
        <v>0</v>
      </c>
      <c r="AF423" s="90">
        <f t="shared" si="439"/>
        <v>0</v>
      </c>
      <c r="AG423" s="90">
        <f t="shared" si="440"/>
        <v>0</v>
      </c>
      <c r="AH423" s="90">
        <f t="shared" si="441"/>
        <v>0</v>
      </c>
      <c r="AI423" s="154" t="s">
        <v>60</v>
      </c>
      <c r="AJ423" s="90">
        <f t="shared" si="442"/>
        <v>0</v>
      </c>
      <c r="AK423" s="90">
        <f t="shared" si="443"/>
        <v>0</v>
      </c>
      <c r="AL423" s="90">
        <f t="shared" si="444"/>
        <v>0</v>
      </c>
      <c r="AN423" s="90">
        <v>21</v>
      </c>
      <c r="AO423" s="90">
        <f t="shared" si="445"/>
        <v>0</v>
      </c>
      <c r="AP423" s="90">
        <f t="shared" si="446"/>
        <v>0</v>
      </c>
      <c r="AQ423" s="91" t="s">
        <v>85</v>
      </c>
      <c r="AV423" s="90">
        <f t="shared" si="447"/>
        <v>0</v>
      </c>
      <c r="AW423" s="90">
        <f t="shared" si="448"/>
        <v>0</v>
      </c>
      <c r="AX423" s="90">
        <f t="shared" si="449"/>
        <v>0</v>
      </c>
      <c r="AY423" s="91" t="s">
        <v>645</v>
      </c>
      <c r="AZ423" s="91" t="s">
        <v>1538</v>
      </c>
      <c r="BA423" s="154" t="s">
        <v>1542</v>
      </c>
      <c r="BC423" s="90">
        <f t="shared" si="450"/>
        <v>0</v>
      </c>
      <c r="BD423" s="90">
        <f t="shared" si="451"/>
        <v>0</v>
      </c>
      <c r="BE423" s="90">
        <v>0</v>
      </c>
      <c r="BF423" s="90">
        <f t="shared" si="452"/>
        <v>0</v>
      </c>
      <c r="BH423" s="90">
        <f t="shared" si="453"/>
        <v>0</v>
      </c>
      <c r="BI423" s="90">
        <f t="shared" si="454"/>
        <v>0</v>
      </c>
      <c r="BJ423" s="90">
        <f t="shared" si="455"/>
        <v>0</v>
      </c>
    </row>
    <row r="424" spans="1:62" ht="12.75">
      <c r="A424" s="88" t="s">
        <v>873</v>
      </c>
      <c r="B424" s="88" t="s">
        <v>60</v>
      </c>
      <c r="C424" s="88" t="s">
        <v>1061</v>
      </c>
      <c r="D424" s="88" t="s">
        <v>514</v>
      </c>
      <c r="E424" s="88" t="s">
        <v>609</v>
      </c>
      <c r="F424" s="90">
        <v>0</v>
      </c>
      <c r="G424" s="90">
        <f>'Stavební rozpočet (SO 13)'!G258</f>
        <v>0</v>
      </c>
      <c r="H424" s="90">
        <f t="shared" si="430"/>
        <v>0</v>
      </c>
      <c r="I424" s="90">
        <f t="shared" si="431"/>
        <v>0</v>
      </c>
      <c r="J424" s="90">
        <f t="shared" si="432"/>
        <v>0</v>
      </c>
      <c r="K424" s="90">
        <v>0</v>
      </c>
      <c r="L424" s="90">
        <f t="shared" si="433"/>
        <v>0</v>
      </c>
      <c r="M424" s="91" t="s">
        <v>622</v>
      </c>
      <c r="O424" s="90"/>
      <c r="P424" s="90"/>
      <c r="Z424" s="90">
        <f t="shared" si="434"/>
        <v>0</v>
      </c>
      <c r="AB424" s="90">
        <f t="shared" si="435"/>
        <v>0</v>
      </c>
      <c r="AC424" s="90">
        <f t="shared" si="436"/>
        <v>0</v>
      </c>
      <c r="AD424" s="90">
        <f t="shared" si="437"/>
        <v>0</v>
      </c>
      <c r="AE424" s="90">
        <f t="shared" si="438"/>
        <v>0</v>
      </c>
      <c r="AF424" s="90">
        <f t="shared" si="439"/>
        <v>0</v>
      </c>
      <c r="AG424" s="90">
        <f t="shared" si="440"/>
        <v>0</v>
      </c>
      <c r="AH424" s="90">
        <f t="shared" si="441"/>
        <v>0</v>
      </c>
      <c r="AI424" s="154" t="s">
        <v>60</v>
      </c>
      <c r="AJ424" s="90">
        <f t="shared" si="442"/>
        <v>0</v>
      </c>
      <c r="AK424" s="90">
        <f t="shared" si="443"/>
        <v>0</v>
      </c>
      <c r="AL424" s="90">
        <f t="shared" si="444"/>
        <v>0</v>
      </c>
      <c r="AN424" s="90">
        <v>21</v>
      </c>
      <c r="AO424" s="90">
        <f t="shared" si="445"/>
        <v>0</v>
      </c>
      <c r="AP424" s="90">
        <f t="shared" si="446"/>
        <v>0</v>
      </c>
      <c r="AQ424" s="91" t="s">
        <v>85</v>
      </c>
      <c r="AV424" s="90">
        <f t="shared" si="447"/>
        <v>0</v>
      </c>
      <c r="AW424" s="90">
        <f t="shared" si="448"/>
        <v>0</v>
      </c>
      <c r="AX424" s="90">
        <f t="shared" si="449"/>
        <v>0</v>
      </c>
      <c r="AY424" s="91" t="s">
        <v>645</v>
      </c>
      <c r="AZ424" s="91" t="s">
        <v>1538</v>
      </c>
      <c r="BA424" s="154" t="s">
        <v>1542</v>
      </c>
      <c r="BC424" s="90">
        <f t="shared" si="450"/>
        <v>0</v>
      </c>
      <c r="BD424" s="90">
        <f t="shared" si="451"/>
        <v>0</v>
      </c>
      <c r="BE424" s="90">
        <v>0</v>
      </c>
      <c r="BF424" s="90">
        <f t="shared" si="452"/>
        <v>0</v>
      </c>
      <c r="BH424" s="90">
        <f t="shared" si="453"/>
        <v>0</v>
      </c>
      <c r="BI424" s="90">
        <f t="shared" si="454"/>
        <v>0</v>
      </c>
      <c r="BJ424" s="90">
        <f t="shared" si="455"/>
        <v>0</v>
      </c>
    </row>
    <row r="425" spans="1:62" ht="12.75">
      <c r="A425" s="88" t="s">
        <v>874</v>
      </c>
      <c r="B425" s="88" t="s">
        <v>60</v>
      </c>
      <c r="C425" s="88" t="s">
        <v>1062</v>
      </c>
      <c r="D425" s="88" t="s">
        <v>1375</v>
      </c>
      <c r="E425" s="88" t="s">
        <v>609</v>
      </c>
      <c r="F425" s="90">
        <v>12</v>
      </c>
      <c r="G425" s="90">
        <f>'Stavební rozpočet (SO 13)'!G259</f>
        <v>0</v>
      </c>
      <c r="H425" s="90">
        <f t="shared" si="430"/>
        <v>0</v>
      </c>
      <c r="I425" s="90">
        <f t="shared" si="431"/>
        <v>0</v>
      </c>
      <c r="J425" s="90">
        <f t="shared" si="432"/>
        <v>0</v>
      </c>
      <c r="K425" s="90">
        <v>0</v>
      </c>
      <c r="L425" s="90">
        <f t="shared" si="433"/>
        <v>0</v>
      </c>
      <c r="M425" s="91" t="s">
        <v>622</v>
      </c>
      <c r="O425" s="90"/>
      <c r="P425" s="90"/>
      <c r="Z425" s="90">
        <f t="shared" si="434"/>
        <v>0</v>
      </c>
      <c r="AB425" s="90">
        <f t="shared" si="435"/>
        <v>0</v>
      </c>
      <c r="AC425" s="90">
        <f t="shared" si="436"/>
        <v>0</v>
      </c>
      <c r="AD425" s="90">
        <f t="shared" si="437"/>
        <v>0</v>
      </c>
      <c r="AE425" s="90">
        <f t="shared" si="438"/>
        <v>0</v>
      </c>
      <c r="AF425" s="90">
        <f t="shared" si="439"/>
        <v>0</v>
      </c>
      <c r="AG425" s="90">
        <f t="shared" si="440"/>
        <v>0</v>
      </c>
      <c r="AH425" s="90">
        <f t="shared" si="441"/>
        <v>0</v>
      </c>
      <c r="AI425" s="154" t="s">
        <v>60</v>
      </c>
      <c r="AJ425" s="90">
        <f t="shared" si="442"/>
        <v>0</v>
      </c>
      <c r="AK425" s="90">
        <f t="shared" si="443"/>
        <v>0</v>
      </c>
      <c r="AL425" s="90">
        <f t="shared" si="444"/>
        <v>0</v>
      </c>
      <c r="AN425" s="90">
        <v>21</v>
      </c>
      <c r="AO425" s="90">
        <f t="shared" si="445"/>
        <v>0</v>
      </c>
      <c r="AP425" s="90">
        <f t="shared" si="446"/>
        <v>0</v>
      </c>
      <c r="AQ425" s="91" t="s">
        <v>85</v>
      </c>
      <c r="AV425" s="90">
        <f t="shared" si="447"/>
        <v>0</v>
      </c>
      <c r="AW425" s="90">
        <f t="shared" si="448"/>
        <v>0</v>
      </c>
      <c r="AX425" s="90">
        <f t="shared" si="449"/>
        <v>0</v>
      </c>
      <c r="AY425" s="91" t="s">
        <v>645</v>
      </c>
      <c r="AZ425" s="91" t="s">
        <v>1538</v>
      </c>
      <c r="BA425" s="154" t="s">
        <v>1542</v>
      </c>
      <c r="BC425" s="90">
        <f t="shared" si="450"/>
        <v>0</v>
      </c>
      <c r="BD425" s="90">
        <f t="shared" si="451"/>
        <v>0</v>
      </c>
      <c r="BE425" s="90">
        <v>0</v>
      </c>
      <c r="BF425" s="90">
        <f t="shared" si="452"/>
        <v>0</v>
      </c>
      <c r="BH425" s="90">
        <f t="shared" si="453"/>
        <v>0</v>
      </c>
      <c r="BI425" s="90">
        <f t="shared" si="454"/>
        <v>0</v>
      </c>
      <c r="BJ425" s="90">
        <f t="shared" si="455"/>
        <v>0</v>
      </c>
    </row>
    <row r="426" spans="1:62" ht="12.75">
      <c r="A426" s="88" t="s">
        <v>875</v>
      </c>
      <c r="B426" s="88" t="s">
        <v>60</v>
      </c>
      <c r="C426" s="88" t="s">
        <v>1063</v>
      </c>
      <c r="D426" s="88" t="s">
        <v>515</v>
      </c>
      <c r="E426" s="88" t="s">
        <v>609</v>
      </c>
      <c r="F426" s="90">
        <v>14.2</v>
      </c>
      <c r="G426" s="90">
        <f>'Stavební rozpočet (SO 13)'!G260</f>
        <v>0</v>
      </c>
      <c r="H426" s="90">
        <f t="shared" si="430"/>
        <v>0</v>
      </c>
      <c r="I426" s="90">
        <f t="shared" si="431"/>
        <v>0</v>
      </c>
      <c r="J426" s="90">
        <f t="shared" si="432"/>
        <v>0</v>
      </c>
      <c r="K426" s="90">
        <v>0</v>
      </c>
      <c r="L426" s="90">
        <f t="shared" si="433"/>
        <v>0</v>
      </c>
      <c r="M426" s="91" t="s">
        <v>622</v>
      </c>
      <c r="O426" s="90"/>
      <c r="P426" s="90"/>
      <c r="Z426" s="90">
        <f t="shared" si="434"/>
        <v>0</v>
      </c>
      <c r="AB426" s="90">
        <f t="shared" si="435"/>
        <v>0</v>
      </c>
      <c r="AC426" s="90">
        <f t="shared" si="436"/>
        <v>0</v>
      </c>
      <c r="AD426" s="90">
        <f t="shared" si="437"/>
        <v>0</v>
      </c>
      <c r="AE426" s="90">
        <f t="shared" si="438"/>
        <v>0</v>
      </c>
      <c r="AF426" s="90">
        <f t="shared" si="439"/>
        <v>0</v>
      </c>
      <c r="AG426" s="90">
        <f t="shared" si="440"/>
        <v>0</v>
      </c>
      <c r="AH426" s="90">
        <f t="shared" si="441"/>
        <v>0</v>
      </c>
      <c r="AI426" s="154" t="s">
        <v>60</v>
      </c>
      <c r="AJ426" s="90">
        <f t="shared" si="442"/>
        <v>0</v>
      </c>
      <c r="AK426" s="90">
        <f t="shared" si="443"/>
        <v>0</v>
      </c>
      <c r="AL426" s="90">
        <f t="shared" si="444"/>
        <v>0</v>
      </c>
      <c r="AN426" s="90">
        <v>21</v>
      </c>
      <c r="AO426" s="90">
        <f t="shared" si="445"/>
        <v>0</v>
      </c>
      <c r="AP426" s="90">
        <f t="shared" si="446"/>
        <v>0</v>
      </c>
      <c r="AQ426" s="91" t="s">
        <v>85</v>
      </c>
      <c r="AV426" s="90">
        <f t="shared" si="447"/>
        <v>0</v>
      </c>
      <c r="AW426" s="90">
        <f t="shared" si="448"/>
        <v>0</v>
      </c>
      <c r="AX426" s="90">
        <f t="shared" si="449"/>
        <v>0</v>
      </c>
      <c r="AY426" s="91" t="s">
        <v>645</v>
      </c>
      <c r="AZ426" s="91" t="s">
        <v>1538</v>
      </c>
      <c r="BA426" s="154" t="s">
        <v>1542</v>
      </c>
      <c r="BC426" s="90">
        <f t="shared" si="450"/>
        <v>0</v>
      </c>
      <c r="BD426" s="90">
        <f t="shared" si="451"/>
        <v>0</v>
      </c>
      <c r="BE426" s="90">
        <v>0</v>
      </c>
      <c r="BF426" s="90">
        <f t="shared" si="452"/>
        <v>0</v>
      </c>
      <c r="BH426" s="90">
        <f t="shared" si="453"/>
        <v>0</v>
      </c>
      <c r="BI426" s="90">
        <f t="shared" si="454"/>
        <v>0</v>
      </c>
      <c r="BJ426" s="90">
        <f t="shared" si="455"/>
        <v>0</v>
      </c>
    </row>
    <row r="427" spans="1:62" ht="12.75">
      <c r="A427" s="88" t="s">
        <v>876</v>
      </c>
      <c r="B427" s="88" t="s">
        <v>60</v>
      </c>
      <c r="C427" s="88" t="s">
        <v>1064</v>
      </c>
      <c r="D427" s="88" t="s">
        <v>516</v>
      </c>
      <c r="E427" s="88" t="s">
        <v>609</v>
      </c>
      <c r="F427" s="90">
        <v>105.9</v>
      </c>
      <c r="G427" s="90">
        <f>'Stavební rozpočet (SO 13)'!G261</f>
        <v>0</v>
      </c>
      <c r="H427" s="90">
        <f t="shared" si="430"/>
        <v>0</v>
      </c>
      <c r="I427" s="90">
        <f t="shared" si="431"/>
        <v>0</v>
      </c>
      <c r="J427" s="90">
        <f t="shared" si="432"/>
        <v>0</v>
      </c>
      <c r="K427" s="90">
        <v>0</v>
      </c>
      <c r="L427" s="90">
        <f t="shared" si="433"/>
        <v>0</v>
      </c>
      <c r="M427" s="91" t="s">
        <v>622</v>
      </c>
      <c r="O427" s="90"/>
      <c r="P427" s="90"/>
      <c r="Z427" s="90">
        <f t="shared" si="434"/>
        <v>0</v>
      </c>
      <c r="AB427" s="90">
        <f t="shared" si="435"/>
        <v>0</v>
      </c>
      <c r="AC427" s="90">
        <f t="shared" si="436"/>
        <v>0</v>
      </c>
      <c r="AD427" s="90">
        <f t="shared" si="437"/>
        <v>0</v>
      </c>
      <c r="AE427" s="90">
        <f t="shared" si="438"/>
        <v>0</v>
      </c>
      <c r="AF427" s="90">
        <f t="shared" si="439"/>
        <v>0</v>
      </c>
      <c r="AG427" s="90">
        <f t="shared" si="440"/>
        <v>0</v>
      </c>
      <c r="AH427" s="90">
        <f t="shared" si="441"/>
        <v>0</v>
      </c>
      <c r="AI427" s="154" t="s">
        <v>60</v>
      </c>
      <c r="AJ427" s="90">
        <f t="shared" si="442"/>
        <v>0</v>
      </c>
      <c r="AK427" s="90">
        <f t="shared" si="443"/>
        <v>0</v>
      </c>
      <c r="AL427" s="90">
        <f t="shared" si="444"/>
        <v>0</v>
      </c>
      <c r="AN427" s="90">
        <v>21</v>
      </c>
      <c r="AO427" s="90">
        <f t="shared" si="445"/>
        <v>0</v>
      </c>
      <c r="AP427" s="90">
        <f t="shared" si="446"/>
        <v>0</v>
      </c>
      <c r="AQ427" s="91" t="s">
        <v>85</v>
      </c>
      <c r="AV427" s="90">
        <f t="shared" si="447"/>
        <v>0</v>
      </c>
      <c r="AW427" s="90">
        <f t="shared" si="448"/>
        <v>0</v>
      </c>
      <c r="AX427" s="90">
        <f t="shared" si="449"/>
        <v>0</v>
      </c>
      <c r="AY427" s="91" t="s">
        <v>645</v>
      </c>
      <c r="AZ427" s="91" t="s">
        <v>1538</v>
      </c>
      <c r="BA427" s="154" t="s">
        <v>1542</v>
      </c>
      <c r="BC427" s="90">
        <f t="shared" si="450"/>
        <v>0</v>
      </c>
      <c r="BD427" s="90">
        <f t="shared" si="451"/>
        <v>0</v>
      </c>
      <c r="BE427" s="90">
        <v>0</v>
      </c>
      <c r="BF427" s="90">
        <f t="shared" si="452"/>
        <v>0</v>
      </c>
      <c r="BH427" s="90">
        <f t="shared" si="453"/>
        <v>0</v>
      </c>
      <c r="BI427" s="90">
        <f t="shared" si="454"/>
        <v>0</v>
      </c>
      <c r="BJ427" s="90">
        <f t="shared" si="455"/>
        <v>0</v>
      </c>
    </row>
    <row r="428" spans="1:62" ht="12.75">
      <c r="A428" s="88" t="s">
        <v>877</v>
      </c>
      <c r="B428" s="88" t="s">
        <v>60</v>
      </c>
      <c r="C428" s="88" t="s">
        <v>1065</v>
      </c>
      <c r="D428" s="88" t="s">
        <v>1376</v>
      </c>
      <c r="E428" s="88" t="s">
        <v>609</v>
      </c>
      <c r="F428" s="90">
        <v>33.6</v>
      </c>
      <c r="G428" s="90">
        <f>'Stavební rozpočet (SO 13)'!G262</f>
        <v>0</v>
      </c>
      <c r="H428" s="90">
        <f t="shared" si="430"/>
        <v>0</v>
      </c>
      <c r="I428" s="90">
        <f t="shared" si="431"/>
        <v>0</v>
      </c>
      <c r="J428" s="90">
        <f t="shared" si="432"/>
        <v>0</v>
      </c>
      <c r="K428" s="90">
        <v>0</v>
      </c>
      <c r="L428" s="90">
        <f t="shared" si="433"/>
        <v>0</v>
      </c>
      <c r="M428" s="91" t="s">
        <v>622</v>
      </c>
      <c r="O428" s="90"/>
      <c r="P428" s="90"/>
      <c r="Z428" s="90">
        <f t="shared" si="434"/>
        <v>0</v>
      </c>
      <c r="AB428" s="90">
        <f t="shared" si="435"/>
        <v>0</v>
      </c>
      <c r="AC428" s="90">
        <f t="shared" si="436"/>
        <v>0</v>
      </c>
      <c r="AD428" s="90">
        <f t="shared" si="437"/>
        <v>0</v>
      </c>
      <c r="AE428" s="90">
        <f t="shared" si="438"/>
        <v>0</v>
      </c>
      <c r="AF428" s="90">
        <f t="shared" si="439"/>
        <v>0</v>
      </c>
      <c r="AG428" s="90">
        <f t="shared" si="440"/>
        <v>0</v>
      </c>
      <c r="AH428" s="90">
        <f t="shared" si="441"/>
        <v>0</v>
      </c>
      <c r="AI428" s="154" t="s">
        <v>60</v>
      </c>
      <c r="AJ428" s="90">
        <f t="shared" si="442"/>
        <v>0</v>
      </c>
      <c r="AK428" s="90">
        <f t="shared" si="443"/>
        <v>0</v>
      </c>
      <c r="AL428" s="90">
        <f t="shared" si="444"/>
        <v>0</v>
      </c>
      <c r="AN428" s="90">
        <v>21</v>
      </c>
      <c r="AO428" s="90">
        <f t="shared" si="445"/>
        <v>0</v>
      </c>
      <c r="AP428" s="90">
        <f t="shared" si="446"/>
        <v>0</v>
      </c>
      <c r="AQ428" s="91" t="s">
        <v>85</v>
      </c>
      <c r="AV428" s="90">
        <f t="shared" si="447"/>
        <v>0</v>
      </c>
      <c r="AW428" s="90">
        <f t="shared" si="448"/>
        <v>0</v>
      </c>
      <c r="AX428" s="90">
        <f t="shared" si="449"/>
        <v>0</v>
      </c>
      <c r="AY428" s="91" t="s">
        <v>645</v>
      </c>
      <c r="AZ428" s="91" t="s">
        <v>1538</v>
      </c>
      <c r="BA428" s="154" t="s">
        <v>1542</v>
      </c>
      <c r="BC428" s="90">
        <f t="shared" si="450"/>
        <v>0</v>
      </c>
      <c r="BD428" s="90">
        <f t="shared" si="451"/>
        <v>0</v>
      </c>
      <c r="BE428" s="90">
        <v>0</v>
      </c>
      <c r="BF428" s="90">
        <f t="shared" si="452"/>
        <v>0</v>
      </c>
      <c r="BH428" s="90">
        <f t="shared" si="453"/>
        <v>0</v>
      </c>
      <c r="BI428" s="90">
        <f t="shared" si="454"/>
        <v>0</v>
      </c>
      <c r="BJ428" s="90">
        <f t="shared" si="455"/>
        <v>0</v>
      </c>
    </row>
    <row r="429" spans="1:62" ht="12.75">
      <c r="A429" s="88" t="s">
        <v>878</v>
      </c>
      <c r="B429" s="88" t="s">
        <v>60</v>
      </c>
      <c r="C429" s="88" t="s">
        <v>1066</v>
      </c>
      <c r="D429" s="88" t="s">
        <v>1377</v>
      </c>
      <c r="E429" s="88" t="s">
        <v>609</v>
      </c>
      <c r="F429" s="90">
        <v>14.7</v>
      </c>
      <c r="G429" s="90">
        <f>'Stavební rozpočet (SO 13)'!G263</f>
        <v>0</v>
      </c>
      <c r="H429" s="90">
        <f t="shared" si="430"/>
        <v>0</v>
      </c>
      <c r="I429" s="90">
        <f t="shared" si="431"/>
        <v>0</v>
      </c>
      <c r="J429" s="90">
        <f t="shared" si="432"/>
        <v>0</v>
      </c>
      <c r="K429" s="90">
        <v>0</v>
      </c>
      <c r="L429" s="90">
        <f t="shared" si="433"/>
        <v>0</v>
      </c>
      <c r="M429" s="91" t="s">
        <v>622</v>
      </c>
      <c r="O429" s="90"/>
      <c r="P429" s="90"/>
      <c r="Z429" s="90">
        <f t="shared" si="434"/>
        <v>0</v>
      </c>
      <c r="AB429" s="90">
        <f t="shared" si="435"/>
        <v>0</v>
      </c>
      <c r="AC429" s="90">
        <f t="shared" si="436"/>
        <v>0</v>
      </c>
      <c r="AD429" s="90">
        <f t="shared" si="437"/>
        <v>0</v>
      </c>
      <c r="AE429" s="90">
        <f t="shared" si="438"/>
        <v>0</v>
      </c>
      <c r="AF429" s="90">
        <f t="shared" si="439"/>
        <v>0</v>
      </c>
      <c r="AG429" s="90">
        <f t="shared" si="440"/>
        <v>0</v>
      </c>
      <c r="AH429" s="90">
        <f t="shared" si="441"/>
        <v>0</v>
      </c>
      <c r="AI429" s="154" t="s">
        <v>60</v>
      </c>
      <c r="AJ429" s="90">
        <f t="shared" si="442"/>
        <v>0</v>
      </c>
      <c r="AK429" s="90">
        <f t="shared" si="443"/>
        <v>0</v>
      </c>
      <c r="AL429" s="90">
        <f t="shared" si="444"/>
        <v>0</v>
      </c>
      <c r="AN429" s="90">
        <v>21</v>
      </c>
      <c r="AO429" s="90">
        <f t="shared" si="445"/>
        <v>0</v>
      </c>
      <c r="AP429" s="90">
        <f t="shared" si="446"/>
        <v>0</v>
      </c>
      <c r="AQ429" s="91" t="s">
        <v>85</v>
      </c>
      <c r="AV429" s="90">
        <f t="shared" si="447"/>
        <v>0</v>
      </c>
      <c r="AW429" s="90">
        <f t="shared" si="448"/>
        <v>0</v>
      </c>
      <c r="AX429" s="90">
        <f t="shared" si="449"/>
        <v>0</v>
      </c>
      <c r="AY429" s="91" t="s">
        <v>645</v>
      </c>
      <c r="AZ429" s="91" t="s">
        <v>1538</v>
      </c>
      <c r="BA429" s="154" t="s">
        <v>1542</v>
      </c>
      <c r="BC429" s="90">
        <f t="shared" si="450"/>
        <v>0</v>
      </c>
      <c r="BD429" s="90">
        <f t="shared" si="451"/>
        <v>0</v>
      </c>
      <c r="BE429" s="90">
        <v>0</v>
      </c>
      <c r="BF429" s="90">
        <f t="shared" si="452"/>
        <v>0</v>
      </c>
      <c r="BH429" s="90">
        <f t="shared" si="453"/>
        <v>0</v>
      </c>
      <c r="BI429" s="90">
        <f t="shared" si="454"/>
        <v>0</v>
      </c>
      <c r="BJ429" s="90">
        <f t="shared" si="455"/>
        <v>0</v>
      </c>
    </row>
    <row r="430" spans="1:62" ht="12.75">
      <c r="A430" s="88" t="s">
        <v>879</v>
      </c>
      <c r="B430" s="88" t="s">
        <v>60</v>
      </c>
      <c r="C430" s="88" t="s">
        <v>1067</v>
      </c>
      <c r="D430" s="88" t="s">
        <v>1378</v>
      </c>
      <c r="E430" s="88" t="s">
        <v>609</v>
      </c>
      <c r="F430" s="90">
        <v>24.1</v>
      </c>
      <c r="G430" s="90">
        <f>'Stavební rozpočet (SO 13)'!G264</f>
        <v>0</v>
      </c>
      <c r="H430" s="90">
        <f t="shared" si="430"/>
        <v>0</v>
      </c>
      <c r="I430" s="90">
        <f t="shared" si="431"/>
        <v>0</v>
      </c>
      <c r="J430" s="90">
        <f t="shared" si="432"/>
        <v>0</v>
      </c>
      <c r="K430" s="90">
        <v>0</v>
      </c>
      <c r="L430" s="90">
        <f t="shared" si="433"/>
        <v>0</v>
      </c>
      <c r="M430" s="91" t="s">
        <v>622</v>
      </c>
      <c r="O430" s="90"/>
      <c r="P430" s="90"/>
      <c r="Z430" s="90">
        <f t="shared" si="434"/>
        <v>0</v>
      </c>
      <c r="AB430" s="90">
        <f t="shared" si="435"/>
        <v>0</v>
      </c>
      <c r="AC430" s="90">
        <f t="shared" si="436"/>
        <v>0</v>
      </c>
      <c r="AD430" s="90">
        <f t="shared" si="437"/>
        <v>0</v>
      </c>
      <c r="AE430" s="90">
        <f t="shared" si="438"/>
        <v>0</v>
      </c>
      <c r="AF430" s="90">
        <f t="shared" si="439"/>
        <v>0</v>
      </c>
      <c r="AG430" s="90">
        <f t="shared" si="440"/>
        <v>0</v>
      </c>
      <c r="AH430" s="90">
        <f t="shared" si="441"/>
        <v>0</v>
      </c>
      <c r="AI430" s="154" t="s">
        <v>60</v>
      </c>
      <c r="AJ430" s="90">
        <f t="shared" si="442"/>
        <v>0</v>
      </c>
      <c r="AK430" s="90">
        <f t="shared" si="443"/>
        <v>0</v>
      </c>
      <c r="AL430" s="90">
        <f t="shared" si="444"/>
        <v>0</v>
      </c>
      <c r="AN430" s="90">
        <v>21</v>
      </c>
      <c r="AO430" s="90">
        <f t="shared" si="445"/>
        <v>0</v>
      </c>
      <c r="AP430" s="90">
        <f t="shared" si="446"/>
        <v>0</v>
      </c>
      <c r="AQ430" s="91" t="s">
        <v>85</v>
      </c>
      <c r="AV430" s="90">
        <f t="shared" si="447"/>
        <v>0</v>
      </c>
      <c r="AW430" s="90">
        <f t="shared" si="448"/>
        <v>0</v>
      </c>
      <c r="AX430" s="90">
        <f t="shared" si="449"/>
        <v>0</v>
      </c>
      <c r="AY430" s="91" t="s">
        <v>645</v>
      </c>
      <c r="AZ430" s="91" t="s">
        <v>1538</v>
      </c>
      <c r="BA430" s="154" t="s">
        <v>1542</v>
      </c>
      <c r="BC430" s="90">
        <f t="shared" si="450"/>
        <v>0</v>
      </c>
      <c r="BD430" s="90">
        <f t="shared" si="451"/>
        <v>0</v>
      </c>
      <c r="BE430" s="90">
        <v>0</v>
      </c>
      <c r="BF430" s="90">
        <f t="shared" si="452"/>
        <v>0</v>
      </c>
      <c r="BH430" s="90">
        <f t="shared" si="453"/>
        <v>0</v>
      </c>
      <c r="BI430" s="90">
        <f t="shared" si="454"/>
        <v>0</v>
      </c>
      <c r="BJ430" s="90">
        <f t="shared" si="455"/>
        <v>0</v>
      </c>
    </row>
    <row r="431" spans="1:62" ht="12.75">
      <c r="A431" s="88" t="s">
        <v>880</v>
      </c>
      <c r="B431" s="88" t="s">
        <v>60</v>
      </c>
      <c r="C431" s="88" t="s">
        <v>324</v>
      </c>
      <c r="D431" s="88" t="s">
        <v>1379</v>
      </c>
      <c r="E431" s="88" t="s">
        <v>606</v>
      </c>
      <c r="F431" s="90">
        <v>2</v>
      </c>
      <c r="G431" s="90">
        <f>'Stavební rozpočet (SO 13)'!G265</f>
        <v>0</v>
      </c>
      <c r="H431" s="90">
        <f t="shared" si="430"/>
        <v>0</v>
      </c>
      <c r="I431" s="90">
        <f t="shared" si="431"/>
        <v>0</v>
      </c>
      <c r="J431" s="90">
        <f t="shared" si="432"/>
        <v>0</v>
      </c>
      <c r="K431" s="90">
        <v>0</v>
      </c>
      <c r="L431" s="90">
        <f t="shared" si="433"/>
        <v>0</v>
      </c>
      <c r="M431" s="91" t="s">
        <v>622</v>
      </c>
      <c r="O431" s="90"/>
      <c r="P431" s="90"/>
      <c r="Z431" s="90">
        <f t="shared" si="434"/>
        <v>0</v>
      </c>
      <c r="AB431" s="90">
        <f t="shared" si="435"/>
        <v>0</v>
      </c>
      <c r="AC431" s="90">
        <f t="shared" si="436"/>
        <v>0</v>
      </c>
      <c r="AD431" s="90">
        <f t="shared" si="437"/>
        <v>0</v>
      </c>
      <c r="AE431" s="90">
        <f t="shared" si="438"/>
        <v>0</v>
      </c>
      <c r="AF431" s="90">
        <f t="shared" si="439"/>
        <v>0</v>
      </c>
      <c r="AG431" s="90">
        <f t="shared" si="440"/>
        <v>0</v>
      </c>
      <c r="AH431" s="90">
        <f t="shared" si="441"/>
        <v>0</v>
      </c>
      <c r="AI431" s="154" t="s">
        <v>60</v>
      </c>
      <c r="AJ431" s="90">
        <f t="shared" si="442"/>
        <v>0</v>
      </c>
      <c r="AK431" s="90">
        <f t="shared" si="443"/>
        <v>0</v>
      </c>
      <c r="AL431" s="90">
        <f t="shared" si="444"/>
        <v>0</v>
      </c>
      <c r="AN431" s="90">
        <v>21</v>
      </c>
      <c r="AO431" s="90">
        <f t="shared" si="445"/>
        <v>0</v>
      </c>
      <c r="AP431" s="90">
        <f t="shared" si="446"/>
        <v>0</v>
      </c>
      <c r="AQ431" s="91" t="s">
        <v>85</v>
      </c>
      <c r="AV431" s="90">
        <f t="shared" si="447"/>
        <v>0</v>
      </c>
      <c r="AW431" s="90">
        <f t="shared" si="448"/>
        <v>0</v>
      </c>
      <c r="AX431" s="90">
        <f t="shared" si="449"/>
        <v>0</v>
      </c>
      <c r="AY431" s="91" t="s">
        <v>645</v>
      </c>
      <c r="AZ431" s="91" t="s">
        <v>1538</v>
      </c>
      <c r="BA431" s="154" t="s">
        <v>1542</v>
      </c>
      <c r="BC431" s="90">
        <f t="shared" si="450"/>
        <v>0</v>
      </c>
      <c r="BD431" s="90">
        <f t="shared" si="451"/>
        <v>0</v>
      </c>
      <c r="BE431" s="90">
        <v>0</v>
      </c>
      <c r="BF431" s="90">
        <f t="shared" si="452"/>
        <v>0</v>
      </c>
      <c r="BH431" s="90">
        <f t="shared" si="453"/>
        <v>0</v>
      </c>
      <c r="BI431" s="90">
        <f t="shared" si="454"/>
        <v>0</v>
      </c>
      <c r="BJ431" s="90">
        <f t="shared" si="455"/>
        <v>0</v>
      </c>
    </row>
    <row r="432" spans="1:62" ht="12.75">
      <c r="A432" s="88" t="s">
        <v>881</v>
      </c>
      <c r="B432" s="88" t="s">
        <v>60</v>
      </c>
      <c r="C432" s="88" t="s">
        <v>325</v>
      </c>
      <c r="D432" s="88" t="s">
        <v>1380</v>
      </c>
      <c r="E432" s="88" t="s">
        <v>606</v>
      </c>
      <c r="F432" s="90">
        <v>0</v>
      </c>
      <c r="G432" s="90">
        <f>'Stavební rozpočet (SO 13)'!G266</f>
        <v>0</v>
      </c>
      <c r="H432" s="90">
        <f t="shared" si="430"/>
        <v>0</v>
      </c>
      <c r="I432" s="90">
        <f t="shared" si="431"/>
        <v>0</v>
      </c>
      <c r="J432" s="90">
        <f t="shared" si="432"/>
        <v>0</v>
      </c>
      <c r="K432" s="90">
        <v>0</v>
      </c>
      <c r="L432" s="90">
        <f t="shared" si="433"/>
        <v>0</v>
      </c>
      <c r="M432" s="91" t="s">
        <v>622</v>
      </c>
      <c r="O432" s="90"/>
      <c r="P432" s="90"/>
      <c r="Z432" s="90">
        <f t="shared" si="434"/>
        <v>0</v>
      </c>
      <c r="AB432" s="90">
        <f t="shared" si="435"/>
        <v>0</v>
      </c>
      <c r="AC432" s="90">
        <f t="shared" si="436"/>
        <v>0</v>
      </c>
      <c r="AD432" s="90">
        <f t="shared" si="437"/>
        <v>0</v>
      </c>
      <c r="AE432" s="90">
        <f t="shared" si="438"/>
        <v>0</v>
      </c>
      <c r="AF432" s="90">
        <f t="shared" si="439"/>
        <v>0</v>
      </c>
      <c r="AG432" s="90">
        <f t="shared" si="440"/>
        <v>0</v>
      </c>
      <c r="AH432" s="90">
        <f t="shared" si="441"/>
        <v>0</v>
      </c>
      <c r="AI432" s="154" t="s">
        <v>60</v>
      </c>
      <c r="AJ432" s="90">
        <f t="shared" si="442"/>
        <v>0</v>
      </c>
      <c r="AK432" s="90">
        <f t="shared" si="443"/>
        <v>0</v>
      </c>
      <c r="AL432" s="90">
        <f t="shared" si="444"/>
        <v>0</v>
      </c>
      <c r="AN432" s="90">
        <v>21</v>
      </c>
      <c r="AO432" s="90">
        <f t="shared" si="445"/>
        <v>0</v>
      </c>
      <c r="AP432" s="90">
        <f t="shared" si="446"/>
        <v>0</v>
      </c>
      <c r="AQ432" s="91" t="s">
        <v>85</v>
      </c>
      <c r="AV432" s="90">
        <f t="shared" si="447"/>
        <v>0</v>
      </c>
      <c r="AW432" s="90">
        <f t="shared" si="448"/>
        <v>0</v>
      </c>
      <c r="AX432" s="90">
        <f t="shared" si="449"/>
        <v>0</v>
      </c>
      <c r="AY432" s="91" t="s">
        <v>645</v>
      </c>
      <c r="AZ432" s="91" t="s">
        <v>1538</v>
      </c>
      <c r="BA432" s="154" t="s">
        <v>1542</v>
      </c>
      <c r="BC432" s="90">
        <f t="shared" si="450"/>
        <v>0</v>
      </c>
      <c r="BD432" s="90">
        <f t="shared" si="451"/>
        <v>0</v>
      </c>
      <c r="BE432" s="90">
        <v>0</v>
      </c>
      <c r="BF432" s="90">
        <f t="shared" si="452"/>
        <v>0</v>
      </c>
      <c r="BH432" s="90">
        <f t="shared" si="453"/>
        <v>0</v>
      </c>
      <c r="BI432" s="90">
        <f t="shared" si="454"/>
        <v>0</v>
      </c>
      <c r="BJ432" s="90">
        <f t="shared" si="455"/>
        <v>0</v>
      </c>
    </row>
    <row r="433" spans="1:62" ht="12.75">
      <c r="A433" s="88" t="s">
        <v>882</v>
      </c>
      <c r="B433" s="88" t="s">
        <v>60</v>
      </c>
      <c r="C433" s="88" t="s">
        <v>326</v>
      </c>
      <c r="D433" s="88" t="s">
        <v>1381</v>
      </c>
      <c r="E433" s="88" t="s">
        <v>606</v>
      </c>
      <c r="F433" s="90">
        <v>0</v>
      </c>
      <c r="G433" s="90">
        <f>'Stavební rozpočet (SO 13)'!G267</f>
        <v>0</v>
      </c>
      <c r="H433" s="90">
        <f t="shared" si="430"/>
        <v>0</v>
      </c>
      <c r="I433" s="90">
        <f t="shared" si="431"/>
        <v>0</v>
      </c>
      <c r="J433" s="90">
        <f t="shared" si="432"/>
        <v>0</v>
      </c>
      <c r="K433" s="90">
        <v>0</v>
      </c>
      <c r="L433" s="90">
        <f t="shared" si="433"/>
        <v>0</v>
      </c>
      <c r="M433" s="91" t="s">
        <v>622</v>
      </c>
      <c r="O433" s="90"/>
      <c r="P433" s="90"/>
      <c r="Z433" s="90">
        <f t="shared" si="434"/>
        <v>0</v>
      </c>
      <c r="AB433" s="90">
        <f t="shared" si="435"/>
        <v>0</v>
      </c>
      <c r="AC433" s="90">
        <f t="shared" si="436"/>
        <v>0</v>
      </c>
      <c r="AD433" s="90">
        <f t="shared" si="437"/>
        <v>0</v>
      </c>
      <c r="AE433" s="90">
        <f t="shared" si="438"/>
        <v>0</v>
      </c>
      <c r="AF433" s="90">
        <f t="shared" si="439"/>
        <v>0</v>
      </c>
      <c r="AG433" s="90">
        <f t="shared" si="440"/>
        <v>0</v>
      </c>
      <c r="AH433" s="90">
        <f t="shared" si="441"/>
        <v>0</v>
      </c>
      <c r="AI433" s="154" t="s">
        <v>60</v>
      </c>
      <c r="AJ433" s="90">
        <f t="shared" si="442"/>
        <v>0</v>
      </c>
      <c r="AK433" s="90">
        <f t="shared" si="443"/>
        <v>0</v>
      </c>
      <c r="AL433" s="90">
        <f t="shared" si="444"/>
        <v>0</v>
      </c>
      <c r="AN433" s="90">
        <v>21</v>
      </c>
      <c r="AO433" s="90">
        <f t="shared" si="445"/>
        <v>0</v>
      </c>
      <c r="AP433" s="90">
        <f t="shared" si="446"/>
        <v>0</v>
      </c>
      <c r="AQ433" s="91" t="s">
        <v>85</v>
      </c>
      <c r="AV433" s="90">
        <f t="shared" si="447"/>
        <v>0</v>
      </c>
      <c r="AW433" s="90">
        <f t="shared" si="448"/>
        <v>0</v>
      </c>
      <c r="AX433" s="90">
        <f t="shared" si="449"/>
        <v>0</v>
      </c>
      <c r="AY433" s="91" t="s">
        <v>645</v>
      </c>
      <c r="AZ433" s="91" t="s">
        <v>1538</v>
      </c>
      <c r="BA433" s="154" t="s">
        <v>1542</v>
      </c>
      <c r="BC433" s="90">
        <f t="shared" si="450"/>
        <v>0</v>
      </c>
      <c r="BD433" s="90">
        <f t="shared" si="451"/>
        <v>0</v>
      </c>
      <c r="BE433" s="90">
        <v>0</v>
      </c>
      <c r="BF433" s="90">
        <f t="shared" si="452"/>
        <v>0</v>
      </c>
      <c r="BH433" s="90">
        <f t="shared" si="453"/>
        <v>0</v>
      </c>
      <c r="BI433" s="90">
        <f t="shared" si="454"/>
        <v>0</v>
      </c>
      <c r="BJ433" s="90">
        <f t="shared" si="455"/>
        <v>0</v>
      </c>
    </row>
    <row r="434" spans="1:62" ht="12.75">
      <c r="A434" s="88" t="s">
        <v>883</v>
      </c>
      <c r="B434" s="88" t="s">
        <v>60</v>
      </c>
      <c r="C434" s="88" t="s">
        <v>327</v>
      </c>
      <c r="D434" s="88" t="s">
        <v>1382</v>
      </c>
      <c r="E434" s="88" t="s">
        <v>606</v>
      </c>
      <c r="F434" s="90">
        <v>1</v>
      </c>
      <c r="G434" s="90">
        <f>'Stavební rozpočet (SO 13)'!G268</f>
        <v>0</v>
      </c>
      <c r="H434" s="90">
        <f t="shared" si="430"/>
        <v>0</v>
      </c>
      <c r="I434" s="90">
        <f t="shared" si="431"/>
        <v>0</v>
      </c>
      <c r="J434" s="90">
        <f t="shared" si="432"/>
        <v>0</v>
      </c>
      <c r="K434" s="90">
        <v>0</v>
      </c>
      <c r="L434" s="90">
        <f t="shared" si="433"/>
        <v>0</v>
      </c>
      <c r="M434" s="91" t="s">
        <v>622</v>
      </c>
      <c r="O434" s="90"/>
      <c r="P434" s="90"/>
      <c r="Z434" s="90">
        <f t="shared" si="434"/>
        <v>0</v>
      </c>
      <c r="AB434" s="90">
        <f t="shared" si="435"/>
        <v>0</v>
      </c>
      <c r="AC434" s="90">
        <f t="shared" si="436"/>
        <v>0</v>
      </c>
      <c r="AD434" s="90">
        <f t="shared" si="437"/>
        <v>0</v>
      </c>
      <c r="AE434" s="90">
        <f t="shared" si="438"/>
        <v>0</v>
      </c>
      <c r="AF434" s="90">
        <f t="shared" si="439"/>
        <v>0</v>
      </c>
      <c r="AG434" s="90">
        <f t="shared" si="440"/>
        <v>0</v>
      </c>
      <c r="AH434" s="90">
        <f t="shared" si="441"/>
        <v>0</v>
      </c>
      <c r="AI434" s="154" t="s">
        <v>60</v>
      </c>
      <c r="AJ434" s="90">
        <f t="shared" si="442"/>
        <v>0</v>
      </c>
      <c r="AK434" s="90">
        <f t="shared" si="443"/>
        <v>0</v>
      </c>
      <c r="AL434" s="90">
        <f t="shared" si="444"/>
        <v>0</v>
      </c>
      <c r="AN434" s="90">
        <v>21</v>
      </c>
      <c r="AO434" s="90">
        <f t="shared" si="445"/>
        <v>0</v>
      </c>
      <c r="AP434" s="90">
        <f t="shared" si="446"/>
        <v>0</v>
      </c>
      <c r="AQ434" s="91" t="s">
        <v>85</v>
      </c>
      <c r="AV434" s="90">
        <f t="shared" si="447"/>
        <v>0</v>
      </c>
      <c r="AW434" s="90">
        <f t="shared" si="448"/>
        <v>0</v>
      </c>
      <c r="AX434" s="90">
        <f t="shared" si="449"/>
        <v>0</v>
      </c>
      <c r="AY434" s="91" t="s">
        <v>645</v>
      </c>
      <c r="AZ434" s="91" t="s">
        <v>1538</v>
      </c>
      <c r="BA434" s="154" t="s">
        <v>1542</v>
      </c>
      <c r="BC434" s="90">
        <f t="shared" si="450"/>
        <v>0</v>
      </c>
      <c r="BD434" s="90">
        <f t="shared" si="451"/>
        <v>0</v>
      </c>
      <c r="BE434" s="90">
        <v>0</v>
      </c>
      <c r="BF434" s="90">
        <f t="shared" si="452"/>
        <v>0</v>
      </c>
      <c r="BH434" s="90">
        <f t="shared" si="453"/>
        <v>0</v>
      </c>
      <c r="BI434" s="90">
        <f t="shared" si="454"/>
        <v>0</v>
      </c>
      <c r="BJ434" s="90">
        <f t="shared" si="455"/>
        <v>0</v>
      </c>
    </row>
    <row r="435" spans="1:62" ht="12.75">
      <c r="A435" s="88" t="s">
        <v>884</v>
      </c>
      <c r="B435" s="88" t="s">
        <v>60</v>
      </c>
      <c r="C435" s="88" t="s">
        <v>1068</v>
      </c>
      <c r="D435" s="88" t="s">
        <v>1383</v>
      </c>
      <c r="E435" s="88" t="s">
        <v>606</v>
      </c>
      <c r="F435" s="90">
        <v>1</v>
      </c>
      <c r="G435" s="90">
        <f>'Stavební rozpočet (SO 13)'!G269</f>
        <v>0</v>
      </c>
      <c r="H435" s="90">
        <f t="shared" si="430"/>
        <v>0</v>
      </c>
      <c r="I435" s="90">
        <f t="shared" si="431"/>
        <v>0</v>
      </c>
      <c r="J435" s="90">
        <f t="shared" si="432"/>
        <v>0</v>
      </c>
      <c r="K435" s="90">
        <v>0</v>
      </c>
      <c r="L435" s="90">
        <f t="shared" si="433"/>
        <v>0</v>
      </c>
      <c r="M435" s="91" t="s">
        <v>622</v>
      </c>
      <c r="O435" s="90"/>
      <c r="P435" s="90"/>
      <c r="Z435" s="90">
        <f t="shared" si="434"/>
        <v>0</v>
      </c>
      <c r="AB435" s="90">
        <f t="shared" si="435"/>
        <v>0</v>
      </c>
      <c r="AC435" s="90">
        <f t="shared" si="436"/>
        <v>0</v>
      </c>
      <c r="AD435" s="90">
        <f t="shared" si="437"/>
        <v>0</v>
      </c>
      <c r="AE435" s="90">
        <f t="shared" si="438"/>
        <v>0</v>
      </c>
      <c r="AF435" s="90">
        <f t="shared" si="439"/>
        <v>0</v>
      </c>
      <c r="AG435" s="90">
        <f t="shared" si="440"/>
        <v>0</v>
      </c>
      <c r="AH435" s="90">
        <f t="shared" si="441"/>
        <v>0</v>
      </c>
      <c r="AI435" s="154" t="s">
        <v>60</v>
      </c>
      <c r="AJ435" s="90">
        <f t="shared" si="442"/>
        <v>0</v>
      </c>
      <c r="AK435" s="90">
        <f t="shared" si="443"/>
        <v>0</v>
      </c>
      <c r="AL435" s="90">
        <f t="shared" si="444"/>
        <v>0</v>
      </c>
      <c r="AN435" s="90">
        <v>21</v>
      </c>
      <c r="AO435" s="90">
        <f t="shared" si="445"/>
        <v>0</v>
      </c>
      <c r="AP435" s="90">
        <f t="shared" si="446"/>
        <v>0</v>
      </c>
      <c r="AQ435" s="91" t="s">
        <v>85</v>
      </c>
      <c r="AV435" s="90">
        <f t="shared" si="447"/>
        <v>0</v>
      </c>
      <c r="AW435" s="90">
        <f t="shared" si="448"/>
        <v>0</v>
      </c>
      <c r="AX435" s="90">
        <f t="shared" si="449"/>
        <v>0</v>
      </c>
      <c r="AY435" s="91" t="s">
        <v>645</v>
      </c>
      <c r="AZ435" s="91" t="s">
        <v>1538</v>
      </c>
      <c r="BA435" s="154" t="s">
        <v>1542</v>
      </c>
      <c r="BC435" s="90">
        <f t="shared" si="450"/>
        <v>0</v>
      </c>
      <c r="BD435" s="90">
        <f t="shared" si="451"/>
        <v>0</v>
      </c>
      <c r="BE435" s="90">
        <v>0</v>
      </c>
      <c r="BF435" s="90">
        <f t="shared" si="452"/>
        <v>0</v>
      </c>
      <c r="BH435" s="90">
        <f t="shared" si="453"/>
        <v>0</v>
      </c>
      <c r="BI435" s="90">
        <f t="shared" si="454"/>
        <v>0</v>
      </c>
      <c r="BJ435" s="90">
        <f t="shared" si="455"/>
        <v>0</v>
      </c>
    </row>
    <row r="436" spans="1:62" ht="12.75">
      <c r="A436" s="88" t="s">
        <v>885</v>
      </c>
      <c r="B436" s="88" t="s">
        <v>60</v>
      </c>
      <c r="C436" s="88" t="s">
        <v>1069</v>
      </c>
      <c r="D436" s="88" t="s">
        <v>1384</v>
      </c>
      <c r="E436" s="88" t="s">
        <v>606</v>
      </c>
      <c r="F436" s="90">
        <v>0</v>
      </c>
      <c r="G436" s="90">
        <f>'Stavební rozpočet (SO 13)'!G270</f>
        <v>0</v>
      </c>
      <c r="H436" s="90">
        <f t="shared" si="430"/>
        <v>0</v>
      </c>
      <c r="I436" s="90">
        <f t="shared" si="431"/>
        <v>0</v>
      </c>
      <c r="J436" s="90">
        <f t="shared" si="432"/>
        <v>0</v>
      </c>
      <c r="K436" s="90">
        <v>0</v>
      </c>
      <c r="L436" s="90">
        <f t="shared" si="433"/>
        <v>0</v>
      </c>
      <c r="M436" s="91" t="s">
        <v>622</v>
      </c>
      <c r="O436" s="90"/>
      <c r="P436" s="90"/>
      <c r="Z436" s="90">
        <f t="shared" si="434"/>
        <v>0</v>
      </c>
      <c r="AB436" s="90">
        <f t="shared" si="435"/>
        <v>0</v>
      </c>
      <c r="AC436" s="90">
        <f t="shared" si="436"/>
        <v>0</v>
      </c>
      <c r="AD436" s="90">
        <f t="shared" si="437"/>
        <v>0</v>
      </c>
      <c r="AE436" s="90">
        <f t="shared" si="438"/>
        <v>0</v>
      </c>
      <c r="AF436" s="90">
        <f t="shared" si="439"/>
        <v>0</v>
      </c>
      <c r="AG436" s="90">
        <f t="shared" si="440"/>
        <v>0</v>
      </c>
      <c r="AH436" s="90">
        <f t="shared" si="441"/>
        <v>0</v>
      </c>
      <c r="AI436" s="154" t="s">
        <v>60</v>
      </c>
      <c r="AJ436" s="90">
        <f t="shared" si="442"/>
        <v>0</v>
      </c>
      <c r="AK436" s="90">
        <f t="shared" si="443"/>
        <v>0</v>
      </c>
      <c r="AL436" s="90">
        <f t="shared" si="444"/>
        <v>0</v>
      </c>
      <c r="AN436" s="90">
        <v>21</v>
      </c>
      <c r="AO436" s="90">
        <f t="shared" si="445"/>
        <v>0</v>
      </c>
      <c r="AP436" s="90">
        <f t="shared" si="446"/>
        <v>0</v>
      </c>
      <c r="AQ436" s="91" t="s">
        <v>85</v>
      </c>
      <c r="AV436" s="90">
        <f t="shared" si="447"/>
        <v>0</v>
      </c>
      <c r="AW436" s="90">
        <f t="shared" si="448"/>
        <v>0</v>
      </c>
      <c r="AX436" s="90">
        <f t="shared" si="449"/>
        <v>0</v>
      </c>
      <c r="AY436" s="91" t="s">
        <v>645</v>
      </c>
      <c r="AZ436" s="91" t="s">
        <v>1538</v>
      </c>
      <c r="BA436" s="154" t="s">
        <v>1542</v>
      </c>
      <c r="BC436" s="90">
        <f t="shared" si="450"/>
        <v>0</v>
      </c>
      <c r="BD436" s="90">
        <f t="shared" si="451"/>
        <v>0</v>
      </c>
      <c r="BE436" s="90">
        <v>0</v>
      </c>
      <c r="BF436" s="90">
        <f t="shared" si="452"/>
        <v>0</v>
      </c>
      <c r="BH436" s="90">
        <f t="shared" si="453"/>
        <v>0</v>
      </c>
      <c r="BI436" s="90">
        <f t="shared" si="454"/>
        <v>0</v>
      </c>
      <c r="BJ436" s="90">
        <f t="shared" si="455"/>
        <v>0</v>
      </c>
    </row>
    <row r="437" spans="1:62" ht="12.75">
      <c r="A437" s="88" t="s">
        <v>886</v>
      </c>
      <c r="B437" s="88" t="s">
        <v>60</v>
      </c>
      <c r="C437" s="88" t="s">
        <v>1070</v>
      </c>
      <c r="D437" s="88" t="s">
        <v>1385</v>
      </c>
      <c r="E437" s="88" t="s">
        <v>606</v>
      </c>
      <c r="F437" s="90">
        <v>0</v>
      </c>
      <c r="G437" s="90">
        <f>'Stavební rozpočet (SO 13)'!G271</f>
        <v>0</v>
      </c>
      <c r="H437" s="90">
        <f t="shared" si="430"/>
        <v>0</v>
      </c>
      <c r="I437" s="90">
        <f t="shared" si="431"/>
        <v>0</v>
      </c>
      <c r="J437" s="90">
        <f t="shared" si="432"/>
        <v>0</v>
      </c>
      <c r="K437" s="90">
        <v>0</v>
      </c>
      <c r="L437" s="90">
        <f t="shared" si="433"/>
        <v>0</v>
      </c>
      <c r="M437" s="91" t="s">
        <v>622</v>
      </c>
      <c r="O437" s="90"/>
      <c r="P437" s="90"/>
      <c r="Z437" s="90">
        <f t="shared" si="434"/>
        <v>0</v>
      </c>
      <c r="AB437" s="90">
        <f t="shared" si="435"/>
        <v>0</v>
      </c>
      <c r="AC437" s="90">
        <f t="shared" si="436"/>
        <v>0</v>
      </c>
      <c r="AD437" s="90">
        <f t="shared" si="437"/>
        <v>0</v>
      </c>
      <c r="AE437" s="90">
        <f t="shared" si="438"/>
        <v>0</v>
      </c>
      <c r="AF437" s="90">
        <f t="shared" si="439"/>
        <v>0</v>
      </c>
      <c r="AG437" s="90">
        <f t="shared" si="440"/>
        <v>0</v>
      </c>
      <c r="AH437" s="90">
        <f t="shared" si="441"/>
        <v>0</v>
      </c>
      <c r="AI437" s="154" t="s">
        <v>60</v>
      </c>
      <c r="AJ437" s="90">
        <f t="shared" si="442"/>
        <v>0</v>
      </c>
      <c r="AK437" s="90">
        <f t="shared" si="443"/>
        <v>0</v>
      </c>
      <c r="AL437" s="90">
        <f t="shared" si="444"/>
        <v>0</v>
      </c>
      <c r="AN437" s="90">
        <v>21</v>
      </c>
      <c r="AO437" s="90">
        <f t="shared" si="445"/>
        <v>0</v>
      </c>
      <c r="AP437" s="90">
        <f t="shared" si="446"/>
        <v>0</v>
      </c>
      <c r="AQ437" s="91" t="s">
        <v>85</v>
      </c>
      <c r="AV437" s="90">
        <f t="shared" si="447"/>
        <v>0</v>
      </c>
      <c r="AW437" s="90">
        <f t="shared" si="448"/>
        <v>0</v>
      </c>
      <c r="AX437" s="90">
        <f t="shared" si="449"/>
        <v>0</v>
      </c>
      <c r="AY437" s="91" t="s">
        <v>645</v>
      </c>
      <c r="AZ437" s="91" t="s">
        <v>1538</v>
      </c>
      <c r="BA437" s="154" t="s">
        <v>1542</v>
      </c>
      <c r="BC437" s="90">
        <f t="shared" si="450"/>
        <v>0</v>
      </c>
      <c r="BD437" s="90">
        <f t="shared" si="451"/>
        <v>0</v>
      </c>
      <c r="BE437" s="90">
        <v>0</v>
      </c>
      <c r="BF437" s="90">
        <f t="shared" si="452"/>
        <v>0</v>
      </c>
      <c r="BH437" s="90">
        <f t="shared" si="453"/>
        <v>0</v>
      </c>
      <c r="BI437" s="90">
        <f t="shared" si="454"/>
        <v>0</v>
      </c>
      <c r="BJ437" s="90">
        <f t="shared" si="455"/>
        <v>0</v>
      </c>
    </row>
    <row r="438" spans="1:62" ht="12.75">
      <c r="A438" s="88" t="s">
        <v>887</v>
      </c>
      <c r="B438" s="88" t="s">
        <v>60</v>
      </c>
      <c r="C438" s="88" t="s">
        <v>1071</v>
      </c>
      <c r="D438" s="88" t="s">
        <v>1386</v>
      </c>
      <c r="E438" s="88" t="s">
        <v>606</v>
      </c>
      <c r="F438" s="90">
        <v>2</v>
      </c>
      <c r="G438" s="90">
        <f>'Stavební rozpočet (SO 13)'!G272</f>
        <v>0</v>
      </c>
      <c r="H438" s="90">
        <f t="shared" si="430"/>
        <v>0</v>
      </c>
      <c r="I438" s="90">
        <f t="shared" si="431"/>
        <v>0</v>
      </c>
      <c r="J438" s="90">
        <f t="shared" si="432"/>
        <v>0</v>
      </c>
      <c r="K438" s="90">
        <v>0</v>
      </c>
      <c r="L438" s="90">
        <f t="shared" si="433"/>
        <v>0</v>
      </c>
      <c r="M438" s="91" t="s">
        <v>622</v>
      </c>
      <c r="O438" s="90"/>
      <c r="P438" s="90"/>
      <c r="Z438" s="90">
        <f t="shared" si="434"/>
        <v>0</v>
      </c>
      <c r="AB438" s="90">
        <f t="shared" si="435"/>
        <v>0</v>
      </c>
      <c r="AC438" s="90">
        <f t="shared" si="436"/>
        <v>0</v>
      </c>
      <c r="AD438" s="90">
        <f t="shared" si="437"/>
        <v>0</v>
      </c>
      <c r="AE438" s="90">
        <f t="shared" si="438"/>
        <v>0</v>
      </c>
      <c r="AF438" s="90">
        <f t="shared" si="439"/>
        <v>0</v>
      </c>
      <c r="AG438" s="90">
        <f t="shared" si="440"/>
        <v>0</v>
      </c>
      <c r="AH438" s="90">
        <f t="shared" si="441"/>
        <v>0</v>
      </c>
      <c r="AI438" s="154" t="s">
        <v>60</v>
      </c>
      <c r="AJ438" s="90">
        <f t="shared" si="442"/>
        <v>0</v>
      </c>
      <c r="AK438" s="90">
        <f t="shared" si="443"/>
        <v>0</v>
      </c>
      <c r="AL438" s="90">
        <f t="shared" si="444"/>
        <v>0</v>
      </c>
      <c r="AN438" s="90">
        <v>21</v>
      </c>
      <c r="AO438" s="90">
        <f t="shared" si="445"/>
        <v>0</v>
      </c>
      <c r="AP438" s="90">
        <f t="shared" si="446"/>
        <v>0</v>
      </c>
      <c r="AQ438" s="91" t="s">
        <v>85</v>
      </c>
      <c r="AV438" s="90">
        <f t="shared" si="447"/>
        <v>0</v>
      </c>
      <c r="AW438" s="90">
        <f t="shared" si="448"/>
        <v>0</v>
      </c>
      <c r="AX438" s="90">
        <f t="shared" si="449"/>
        <v>0</v>
      </c>
      <c r="AY438" s="91" t="s">
        <v>645</v>
      </c>
      <c r="AZ438" s="91" t="s">
        <v>1538</v>
      </c>
      <c r="BA438" s="154" t="s">
        <v>1542</v>
      </c>
      <c r="BC438" s="90">
        <f t="shared" si="450"/>
        <v>0</v>
      </c>
      <c r="BD438" s="90">
        <f t="shared" si="451"/>
        <v>0</v>
      </c>
      <c r="BE438" s="90">
        <v>0</v>
      </c>
      <c r="BF438" s="90">
        <f t="shared" si="452"/>
        <v>0</v>
      </c>
      <c r="BH438" s="90">
        <f t="shared" si="453"/>
        <v>0</v>
      </c>
      <c r="BI438" s="90">
        <f t="shared" si="454"/>
        <v>0</v>
      </c>
      <c r="BJ438" s="90">
        <f t="shared" si="455"/>
        <v>0</v>
      </c>
    </row>
    <row r="439" spans="1:62" ht="12.75">
      <c r="A439" s="88" t="s">
        <v>888</v>
      </c>
      <c r="B439" s="88" t="s">
        <v>60</v>
      </c>
      <c r="C439" s="88" t="s">
        <v>1072</v>
      </c>
      <c r="D439" s="88" t="s">
        <v>1387</v>
      </c>
      <c r="E439" s="88" t="s">
        <v>606</v>
      </c>
      <c r="F439" s="90">
        <v>0</v>
      </c>
      <c r="G439" s="90">
        <f>'Stavební rozpočet (SO 13)'!G273</f>
        <v>0</v>
      </c>
      <c r="H439" s="90">
        <f t="shared" si="430"/>
        <v>0</v>
      </c>
      <c r="I439" s="90">
        <f t="shared" si="431"/>
        <v>0</v>
      </c>
      <c r="J439" s="90">
        <f t="shared" si="432"/>
        <v>0</v>
      </c>
      <c r="K439" s="90">
        <v>0</v>
      </c>
      <c r="L439" s="90">
        <f t="shared" si="433"/>
        <v>0</v>
      </c>
      <c r="M439" s="91" t="s">
        <v>622</v>
      </c>
      <c r="O439" s="90"/>
      <c r="P439" s="90"/>
      <c r="Z439" s="90">
        <f t="shared" si="434"/>
        <v>0</v>
      </c>
      <c r="AB439" s="90">
        <f t="shared" si="435"/>
        <v>0</v>
      </c>
      <c r="AC439" s="90">
        <f t="shared" si="436"/>
        <v>0</v>
      </c>
      <c r="AD439" s="90">
        <f t="shared" si="437"/>
        <v>0</v>
      </c>
      <c r="AE439" s="90">
        <f t="shared" si="438"/>
        <v>0</v>
      </c>
      <c r="AF439" s="90">
        <f t="shared" si="439"/>
        <v>0</v>
      </c>
      <c r="AG439" s="90">
        <f t="shared" si="440"/>
        <v>0</v>
      </c>
      <c r="AH439" s="90">
        <f t="shared" si="441"/>
        <v>0</v>
      </c>
      <c r="AI439" s="154" t="s">
        <v>60</v>
      </c>
      <c r="AJ439" s="90">
        <f t="shared" si="442"/>
        <v>0</v>
      </c>
      <c r="AK439" s="90">
        <f t="shared" si="443"/>
        <v>0</v>
      </c>
      <c r="AL439" s="90">
        <f t="shared" si="444"/>
        <v>0</v>
      </c>
      <c r="AN439" s="90">
        <v>21</v>
      </c>
      <c r="AO439" s="90">
        <f t="shared" si="445"/>
        <v>0</v>
      </c>
      <c r="AP439" s="90">
        <f t="shared" si="446"/>
        <v>0</v>
      </c>
      <c r="AQ439" s="91" t="s">
        <v>85</v>
      </c>
      <c r="AV439" s="90">
        <f t="shared" si="447"/>
        <v>0</v>
      </c>
      <c r="AW439" s="90">
        <f t="shared" si="448"/>
        <v>0</v>
      </c>
      <c r="AX439" s="90">
        <f t="shared" si="449"/>
        <v>0</v>
      </c>
      <c r="AY439" s="91" t="s">
        <v>645</v>
      </c>
      <c r="AZ439" s="91" t="s">
        <v>1538</v>
      </c>
      <c r="BA439" s="154" t="s">
        <v>1542</v>
      </c>
      <c r="BC439" s="90">
        <f t="shared" si="450"/>
        <v>0</v>
      </c>
      <c r="BD439" s="90">
        <f t="shared" si="451"/>
        <v>0</v>
      </c>
      <c r="BE439" s="90">
        <v>0</v>
      </c>
      <c r="BF439" s="90">
        <f t="shared" si="452"/>
        <v>0</v>
      </c>
      <c r="BH439" s="90">
        <f t="shared" si="453"/>
        <v>0</v>
      </c>
      <c r="BI439" s="90">
        <f t="shared" si="454"/>
        <v>0</v>
      </c>
      <c r="BJ439" s="90">
        <f t="shared" si="455"/>
        <v>0</v>
      </c>
    </row>
    <row r="440" spans="1:62" ht="12.75">
      <c r="A440" s="88" t="s">
        <v>889</v>
      </c>
      <c r="B440" s="88" t="s">
        <v>60</v>
      </c>
      <c r="C440" s="88" t="s">
        <v>1073</v>
      </c>
      <c r="D440" s="88" t="s">
        <v>1388</v>
      </c>
      <c r="E440" s="88" t="s">
        <v>606</v>
      </c>
      <c r="F440" s="90">
        <v>0</v>
      </c>
      <c r="G440" s="90">
        <f>'Stavební rozpočet (SO 13)'!G274</f>
        <v>0</v>
      </c>
      <c r="H440" s="90">
        <f t="shared" si="430"/>
        <v>0</v>
      </c>
      <c r="I440" s="90">
        <f t="shared" si="431"/>
        <v>0</v>
      </c>
      <c r="J440" s="90">
        <f t="shared" si="432"/>
        <v>0</v>
      </c>
      <c r="K440" s="90">
        <v>0</v>
      </c>
      <c r="L440" s="90">
        <f t="shared" si="433"/>
        <v>0</v>
      </c>
      <c r="M440" s="91" t="s">
        <v>622</v>
      </c>
      <c r="O440" s="90"/>
      <c r="P440" s="90"/>
      <c r="Z440" s="90">
        <f t="shared" si="434"/>
        <v>0</v>
      </c>
      <c r="AB440" s="90">
        <f t="shared" si="435"/>
        <v>0</v>
      </c>
      <c r="AC440" s="90">
        <f t="shared" si="436"/>
        <v>0</v>
      </c>
      <c r="AD440" s="90">
        <f t="shared" si="437"/>
        <v>0</v>
      </c>
      <c r="AE440" s="90">
        <f t="shared" si="438"/>
        <v>0</v>
      </c>
      <c r="AF440" s="90">
        <f t="shared" si="439"/>
        <v>0</v>
      </c>
      <c r="AG440" s="90">
        <f t="shared" si="440"/>
        <v>0</v>
      </c>
      <c r="AH440" s="90">
        <f t="shared" si="441"/>
        <v>0</v>
      </c>
      <c r="AI440" s="154" t="s">
        <v>60</v>
      </c>
      <c r="AJ440" s="90">
        <f t="shared" si="442"/>
        <v>0</v>
      </c>
      <c r="AK440" s="90">
        <f t="shared" si="443"/>
        <v>0</v>
      </c>
      <c r="AL440" s="90">
        <f t="shared" si="444"/>
        <v>0</v>
      </c>
      <c r="AN440" s="90">
        <v>21</v>
      </c>
      <c r="AO440" s="90">
        <f t="shared" si="445"/>
        <v>0</v>
      </c>
      <c r="AP440" s="90">
        <f t="shared" si="446"/>
        <v>0</v>
      </c>
      <c r="AQ440" s="91" t="s">
        <v>85</v>
      </c>
      <c r="AV440" s="90">
        <f t="shared" si="447"/>
        <v>0</v>
      </c>
      <c r="AW440" s="90">
        <f t="shared" si="448"/>
        <v>0</v>
      </c>
      <c r="AX440" s="90">
        <f t="shared" si="449"/>
        <v>0</v>
      </c>
      <c r="AY440" s="91" t="s">
        <v>645</v>
      </c>
      <c r="AZ440" s="91" t="s">
        <v>1538</v>
      </c>
      <c r="BA440" s="154" t="s">
        <v>1542</v>
      </c>
      <c r="BC440" s="90">
        <f t="shared" si="450"/>
        <v>0</v>
      </c>
      <c r="BD440" s="90">
        <f t="shared" si="451"/>
        <v>0</v>
      </c>
      <c r="BE440" s="90">
        <v>0</v>
      </c>
      <c r="BF440" s="90">
        <f t="shared" si="452"/>
        <v>0</v>
      </c>
      <c r="BH440" s="90">
        <f t="shared" si="453"/>
        <v>0</v>
      </c>
      <c r="BI440" s="90">
        <f t="shared" si="454"/>
        <v>0</v>
      </c>
      <c r="BJ440" s="90">
        <f t="shared" si="455"/>
        <v>0</v>
      </c>
    </row>
    <row r="441" spans="1:62" ht="12.75">
      <c r="A441" s="88" t="s">
        <v>890</v>
      </c>
      <c r="B441" s="88" t="s">
        <v>60</v>
      </c>
      <c r="C441" s="88" t="s">
        <v>1074</v>
      </c>
      <c r="D441" s="88" t="s">
        <v>1389</v>
      </c>
      <c r="E441" s="88" t="s">
        <v>606</v>
      </c>
      <c r="F441" s="90">
        <v>0</v>
      </c>
      <c r="G441" s="90">
        <f>'Stavební rozpočet (SO 13)'!G275</f>
        <v>0</v>
      </c>
      <c r="H441" s="90">
        <f t="shared" si="430"/>
        <v>0</v>
      </c>
      <c r="I441" s="90">
        <f t="shared" si="431"/>
        <v>0</v>
      </c>
      <c r="J441" s="90">
        <f t="shared" si="432"/>
        <v>0</v>
      </c>
      <c r="K441" s="90">
        <v>0</v>
      </c>
      <c r="L441" s="90">
        <f t="shared" si="433"/>
        <v>0</v>
      </c>
      <c r="M441" s="91" t="s">
        <v>622</v>
      </c>
      <c r="O441" s="90"/>
      <c r="P441" s="90"/>
      <c r="Z441" s="90">
        <f t="shared" si="434"/>
        <v>0</v>
      </c>
      <c r="AB441" s="90">
        <f t="shared" si="435"/>
        <v>0</v>
      </c>
      <c r="AC441" s="90">
        <f t="shared" si="436"/>
        <v>0</v>
      </c>
      <c r="AD441" s="90">
        <f t="shared" si="437"/>
        <v>0</v>
      </c>
      <c r="AE441" s="90">
        <f t="shared" si="438"/>
        <v>0</v>
      </c>
      <c r="AF441" s="90">
        <f t="shared" si="439"/>
        <v>0</v>
      </c>
      <c r="AG441" s="90">
        <f t="shared" si="440"/>
        <v>0</v>
      </c>
      <c r="AH441" s="90">
        <f t="shared" si="441"/>
        <v>0</v>
      </c>
      <c r="AI441" s="154" t="s">
        <v>60</v>
      </c>
      <c r="AJ441" s="90">
        <f t="shared" si="442"/>
        <v>0</v>
      </c>
      <c r="AK441" s="90">
        <f t="shared" si="443"/>
        <v>0</v>
      </c>
      <c r="AL441" s="90">
        <f t="shared" si="444"/>
        <v>0</v>
      </c>
      <c r="AN441" s="90">
        <v>21</v>
      </c>
      <c r="AO441" s="90">
        <f t="shared" si="445"/>
        <v>0</v>
      </c>
      <c r="AP441" s="90">
        <f t="shared" si="446"/>
        <v>0</v>
      </c>
      <c r="AQ441" s="91" t="s">
        <v>85</v>
      </c>
      <c r="AV441" s="90">
        <f t="shared" si="447"/>
        <v>0</v>
      </c>
      <c r="AW441" s="90">
        <f t="shared" si="448"/>
        <v>0</v>
      </c>
      <c r="AX441" s="90">
        <f t="shared" si="449"/>
        <v>0</v>
      </c>
      <c r="AY441" s="91" t="s">
        <v>645</v>
      </c>
      <c r="AZ441" s="91" t="s">
        <v>1538</v>
      </c>
      <c r="BA441" s="154" t="s">
        <v>1542</v>
      </c>
      <c r="BC441" s="90">
        <f t="shared" si="450"/>
        <v>0</v>
      </c>
      <c r="BD441" s="90">
        <f t="shared" si="451"/>
        <v>0</v>
      </c>
      <c r="BE441" s="90">
        <v>0</v>
      </c>
      <c r="BF441" s="90">
        <f t="shared" si="452"/>
        <v>0</v>
      </c>
      <c r="BH441" s="90">
        <f t="shared" si="453"/>
        <v>0</v>
      </c>
      <c r="BI441" s="90">
        <f t="shared" si="454"/>
        <v>0</v>
      </c>
      <c r="BJ441" s="90">
        <f t="shared" si="455"/>
        <v>0</v>
      </c>
    </row>
    <row r="442" spans="1:62" ht="12.75">
      <c r="A442" s="88" t="s">
        <v>891</v>
      </c>
      <c r="B442" s="88" t="s">
        <v>60</v>
      </c>
      <c r="C442" s="88" t="s">
        <v>1075</v>
      </c>
      <c r="D442" s="88" t="s">
        <v>1390</v>
      </c>
      <c r="E442" s="88" t="s">
        <v>606</v>
      </c>
      <c r="F442" s="90">
        <v>0</v>
      </c>
      <c r="G442" s="90">
        <f>'Stavební rozpočet (SO 13)'!G276</f>
        <v>0</v>
      </c>
      <c r="H442" s="90">
        <f t="shared" si="430"/>
        <v>0</v>
      </c>
      <c r="I442" s="90">
        <f t="shared" si="431"/>
        <v>0</v>
      </c>
      <c r="J442" s="90">
        <f t="shared" si="432"/>
        <v>0</v>
      </c>
      <c r="K442" s="90">
        <v>0</v>
      </c>
      <c r="L442" s="90">
        <f t="shared" si="433"/>
        <v>0</v>
      </c>
      <c r="M442" s="91" t="s">
        <v>622</v>
      </c>
      <c r="O442" s="90"/>
      <c r="P442" s="90"/>
      <c r="Z442" s="90">
        <f t="shared" si="434"/>
        <v>0</v>
      </c>
      <c r="AB442" s="90">
        <f t="shared" si="435"/>
        <v>0</v>
      </c>
      <c r="AC442" s="90">
        <f t="shared" si="436"/>
        <v>0</v>
      </c>
      <c r="AD442" s="90">
        <f t="shared" si="437"/>
        <v>0</v>
      </c>
      <c r="AE442" s="90">
        <f t="shared" si="438"/>
        <v>0</v>
      </c>
      <c r="AF442" s="90">
        <f t="shared" si="439"/>
        <v>0</v>
      </c>
      <c r="AG442" s="90">
        <f t="shared" si="440"/>
        <v>0</v>
      </c>
      <c r="AH442" s="90">
        <f t="shared" si="441"/>
        <v>0</v>
      </c>
      <c r="AI442" s="154" t="s">
        <v>60</v>
      </c>
      <c r="AJ442" s="90">
        <f t="shared" si="442"/>
        <v>0</v>
      </c>
      <c r="AK442" s="90">
        <f t="shared" si="443"/>
        <v>0</v>
      </c>
      <c r="AL442" s="90">
        <f t="shared" si="444"/>
        <v>0</v>
      </c>
      <c r="AN442" s="90">
        <v>21</v>
      </c>
      <c r="AO442" s="90">
        <f t="shared" si="445"/>
        <v>0</v>
      </c>
      <c r="AP442" s="90">
        <f t="shared" si="446"/>
        <v>0</v>
      </c>
      <c r="AQ442" s="91" t="s">
        <v>85</v>
      </c>
      <c r="AV442" s="90">
        <f t="shared" si="447"/>
        <v>0</v>
      </c>
      <c r="AW442" s="90">
        <f t="shared" si="448"/>
        <v>0</v>
      </c>
      <c r="AX442" s="90">
        <f t="shared" si="449"/>
        <v>0</v>
      </c>
      <c r="AY442" s="91" t="s">
        <v>645</v>
      </c>
      <c r="AZ442" s="91" t="s">
        <v>1538</v>
      </c>
      <c r="BA442" s="154" t="s">
        <v>1542</v>
      </c>
      <c r="BC442" s="90">
        <f t="shared" si="450"/>
        <v>0</v>
      </c>
      <c r="BD442" s="90">
        <f t="shared" si="451"/>
        <v>0</v>
      </c>
      <c r="BE442" s="90">
        <v>0</v>
      </c>
      <c r="BF442" s="90">
        <f t="shared" si="452"/>
        <v>0</v>
      </c>
      <c r="BH442" s="90">
        <f t="shared" si="453"/>
        <v>0</v>
      </c>
      <c r="BI442" s="90">
        <f t="shared" si="454"/>
        <v>0</v>
      </c>
      <c r="BJ442" s="90">
        <f t="shared" si="455"/>
        <v>0</v>
      </c>
    </row>
    <row r="443" spans="1:62" ht="12.75">
      <c r="A443" s="88" t="s">
        <v>892</v>
      </c>
      <c r="B443" s="88" t="s">
        <v>60</v>
      </c>
      <c r="C443" s="88" t="s">
        <v>1076</v>
      </c>
      <c r="D443" s="88" t="s">
        <v>1391</v>
      </c>
      <c r="E443" s="88" t="s">
        <v>606</v>
      </c>
      <c r="F443" s="90">
        <v>1</v>
      </c>
      <c r="G443" s="90">
        <f>'Stavební rozpočet (SO 13)'!G277</f>
        <v>0</v>
      </c>
      <c r="H443" s="90">
        <f t="shared" si="430"/>
        <v>0</v>
      </c>
      <c r="I443" s="90">
        <f t="shared" si="431"/>
        <v>0</v>
      </c>
      <c r="J443" s="90">
        <f t="shared" si="432"/>
        <v>0</v>
      </c>
      <c r="K443" s="90">
        <v>0</v>
      </c>
      <c r="L443" s="90">
        <f t="shared" si="433"/>
        <v>0</v>
      </c>
      <c r="M443" s="91" t="s">
        <v>622</v>
      </c>
      <c r="O443" s="90"/>
      <c r="P443" s="90"/>
      <c r="Z443" s="90">
        <f t="shared" si="434"/>
        <v>0</v>
      </c>
      <c r="AB443" s="90">
        <f t="shared" si="435"/>
        <v>0</v>
      </c>
      <c r="AC443" s="90">
        <f t="shared" si="436"/>
        <v>0</v>
      </c>
      <c r="AD443" s="90">
        <f t="shared" si="437"/>
        <v>0</v>
      </c>
      <c r="AE443" s="90">
        <f t="shared" si="438"/>
        <v>0</v>
      </c>
      <c r="AF443" s="90">
        <f t="shared" si="439"/>
        <v>0</v>
      </c>
      <c r="AG443" s="90">
        <f t="shared" si="440"/>
        <v>0</v>
      </c>
      <c r="AH443" s="90">
        <f t="shared" si="441"/>
        <v>0</v>
      </c>
      <c r="AI443" s="154" t="s">
        <v>60</v>
      </c>
      <c r="AJ443" s="90">
        <f t="shared" si="442"/>
        <v>0</v>
      </c>
      <c r="AK443" s="90">
        <f t="shared" si="443"/>
        <v>0</v>
      </c>
      <c r="AL443" s="90">
        <f t="shared" si="444"/>
        <v>0</v>
      </c>
      <c r="AN443" s="90">
        <v>21</v>
      </c>
      <c r="AO443" s="90">
        <f t="shared" si="445"/>
        <v>0</v>
      </c>
      <c r="AP443" s="90">
        <f t="shared" si="446"/>
        <v>0</v>
      </c>
      <c r="AQ443" s="91" t="s">
        <v>85</v>
      </c>
      <c r="AV443" s="90">
        <f t="shared" si="447"/>
        <v>0</v>
      </c>
      <c r="AW443" s="90">
        <f t="shared" si="448"/>
        <v>0</v>
      </c>
      <c r="AX443" s="90">
        <f t="shared" si="449"/>
        <v>0</v>
      </c>
      <c r="AY443" s="91" t="s">
        <v>645</v>
      </c>
      <c r="AZ443" s="91" t="s">
        <v>1538</v>
      </c>
      <c r="BA443" s="154" t="s">
        <v>1542</v>
      </c>
      <c r="BC443" s="90">
        <f t="shared" si="450"/>
        <v>0</v>
      </c>
      <c r="BD443" s="90">
        <f t="shared" si="451"/>
        <v>0</v>
      </c>
      <c r="BE443" s="90">
        <v>0</v>
      </c>
      <c r="BF443" s="90">
        <f t="shared" si="452"/>
        <v>0</v>
      </c>
      <c r="BH443" s="90">
        <f t="shared" si="453"/>
        <v>0</v>
      </c>
      <c r="BI443" s="90">
        <f t="shared" si="454"/>
        <v>0</v>
      </c>
      <c r="BJ443" s="90">
        <f t="shared" si="455"/>
        <v>0</v>
      </c>
    </row>
    <row r="444" spans="1:62" ht="12.75">
      <c r="A444" s="88" t="s">
        <v>893</v>
      </c>
      <c r="B444" s="88" t="s">
        <v>60</v>
      </c>
      <c r="C444" s="88" t="s">
        <v>1077</v>
      </c>
      <c r="D444" s="88" t="s">
        <v>517</v>
      </c>
      <c r="E444" s="88" t="s">
        <v>606</v>
      </c>
      <c r="F444" s="90">
        <v>2</v>
      </c>
      <c r="G444" s="90">
        <f>'Stavební rozpočet (SO 13)'!G278</f>
        <v>0</v>
      </c>
      <c r="H444" s="90">
        <f t="shared" si="430"/>
        <v>0</v>
      </c>
      <c r="I444" s="90">
        <f t="shared" si="431"/>
        <v>0</v>
      </c>
      <c r="J444" s="90">
        <f t="shared" si="432"/>
        <v>0</v>
      </c>
      <c r="K444" s="90">
        <v>0</v>
      </c>
      <c r="L444" s="90">
        <f t="shared" si="433"/>
        <v>0</v>
      </c>
      <c r="M444" s="91" t="s">
        <v>622</v>
      </c>
      <c r="O444" s="90"/>
      <c r="P444" s="90"/>
      <c r="Z444" s="90">
        <f t="shared" si="434"/>
        <v>0</v>
      </c>
      <c r="AB444" s="90">
        <f t="shared" si="435"/>
        <v>0</v>
      </c>
      <c r="AC444" s="90">
        <f t="shared" si="436"/>
        <v>0</v>
      </c>
      <c r="AD444" s="90">
        <f t="shared" si="437"/>
        <v>0</v>
      </c>
      <c r="AE444" s="90">
        <f t="shared" si="438"/>
        <v>0</v>
      </c>
      <c r="AF444" s="90">
        <f t="shared" si="439"/>
        <v>0</v>
      </c>
      <c r="AG444" s="90">
        <f t="shared" si="440"/>
        <v>0</v>
      </c>
      <c r="AH444" s="90">
        <f t="shared" si="441"/>
        <v>0</v>
      </c>
      <c r="AI444" s="154" t="s">
        <v>60</v>
      </c>
      <c r="AJ444" s="90">
        <f t="shared" si="442"/>
        <v>0</v>
      </c>
      <c r="AK444" s="90">
        <f t="shared" si="443"/>
        <v>0</v>
      </c>
      <c r="AL444" s="90">
        <f t="shared" si="444"/>
        <v>0</v>
      </c>
      <c r="AN444" s="90">
        <v>21</v>
      </c>
      <c r="AO444" s="90">
        <f t="shared" si="445"/>
        <v>0</v>
      </c>
      <c r="AP444" s="90">
        <f t="shared" si="446"/>
        <v>0</v>
      </c>
      <c r="AQ444" s="91" t="s">
        <v>85</v>
      </c>
      <c r="AV444" s="90">
        <f t="shared" si="447"/>
        <v>0</v>
      </c>
      <c r="AW444" s="90">
        <f t="shared" si="448"/>
        <v>0</v>
      </c>
      <c r="AX444" s="90">
        <f t="shared" si="449"/>
        <v>0</v>
      </c>
      <c r="AY444" s="91" t="s">
        <v>645</v>
      </c>
      <c r="AZ444" s="91" t="s">
        <v>1538</v>
      </c>
      <c r="BA444" s="154" t="s">
        <v>1542</v>
      </c>
      <c r="BC444" s="90">
        <f t="shared" si="450"/>
        <v>0</v>
      </c>
      <c r="BD444" s="90">
        <f t="shared" si="451"/>
        <v>0</v>
      </c>
      <c r="BE444" s="90">
        <v>0</v>
      </c>
      <c r="BF444" s="90">
        <f t="shared" si="452"/>
        <v>0</v>
      </c>
      <c r="BH444" s="90">
        <f t="shared" si="453"/>
        <v>0</v>
      </c>
      <c r="BI444" s="90">
        <f t="shared" si="454"/>
        <v>0</v>
      </c>
      <c r="BJ444" s="90">
        <f t="shared" si="455"/>
        <v>0</v>
      </c>
    </row>
    <row r="445" spans="1:62" ht="12.75">
      <c r="A445" s="88" t="s">
        <v>894</v>
      </c>
      <c r="B445" s="88" t="s">
        <v>60</v>
      </c>
      <c r="C445" s="88" t="s">
        <v>1078</v>
      </c>
      <c r="D445" s="88" t="s">
        <v>1392</v>
      </c>
      <c r="E445" s="88" t="s">
        <v>606</v>
      </c>
      <c r="F445" s="90">
        <v>2</v>
      </c>
      <c r="G445" s="90">
        <f>'Stavební rozpočet (SO 13)'!G279</f>
        <v>0</v>
      </c>
      <c r="H445" s="90">
        <f t="shared" si="430"/>
        <v>0</v>
      </c>
      <c r="I445" s="90">
        <f t="shared" si="431"/>
        <v>0</v>
      </c>
      <c r="J445" s="90">
        <f t="shared" si="432"/>
        <v>0</v>
      </c>
      <c r="K445" s="90">
        <v>0</v>
      </c>
      <c r="L445" s="90">
        <f t="shared" si="433"/>
        <v>0</v>
      </c>
      <c r="M445" s="91" t="s">
        <v>622</v>
      </c>
      <c r="O445" s="90"/>
      <c r="P445" s="90"/>
      <c r="Z445" s="90">
        <f t="shared" si="434"/>
        <v>0</v>
      </c>
      <c r="AB445" s="90">
        <f t="shared" si="435"/>
        <v>0</v>
      </c>
      <c r="AC445" s="90">
        <f t="shared" si="436"/>
        <v>0</v>
      </c>
      <c r="AD445" s="90">
        <f t="shared" si="437"/>
        <v>0</v>
      </c>
      <c r="AE445" s="90">
        <f t="shared" si="438"/>
        <v>0</v>
      </c>
      <c r="AF445" s="90">
        <f t="shared" si="439"/>
        <v>0</v>
      </c>
      <c r="AG445" s="90">
        <f t="shared" si="440"/>
        <v>0</v>
      </c>
      <c r="AH445" s="90">
        <f t="shared" si="441"/>
        <v>0</v>
      </c>
      <c r="AI445" s="154" t="s">
        <v>60</v>
      </c>
      <c r="AJ445" s="90">
        <f t="shared" si="442"/>
        <v>0</v>
      </c>
      <c r="AK445" s="90">
        <f t="shared" si="443"/>
        <v>0</v>
      </c>
      <c r="AL445" s="90">
        <f t="shared" si="444"/>
        <v>0</v>
      </c>
      <c r="AN445" s="90">
        <v>21</v>
      </c>
      <c r="AO445" s="90">
        <f t="shared" si="445"/>
        <v>0</v>
      </c>
      <c r="AP445" s="90">
        <f t="shared" si="446"/>
        <v>0</v>
      </c>
      <c r="AQ445" s="91" t="s">
        <v>85</v>
      </c>
      <c r="AV445" s="90">
        <f t="shared" si="447"/>
        <v>0</v>
      </c>
      <c r="AW445" s="90">
        <f t="shared" si="448"/>
        <v>0</v>
      </c>
      <c r="AX445" s="90">
        <f t="shared" si="449"/>
        <v>0</v>
      </c>
      <c r="AY445" s="91" t="s">
        <v>645</v>
      </c>
      <c r="AZ445" s="91" t="s">
        <v>1538</v>
      </c>
      <c r="BA445" s="154" t="s">
        <v>1542</v>
      </c>
      <c r="BC445" s="90">
        <f t="shared" si="450"/>
        <v>0</v>
      </c>
      <c r="BD445" s="90">
        <f t="shared" si="451"/>
        <v>0</v>
      </c>
      <c r="BE445" s="90">
        <v>0</v>
      </c>
      <c r="BF445" s="90">
        <f t="shared" si="452"/>
        <v>0</v>
      </c>
      <c r="BH445" s="90">
        <f t="shared" si="453"/>
        <v>0</v>
      </c>
      <c r="BI445" s="90">
        <f t="shared" si="454"/>
        <v>0</v>
      </c>
      <c r="BJ445" s="90">
        <f t="shared" si="455"/>
        <v>0</v>
      </c>
    </row>
    <row r="446" spans="1:62" ht="12.75">
      <c r="A446" s="88" t="s">
        <v>895</v>
      </c>
      <c r="B446" s="88" t="s">
        <v>60</v>
      </c>
      <c r="C446" s="88" t="s">
        <v>1079</v>
      </c>
      <c r="D446" s="88" t="s">
        <v>1393</v>
      </c>
      <c r="E446" s="88" t="s">
        <v>606</v>
      </c>
      <c r="F446" s="90">
        <v>0</v>
      </c>
      <c r="G446" s="90">
        <f>'Stavební rozpočet (SO 13)'!G280</f>
        <v>0</v>
      </c>
      <c r="H446" s="90">
        <f t="shared" si="430"/>
        <v>0</v>
      </c>
      <c r="I446" s="90">
        <f t="shared" si="431"/>
        <v>0</v>
      </c>
      <c r="J446" s="90">
        <f t="shared" si="432"/>
        <v>0</v>
      </c>
      <c r="K446" s="90">
        <v>0</v>
      </c>
      <c r="L446" s="90">
        <f t="shared" si="433"/>
        <v>0</v>
      </c>
      <c r="M446" s="91" t="s">
        <v>622</v>
      </c>
      <c r="O446" s="90"/>
      <c r="P446" s="90"/>
      <c r="Z446" s="90">
        <f t="shared" si="434"/>
        <v>0</v>
      </c>
      <c r="AB446" s="90">
        <f t="shared" si="435"/>
        <v>0</v>
      </c>
      <c r="AC446" s="90">
        <f t="shared" si="436"/>
        <v>0</v>
      </c>
      <c r="AD446" s="90">
        <f t="shared" si="437"/>
        <v>0</v>
      </c>
      <c r="AE446" s="90">
        <f t="shared" si="438"/>
        <v>0</v>
      </c>
      <c r="AF446" s="90">
        <f t="shared" si="439"/>
        <v>0</v>
      </c>
      <c r="AG446" s="90">
        <f t="shared" si="440"/>
        <v>0</v>
      </c>
      <c r="AH446" s="90">
        <f t="shared" si="441"/>
        <v>0</v>
      </c>
      <c r="AI446" s="154" t="s">
        <v>60</v>
      </c>
      <c r="AJ446" s="90">
        <f t="shared" si="442"/>
        <v>0</v>
      </c>
      <c r="AK446" s="90">
        <f t="shared" si="443"/>
        <v>0</v>
      </c>
      <c r="AL446" s="90">
        <f t="shared" si="444"/>
        <v>0</v>
      </c>
      <c r="AN446" s="90">
        <v>21</v>
      </c>
      <c r="AO446" s="90">
        <f t="shared" si="445"/>
        <v>0</v>
      </c>
      <c r="AP446" s="90">
        <f t="shared" si="446"/>
        <v>0</v>
      </c>
      <c r="AQ446" s="91" t="s">
        <v>85</v>
      </c>
      <c r="AV446" s="90">
        <f t="shared" si="447"/>
        <v>0</v>
      </c>
      <c r="AW446" s="90">
        <f t="shared" si="448"/>
        <v>0</v>
      </c>
      <c r="AX446" s="90">
        <f t="shared" si="449"/>
        <v>0</v>
      </c>
      <c r="AY446" s="91" t="s">
        <v>645</v>
      </c>
      <c r="AZ446" s="91" t="s">
        <v>1538</v>
      </c>
      <c r="BA446" s="154" t="s">
        <v>1542</v>
      </c>
      <c r="BC446" s="90">
        <f t="shared" si="450"/>
        <v>0</v>
      </c>
      <c r="BD446" s="90">
        <f t="shared" si="451"/>
        <v>0</v>
      </c>
      <c r="BE446" s="90">
        <v>0</v>
      </c>
      <c r="BF446" s="90">
        <f t="shared" si="452"/>
        <v>0</v>
      </c>
      <c r="BH446" s="90">
        <f t="shared" si="453"/>
        <v>0</v>
      </c>
      <c r="BI446" s="90">
        <f t="shared" si="454"/>
        <v>0</v>
      </c>
      <c r="BJ446" s="90">
        <f t="shared" si="455"/>
        <v>0</v>
      </c>
    </row>
    <row r="447" spans="1:62" ht="12.75">
      <c r="A447" s="88" t="s">
        <v>896</v>
      </c>
      <c r="B447" s="88" t="s">
        <v>60</v>
      </c>
      <c r="C447" s="88" t="s">
        <v>1080</v>
      </c>
      <c r="D447" s="88" t="s">
        <v>1394</v>
      </c>
      <c r="E447" s="88" t="s">
        <v>606</v>
      </c>
      <c r="F447" s="90">
        <v>0</v>
      </c>
      <c r="G447" s="90">
        <f>'Stavební rozpočet (SO 13)'!G281</f>
        <v>0</v>
      </c>
      <c r="H447" s="90">
        <f t="shared" si="430"/>
        <v>0</v>
      </c>
      <c r="I447" s="90">
        <f t="shared" si="431"/>
        <v>0</v>
      </c>
      <c r="J447" s="90">
        <f t="shared" si="432"/>
        <v>0</v>
      </c>
      <c r="K447" s="90">
        <v>0</v>
      </c>
      <c r="L447" s="90">
        <f t="shared" si="433"/>
        <v>0</v>
      </c>
      <c r="M447" s="91" t="s">
        <v>622</v>
      </c>
      <c r="O447" s="90"/>
      <c r="P447" s="90"/>
      <c r="Z447" s="90">
        <f t="shared" si="434"/>
        <v>0</v>
      </c>
      <c r="AB447" s="90">
        <f t="shared" si="435"/>
        <v>0</v>
      </c>
      <c r="AC447" s="90">
        <f t="shared" si="436"/>
        <v>0</v>
      </c>
      <c r="AD447" s="90">
        <f t="shared" si="437"/>
        <v>0</v>
      </c>
      <c r="AE447" s="90">
        <f t="shared" si="438"/>
        <v>0</v>
      </c>
      <c r="AF447" s="90">
        <f t="shared" si="439"/>
        <v>0</v>
      </c>
      <c r="AG447" s="90">
        <f t="shared" si="440"/>
        <v>0</v>
      </c>
      <c r="AH447" s="90">
        <f t="shared" si="441"/>
        <v>0</v>
      </c>
      <c r="AI447" s="154" t="s">
        <v>60</v>
      </c>
      <c r="AJ447" s="90">
        <f t="shared" si="442"/>
        <v>0</v>
      </c>
      <c r="AK447" s="90">
        <f t="shared" si="443"/>
        <v>0</v>
      </c>
      <c r="AL447" s="90">
        <f t="shared" si="444"/>
        <v>0</v>
      </c>
      <c r="AN447" s="90">
        <v>21</v>
      </c>
      <c r="AO447" s="90">
        <f t="shared" si="445"/>
        <v>0</v>
      </c>
      <c r="AP447" s="90">
        <f t="shared" si="446"/>
        <v>0</v>
      </c>
      <c r="AQ447" s="91" t="s">
        <v>85</v>
      </c>
      <c r="AV447" s="90">
        <f t="shared" si="447"/>
        <v>0</v>
      </c>
      <c r="AW447" s="90">
        <f t="shared" si="448"/>
        <v>0</v>
      </c>
      <c r="AX447" s="90">
        <f t="shared" si="449"/>
        <v>0</v>
      </c>
      <c r="AY447" s="91" t="s">
        <v>645</v>
      </c>
      <c r="AZ447" s="91" t="s">
        <v>1538</v>
      </c>
      <c r="BA447" s="154" t="s">
        <v>1542</v>
      </c>
      <c r="BC447" s="90">
        <f t="shared" si="450"/>
        <v>0</v>
      </c>
      <c r="BD447" s="90">
        <f t="shared" si="451"/>
        <v>0</v>
      </c>
      <c r="BE447" s="90">
        <v>0</v>
      </c>
      <c r="BF447" s="90">
        <f t="shared" si="452"/>
        <v>0</v>
      </c>
      <c r="BH447" s="90">
        <f t="shared" si="453"/>
        <v>0</v>
      </c>
      <c r="BI447" s="90">
        <f t="shared" si="454"/>
        <v>0</v>
      </c>
      <c r="BJ447" s="90">
        <f t="shared" si="455"/>
        <v>0</v>
      </c>
    </row>
    <row r="448" spans="1:62" ht="12.75">
      <c r="A448" s="88" t="s">
        <v>897</v>
      </c>
      <c r="B448" s="88" t="s">
        <v>60</v>
      </c>
      <c r="C448" s="88" t="s">
        <v>1081</v>
      </c>
      <c r="D448" s="88" t="s">
        <v>518</v>
      </c>
      <c r="E448" s="88" t="s">
        <v>606</v>
      </c>
      <c r="F448" s="90">
        <v>11</v>
      </c>
      <c r="G448" s="90">
        <f>'Stavební rozpočet (SO 13)'!G282</f>
        <v>0</v>
      </c>
      <c r="H448" s="90">
        <f t="shared" si="430"/>
        <v>0</v>
      </c>
      <c r="I448" s="90">
        <f t="shared" si="431"/>
        <v>0</v>
      </c>
      <c r="J448" s="90">
        <f t="shared" si="432"/>
        <v>0</v>
      </c>
      <c r="K448" s="90">
        <v>0</v>
      </c>
      <c r="L448" s="90">
        <f t="shared" si="433"/>
        <v>0</v>
      </c>
      <c r="M448" s="91" t="s">
        <v>622</v>
      </c>
      <c r="O448" s="90"/>
      <c r="P448" s="90"/>
      <c r="Z448" s="90">
        <f t="shared" si="434"/>
        <v>0</v>
      </c>
      <c r="AB448" s="90">
        <f t="shared" si="435"/>
        <v>0</v>
      </c>
      <c r="AC448" s="90">
        <f t="shared" si="436"/>
        <v>0</v>
      </c>
      <c r="AD448" s="90">
        <f t="shared" si="437"/>
        <v>0</v>
      </c>
      <c r="AE448" s="90">
        <f t="shared" si="438"/>
        <v>0</v>
      </c>
      <c r="AF448" s="90">
        <f t="shared" si="439"/>
        <v>0</v>
      </c>
      <c r="AG448" s="90">
        <f t="shared" si="440"/>
        <v>0</v>
      </c>
      <c r="AH448" s="90">
        <f t="shared" si="441"/>
        <v>0</v>
      </c>
      <c r="AI448" s="154" t="s">
        <v>60</v>
      </c>
      <c r="AJ448" s="90">
        <f t="shared" si="442"/>
        <v>0</v>
      </c>
      <c r="AK448" s="90">
        <f t="shared" si="443"/>
        <v>0</v>
      </c>
      <c r="AL448" s="90">
        <f t="shared" si="444"/>
        <v>0</v>
      </c>
      <c r="AN448" s="90">
        <v>21</v>
      </c>
      <c r="AO448" s="90">
        <f t="shared" si="445"/>
        <v>0</v>
      </c>
      <c r="AP448" s="90">
        <f t="shared" si="446"/>
        <v>0</v>
      </c>
      <c r="AQ448" s="91" t="s">
        <v>85</v>
      </c>
      <c r="AV448" s="90">
        <f t="shared" si="447"/>
        <v>0</v>
      </c>
      <c r="AW448" s="90">
        <f t="shared" si="448"/>
        <v>0</v>
      </c>
      <c r="AX448" s="90">
        <f t="shared" si="449"/>
        <v>0</v>
      </c>
      <c r="AY448" s="91" t="s">
        <v>645</v>
      </c>
      <c r="AZ448" s="91" t="s">
        <v>1538</v>
      </c>
      <c r="BA448" s="154" t="s">
        <v>1542</v>
      </c>
      <c r="BC448" s="90">
        <f t="shared" si="450"/>
        <v>0</v>
      </c>
      <c r="BD448" s="90">
        <f t="shared" si="451"/>
        <v>0</v>
      </c>
      <c r="BE448" s="90">
        <v>0</v>
      </c>
      <c r="BF448" s="90">
        <f t="shared" si="452"/>
        <v>0</v>
      </c>
      <c r="BH448" s="90">
        <f t="shared" si="453"/>
        <v>0</v>
      </c>
      <c r="BI448" s="90">
        <f t="shared" si="454"/>
        <v>0</v>
      </c>
      <c r="BJ448" s="90">
        <f t="shared" si="455"/>
        <v>0</v>
      </c>
    </row>
    <row r="449" spans="1:62" ht="12.75">
      <c r="A449" s="88" t="s">
        <v>898</v>
      </c>
      <c r="B449" s="88" t="s">
        <v>60</v>
      </c>
      <c r="C449" s="88" t="s">
        <v>1082</v>
      </c>
      <c r="D449" s="88" t="s">
        <v>1395</v>
      </c>
      <c r="E449" s="88" t="s">
        <v>606</v>
      </c>
      <c r="F449" s="90">
        <v>11</v>
      </c>
      <c r="G449" s="90">
        <f>'Stavební rozpočet (SO 13)'!G283</f>
        <v>0</v>
      </c>
      <c r="H449" s="90">
        <f t="shared" si="430"/>
        <v>0</v>
      </c>
      <c r="I449" s="90">
        <f t="shared" si="431"/>
        <v>0</v>
      </c>
      <c r="J449" s="90">
        <f t="shared" si="432"/>
        <v>0</v>
      </c>
      <c r="K449" s="90">
        <v>0</v>
      </c>
      <c r="L449" s="90">
        <f t="shared" si="433"/>
        <v>0</v>
      </c>
      <c r="M449" s="91" t="s">
        <v>622</v>
      </c>
      <c r="O449" s="90"/>
      <c r="P449" s="90"/>
      <c r="Z449" s="90">
        <f t="shared" si="434"/>
        <v>0</v>
      </c>
      <c r="AB449" s="90">
        <f t="shared" si="435"/>
        <v>0</v>
      </c>
      <c r="AC449" s="90">
        <f t="shared" si="436"/>
        <v>0</v>
      </c>
      <c r="AD449" s="90">
        <f t="shared" si="437"/>
        <v>0</v>
      </c>
      <c r="AE449" s="90">
        <f t="shared" si="438"/>
        <v>0</v>
      </c>
      <c r="AF449" s="90">
        <f t="shared" si="439"/>
        <v>0</v>
      </c>
      <c r="AG449" s="90">
        <f t="shared" si="440"/>
        <v>0</v>
      </c>
      <c r="AH449" s="90">
        <f t="shared" si="441"/>
        <v>0</v>
      </c>
      <c r="AI449" s="154" t="s">
        <v>60</v>
      </c>
      <c r="AJ449" s="90">
        <f t="shared" si="442"/>
        <v>0</v>
      </c>
      <c r="AK449" s="90">
        <f t="shared" si="443"/>
        <v>0</v>
      </c>
      <c r="AL449" s="90">
        <f t="shared" si="444"/>
        <v>0</v>
      </c>
      <c r="AN449" s="90">
        <v>21</v>
      </c>
      <c r="AO449" s="90">
        <f t="shared" si="445"/>
        <v>0</v>
      </c>
      <c r="AP449" s="90">
        <f t="shared" si="446"/>
        <v>0</v>
      </c>
      <c r="AQ449" s="91" t="s">
        <v>85</v>
      </c>
      <c r="AV449" s="90">
        <f t="shared" si="447"/>
        <v>0</v>
      </c>
      <c r="AW449" s="90">
        <f t="shared" si="448"/>
        <v>0</v>
      </c>
      <c r="AX449" s="90">
        <f t="shared" si="449"/>
        <v>0</v>
      </c>
      <c r="AY449" s="91" t="s">
        <v>645</v>
      </c>
      <c r="AZ449" s="91" t="s">
        <v>1538</v>
      </c>
      <c r="BA449" s="154" t="s">
        <v>1542</v>
      </c>
      <c r="BC449" s="90">
        <f t="shared" si="450"/>
        <v>0</v>
      </c>
      <c r="BD449" s="90">
        <f t="shared" si="451"/>
        <v>0</v>
      </c>
      <c r="BE449" s="90">
        <v>0</v>
      </c>
      <c r="BF449" s="90">
        <f t="shared" si="452"/>
        <v>0</v>
      </c>
      <c r="BH449" s="90">
        <f t="shared" si="453"/>
        <v>0</v>
      </c>
      <c r="BI449" s="90">
        <f t="shared" si="454"/>
        <v>0</v>
      </c>
      <c r="BJ449" s="90">
        <f t="shared" si="455"/>
        <v>0</v>
      </c>
    </row>
    <row r="450" spans="1:62" ht="12.75">
      <c r="A450" s="88" t="s">
        <v>899</v>
      </c>
      <c r="B450" s="88" t="s">
        <v>60</v>
      </c>
      <c r="C450" s="88" t="s">
        <v>1083</v>
      </c>
      <c r="D450" s="88" t="s">
        <v>1396</v>
      </c>
      <c r="E450" s="88" t="s">
        <v>606</v>
      </c>
      <c r="F450" s="90">
        <v>0</v>
      </c>
      <c r="G450" s="90">
        <f>'Stavební rozpočet (SO 13)'!G284</f>
        <v>0</v>
      </c>
      <c r="H450" s="90">
        <f aca="true" t="shared" si="456" ref="H450:H481">F450*AO450</f>
        <v>0</v>
      </c>
      <c r="I450" s="90">
        <f aca="true" t="shared" si="457" ref="I450:I481">F450*AP450</f>
        <v>0</v>
      </c>
      <c r="J450" s="90">
        <f aca="true" t="shared" si="458" ref="J450:J481">F450*G450</f>
        <v>0</v>
      </c>
      <c r="K450" s="90">
        <v>0</v>
      </c>
      <c r="L450" s="90">
        <f aca="true" t="shared" si="459" ref="L450:L481">F450*K450</f>
        <v>0</v>
      </c>
      <c r="M450" s="91" t="s">
        <v>622</v>
      </c>
      <c r="O450" s="90"/>
      <c r="P450" s="90"/>
      <c r="Z450" s="90">
        <f aca="true" t="shared" si="460" ref="Z450:Z481">IF(AQ450="5",BJ450,0)</f>
        <v>0</v>
      </c>
      <c r="AB450" s="90">
        <f aca="true" t="shared" si="461" ref="AB450:AB481">IF(AQ450="1",BH450,0)</f>
        <v>0</v>
      </c>
      <c r="AC450" s="90">
        <f aca="true" t="shared" si="462" ref="AC450:AC481">IF(AQ450="1",BI450,0)</f>
        <v>0</v>
      </c>
      <c r="AD450" s="90">
        <f aca="true" t="shared" si="463" ref="AD450:AD481">IF(AQ450="7",BH450,0)</f>
        <v>0</v>
      </c>
      <c r="AE450" s="90">
        <f aca="true" t="shared" si="464" ref="AE450:AE481">IF(AQ450="7",BI450,0)</f>
        <v>0</v>
      </c>
      <c r="AF450" s="90">
        <f aca="true" t="shared" si="465" ref="AF450:AF481">IF(AQ450="2",BH450,0)</f>
        <v>0</v>
      </c>
      <c r="AG450" s="90">
        <f aca="true" t="shared" si="466" ref="AG450:AG481">IF(AQ450="2",BI450,0)</f>
        <v>0</v>
      </c>
      <c r="AH450" s="90">
        <f aca="true" t="shared" si="467" ref="AH450:AH481">IF(AQ450="0",BJ450,0)</f>
        <v>0</v>
      </c>
      <c r="AI450" s="154" t="s">
        <v>60</v>
      </c>
      <c r="AJ450" s="90">
        <f aca="true" t="shared" si="468" ref="AJ450:AJ481">IF(AN450=0,J450,0)</f>
        <v>0</v>
      </c>
      <c r="AK450" s="90">
        <f aca="true" t="shared" si="469" ref="AK450:AK481">IF(AN450=15,J450,0)</f>
        <v>0</v>
      </c>
      <c r="AL450" s="90">
        <f aca="true" t="shared" si="470" ref="AL450:AL481">IF(AN450=21,J450,0)</f>
        <v>0</v>
      </c>
      <c r="AN450" s="90">
        <v>21</v>
      </c>
      <c r="AO450" s="90">
        <f aca="true" t="shared" si="471" ref="AO450:AO481">G450*0</f>
        <v>0</v>
      </c>
      <c r="AP450" s="90">
        <f aca="true" t="shared" si="472" ref="AP450:AP481">G450*(1-0)</f>
        <v>0</v>
      </c>
      <c r="AQ450" s="91" t="s">
        <v>85</v>
      </c>
      <c r="AV450" s="90">
        <f aca="true" t="shared" si="473" ref="AV450:AV481">AW450+AX450</f>
        <v>0</v>
      </c>
      <c r="AW450" s="90">
        <f aca="true" t="shared" si="474" ref="AW450:AW481">F450*AO450</f>
        <v>0</v>
      </c>
      <c r="AX450" s="90">
        <f aca="true" t="shared" si="475" ref="AX450:AX481">F450*AP450</f>
        <v>0</v>
      </c>
      <c r="AY450" s="91" t="s">
        <v>645</v>
      </c>
      <c r="AZ450" s="91" t="s">
        <v>1538</v>
      </c>
      <c r="BA450" s="154" t="s">
        <v>1542</v>
      </c>
      <c r="BC450" s="90">
        <f aca="true" t="shared" si="476" ref="BC450:BC481">AW450+AX450</f>
        <v>0</v>
      </c>
      <c r="BD450" s="90">
        <f aca="true" t="shared" si="477" ref="BD450:BD481">G450/(100-BE450)*100</f>
        <v>0</v>
      </c>
      <c r="BE450" s="90">
        <v>0</v>
      </c>
      <c r="BF450" s="90">
        <f aca="true" t="shared" si="478" ref="BF450:BF481">L450</f>
        <v>0</v>
      </c>
      <c r="BH450" s="90">
        <f aca="true" t="shared" si="479" ref="BH450:BH481">F450*AO450</f>
        <v>0</v>
      </c>
      <c r="BI450" s="90">
        <f aca="true" t="shared" si="480" ref="BI450:BI481">F450*AP450</f>
        <v>0</v>
      </c>
      <c r="BJ450" s="90">
        <f aca="true" t="shared" si="481" ref="BJ450:BJ481">F450*G450</f>
        <v>0</v>
      </c>
    </row>
    <row r="451" spans="1:62" ht="12.75">
      <c r="A451" s="88" t="s">
        <v>900</v>
      </c>
      <c r="B451" s="88" t="s">
        <v>60</v>
      </c>
      <c r="C451" s="88" t="s">
        <v>1084</v>
      </c>
      <c r="D451" s="88" t="s">
        <v>1397</v>
      </c>
      <c r="E451" s="88" t="s">
        <v>606</v>
      </c>
      <c r="F451" s="90">
        <v>0</v>
      </c>
      <c r="G451" s="90">
        <f>'Stavební rozpočet (SO 13)'!G285</f>
        <v>0</v>
      </c>
      <c r="H451" s="90">
        <f t="shared" si="456"/>
        <v>0</v>
      </c>
      <c r="I451" s="90">
        <f t="shared" si="457"/>
        <v>0</v>
      </c>
      <c r="J451" s="90">
        <f t="shared" si="458"/>
        <v>0</v>
      </c>
      <c r="K451" s="90">
        <v>0</v>
      </c>
      <c r="L451" s="90">
        <f t="shared" si="459"/>
        <v>0</v>
      </c>
      <c r="M451" s="91" t="s">
        <v>622</v>
      </c>
      <c r="O451" s="90"/>
      <c r="P451" s="90"/>
      <c r="Z451" s="90">
        <f t="shared" si="460"/>
        <v>0</v>
      </c>
      <c r="AB451" s="90">
        <f t="shared" si="461"/>
        <v>0</v>
      </c>
      <c r="AC451" s="90">
        <f t="shared" si="462"/>
        <v>0</v>
      </c>
      <c r="AD451" s="90">
        <f t="shared" si="463"/>
        <v>0</v>
      </c>
      <c r="AE451" s="90">
        <f t="shared" si="464"/>
        <v>0</v>
      </c>
      <c r="AF451" s="90">
        <f t="shared" si="465"/>
        <v>0</v>
      </c>
      <c r="AG451" s="90">
        <f t="shared" si="466"/>
        <v>0</v>
      </c>
      <c r="AH451" s="90">
        <f t="shared" si="467"/>
        <v>0</v>
      </c>
      <c r="AI451" s="154" t="s">
        <v>60</v>
      </c>
      <c r="AJ451" s="90">
        <f t="shared" si="468"/>
        <v>0</v>
      </c>
      <c r="AK451" s="90">
        <f t="shared" si="469"/>
        <v>0</v>
      </c>
      <c r="AL451" s="90">
        <f t="shared" si="470"/>
        <v>0</v>
      </c>
      <c r="AN451" s="90">
        <v>21</v>
      </c>
      <c r="AO451" s="90">
        <f t="shared" si="471"/>
        <v>0</v>
      </c>
      <c r="AP451" s="90">
        <f t="shared" si="472"/>
        <v>0</v>
      </c>
      <c r="AQ451" s="91" t="s">
        <v>85</v>
      </c>
      <c r="AV451" s="90">
        <f t="shared" si="473"/>
        <v>0</v>
      </c>
      <c r="AW451" s="90">
        <f t="shared" si="474"/>
        <v>0</v>
      </c>
      <c r="AX451" s="90">
        <f t="shared" si="475"/>
        <v>0</v>
      </c>
      <c r="AY451" s="91" t="s">
        <v>645</v>
      </c>
      <c r="AZ451" s="91" t="s">
        <v>1538</v>
      </c>
      <c r="BA451" s="154" t="s">
        <v>1542</v>
      </c>
      <c r="BC451" s="90">
        <f t="shared" si="476"/>
        <v>0</v>
      </c>
      <c r="BD451" s="90">
        <f t="shared" si="477"/>
        <v>0</v>
      </c>
      <c r="BE451" s="90">
        <v>0</v>
      </c>
      <c r="BF451" s="90">
        <f t="shared" si="478"/>
        <v>0</v>
      </c>
      <c r="BH451" s="90">
        <f t="shared" si="479"/>
        <v>0</v>
      </c>
      <c r="BI451" s="90">
        <f t="shared" si="480"/>
        <v>0</v>
      </c>
      <c r="BJ451" s="90">
        <f t="shared" si="481"/>
        <v>0</v>
      </c>
    </row>
    <row r="452" spans="1:62" ht="12.75">
      <c r="A452" s="88" t="s">
        <v>901</v>
      </c>
      <c r="B452" s="88" t="s">
        <v>60</v>
      </c>
      <c r="C452" s="88" t="s">
        <v>1085</v>
      </c>
      <c r="D452" s="88" t="s">
        <v>520</v>
      </c>
      <c r="E452" s="88" t="s">
        <v>606</v>
      </c>
      <c r="F452" s="90">
        <v>11</v>
      </c>
      <c r="G452" s="90">
        <f>'Stavební rozpočet (SO 13)'!G286</f>
        <v>0</v>
      </c>
      <c r="H452" s="90">
        <f t="shared" si="456"/>
        <v>0</v>
      </c>
      <c r="I452" s="90">
        <f t="shared" si="457"/>
        <v>0</v>
      </c>
      <c r="J452" s="90">
        <f t="shared" si="458"/>
        <v>0</v>
      </c>
      <c r="K452" s="90">
        <v>0</v>
      </c>
      <c r="L452" s="90">
        <f t="shared" si="459"/>
        <v>0</v>
      </c>
      <c r="M452" s="91" t="s">
        <v>622</v>
      </c>
      <c r="O452" s="90"/>
      <c r="P452" s="90"/>
      <c r="Z452" s="90">
        <f t="shared" si="460"/>
        <v>0</v>
      </c>
      <c r="AB452" s="90">
        <f t="shared" si="461"/>
        <v>0</v>
      </c>
      <c r="AC452" s="90">
        <f t="shared" si="462"/>
        <v>0</v>
      </c>
      <c r="AD452" s="90">
        <f t="shared" si="463"/>
        <v>0</v>
      </c>
      <c r="AE452" s="90">
        <f t="shared" si="464"/>
        <v>0</v>
      </c>
      <c r="AF452" s="90">
        <f t="shared" si="465"/>
        <v>0</v>
      </c>
      <c r="AG452" s="90">
        <f t="shared" si="466"/>
        <v>0</v>
      </c>
      <c r="AH452" s="90">
        <f t="shared" si="467"/>
        <v>0</v>
      </c>
      <c r="AI452" s="154" t="s">
        <v>60</v>
      </c>
      <c r="AJ452" s="90">
        <f t="shared" si="468"/>
        <v>0</v>
      </c>
      <c r="AK452" s="90">
        <f t="shared" si="469"/>
        <v>0</v>
      </c>
      <c r="AL452" s="90">
        <f t="shared" si="470"/>
        <v>0</v>
      </c>
      <c r="AN452" s="90">
        <v>21</v>
      </c>
      <c r="AO452" s="90">
        <f t="shared" si="471"/>
        <v>0</v>
      </c>
      <c r="AP452" s="90">
        <f t="shared" si="472"/>
        <v>0</v>
      </c>
      <c r="AQ452" s="91" t="s">
        <v>85</v>
      </c>
      <c r="AV452" s="90">
        <f t="shared" si="473"/>
        <v>0</v>
      </c>
      <c r="AW452" s="90">
        <f t="shared" si="474"/>
        <v>0</v>
      </c>
      <c r="AX452" s="90">
        <f t="shared" si="475"/>
        <v>0</v>
      </c>
      <c r="AY452" s="91" t="s">
        <v>645</v>
      </c>
      <c r="AZ452" s="91" t="s">
        <v>1538</v>
      </c>
      <c r="BA452" s="154" t="s">
        <v>1542</v>
      </c>
      <c r="BC452" s="90">
        <f t="shared" si="476"/>
        <v>0</v>
      </c>
      <c r="BD452" s="90">
        <f t="shared" si="477"/>
        <v>0</v>
      </c>
      <c r="BE452" s="90">
        <v>0</v>
      </c>
      <c r="BF452" s="90">
        <f t="shared" si="478"/>
        <v>0</v>
      </c>
      <c r="BH452" s="90">
        <f t="shared" si="479"/>
        <v>0</v>
      </c>
      <c r="BI452" s="90">
        <f t="shared" si="480"/>
        <v>0</v>
      </c>
      <c r="BJ452" s="90">
        <f t="shared" si="481"/>
        <v>0</v>
      </c>
    </row>
    <row r="453" spans="1:62" ht="12.75">
      <c r="A453" s="88" t="s">
        <v>902</v>
      </c>
      <c r="B453" s="88" t="s">
        <v>60</v>
      </c>
      <c r="C453" s="88" t="s">
        <v>1086</v>
      </c>
      <c r="D453" s="88" t="s">
        <v>1398</v>
      </c>
      <c r="E453" s="88" t="s">
        <v>606</v>
      </c>
      <c r="F453" s="90">
        <v>11</v>
      </c>
      <c r="G453" s="90">
        <f>'Stavební rozpočet (SO 13)'!G287</f>
        <v>0</v>
      </c>
      <c r="H453" s="90">
        <f t="shared" si="456"/>
        <v>0</v>
      </c>
      <c r="I453" s="90">
        <f t="shared" si="457"/>
        <v>0</v>
      </c>
      <c r="J453" s="90">
        <f t="shared" si="458"/>
        <v>0</v>
      </c>
      <c r="K453" s="90">
        <v>0</v>
      </c>
      <c r="L453" s="90">
        <f t="shared" si="459"/>
        <v>0</v>
      </c>
      <c r="M453" s="91" t="s">
        <v>622</v>
      </c>
      <c r="O453" s="90"/>
      <c r="P453" s="90"/>
      <c r="Z453" s="90">
        <f t="shared" si="460"/>
        <v>0</v>
      </c>
      <c r="AB453" s="90">
        <f t="shared" si="461"/>
        <v>0</v>
      </c>
      <c r="AC453" s="90">
        <f t="shared" si="462"/>
        <v>0</v>
      </c>
      <c r="AD453" s="90">
        <f t="shared" si="463"/>
        <v>0</v>
      </c>
      <c r="AE453" s="90">
        <f t="shared" si="464"/>
        <v>0</v>
      </c>
      <c r="AF453" s="90">
        <f t="shared" si="465"/>
        <v>0</v>
      </c>
      <c r="AG453" s="90">
        <f t="shared" si="466"/>
        <v>0</v>
      </c>
      <c r="AH453" s="90">
        <f t="shared" si="467"/>
        <v>0</v>
      </c>
      <c r="AI453" s="154" t="s">
        <v>60</v>
      </c>
      <c r="AJ453" s="90">
        <f t="shared" si="468"/>
        <v>0</v>
      </c>
      <c r="AK453" s="90">
        <f t="shared" si="469"/>
        <v>0</v>
      </c>
      <c r="AL453" s="90">
        <f t="shared" si="470"/>
        <v>0</v>
      </c>
      <c r="AN453" s="90">
        <v>21</v>
      </c>
      <c r="AO453" s="90">
        <f t="shared" si="471"/>
        <v>0</v>
      </c>
      <c r="AP453" s="90">
        <f t="shared" si="472"/>
        <v>0</v>
      </c>
      <c r="AQ453" s="91" t="s">
        <v>85</v>
      </c>
      <c r="AV453" s="90">
        <f t="shared" si="473"/>
        <v>0</v>
      </c>
      <c r="AW453" s="90">
        <f t="shared" si="474"/>
        <v>0</v>
      </c>
      <c r="AX453" s="90">
        <f t="shared" si="475"/>
        <v>0</v>
      </c>
      <c r="AY453" s="91" t="s">
        <v>645</v>
      </c>
      <c r="AZ453" s="91" t="s">
        <v>1538</v>
      </c>
      <c r="BA453" s="154" t="s">
        <v>1542</v>
      </c>
      <c r="BC453" s="90">
        <f t="shared" si="476"/>
        <v>0</v>
      </c>
      <c r="BD453" s="90">
        <f t="shared" si="477"/>
        <v>0</v>
      </c>
      <c r="BE453" s="90">
        <v>0</v>
      </c>
      <c r="BF453" s="90">
        <f t="shared" si="478"/>
        <v>0</v>
      </c>
      <c r="BH453" s="90">
        <f t="shared" si="479"/>
        <v>0</v>
      </c>
      <c r="BI453" s="90">
        <f t="shared" si="480"/>
        <v>0</v>
      </c>
      <c r="BJ453" s="90">
        <f t="shared" si="481"/>
        <v>0</v>
      </c>
    </row>
    <row r="454" spans="1:62" ht="12.75">
      <c r="A454" s="88" t="s">
        <v>903</v>
      </c>
      <c r="B454" s="88" t="s">
        <v>60</v>
      </c>
      <c r="C454" s="88" t="s">
        <v>1087</v>
      </c>
      <c r="D454" s="88" t="s">
        <v>522</v>
      </c>
      <c r="E454" s="88" t="s">
        <v>606</v>
      </c>
      <c r="F454" s="90">
        <v>11</v>
      </c>
      <c r="G454" s="90">
        <f>'Stavební rozpočet (SO 13)'!G288</f>
        <v>0</v>
      </c>
      <c r="H454" s="90">
        <f t="shared" si="456"/>
        <v>0</v>
      </c>
      <c r="I454" s="90">
        <f t="shared" si="457"/>
        <v>0</v>
      </c>
      <c r="J454" s="90">
        <f t="shared" si="458"/>
        <v>0</v>
      </c>
      <c r="K454" s="90">
        <v>0</v>
      </c>
      <c r="L454" s="90">
        <f t="shared" si="459"/>
        <v>0</v>
      </c>
      <c r="M454" s="91" t="s">
        <v>622</v>
      </c>
      <c r="O454" s="90"/>
      <c r="P454" s="90"/>
      <c r="Z454" s="90">
        <f t="shared" si="460"/>
        <v>0</v>
      </c>
      <c r="AB454" s="90">
        <f t="shared" si="461"/>
        <v>0</v>
      </c>
      <c r="AC454" s="90">
        <f t="shared" si="462"/>
        <v>0</v>
      </c>
      <c r="AD454" s="90">
        <f t="shared" si="463"/>
        <v>0</v>
      </c>
      <c r="AE454" s="90">
        <f t="shared" si="464"/>
        <v>0</v>
      </c>
      <c r="AF454" s="90">
        <f t="shared" si="465"/>
        <v>0</v>
      </c>
      <c r="AG454" s="90">
        <f t="shared" si="466"/>
        <v>0</v>
      </c>
      <c r="AH454" s="90">
        <f t="shared" si="467"/>
        <v>0</v>
      </c>
      <c r="AI454" s="154" t="s">
        <v>60</v>
      </c>
      <c r="AJ454" s="90">
        <f t="shared" si="468"/>
        <v>0</v>
      </c>
      <c r="AK454" s="90">
        <f t="shared" si="469"/>
        <v>0</v>
      </c>
      <c r="AL454" s="90">
        <f t="shared" si="470"/>
        <v>0</v>
      </c>
      <c r="AN454" s="90">
        <v>21</v>
      </c>
      <c r="AO454" s="90">
        <f t="shared" si="471"/>
        <v>0</v>
      </c>
      <c r="AP454" s="90">
        <f t="shared" si="472"/>
        <v>0</v>
      </c>
      <c r="AQ454" s="91" t="s">
        <v>85</v>
      </c>
      <c r="AV454" s="90">
        <f t="shared" si="473"/>
        <v>0</v>
      </c>
      <c r="AW454" s="90">
        <f t="shared" si="474"/>
        <v>0</v>
      </c>
      <c r="AX454" s="90">
        <f t="shared" si="475"/>
        <v>0</v>
      </c>
      <c r="AY454" s="91" t="s">
        <v>645</v>
      </c>
      <c r="AZ454" s="91" t="s">
        <v>1538</v>
      </c>
      <c r="BA454" s="154" t="s">
        <v>1542</v>
      </c>
      <c r="BC454" s="90">
        <f t="shared" si="476"/>
        <v>0</v>
      </c>
      <c r="BD454" s="90">
        <f t="shared" si="477"/>
        <v>0</v>
      </c>
      <c r="BE454" s="90">
        <v>0</v>
      </c>
      <c r="BF454" s="90">
        <f t="shared" si="478"/>
        <v>0</v>
      </c>
      <c r="BH454" s="90">
        <f t="shared" si="479"/>
        <v>0</v>
      </c>
      <c r="BI454" s="90">
        <f t="shared" si="480"/>
        <v>0</v>
      </c>
      <c r="BJ454" s="90">
        <f t="shared" si="481"/>
        <v>0</v>
      </c>
    </row>
    <row r="455" spans="1:62" ht="12.75">
      <c r="A455" s="88" t="s">
        <v>904</v>
      </c>
      <c r="B455" s="88" t="s">
        <v>60</v>
      </c>
      <c r="C455" s="88" t="s">
        <v>1088</v>
      </c>
      <c r="D455" s="88" t="s">
        <v>523</v>
      </c>
      <c r="E455" s="88" t="s">
        <v>606</v>
      </c>
      <c r="F455" s="90">
        <v>11</v>
      </c>
      <c r="G455" s="90">
        <f>'Stavební rozpočet (SO 13)'!G289</f>
        <v>0</v>
      </c>
      <c r="H455" s="90">
        <f t="shared" si="456"/>
        <v>0</v>
      </c>
      <c r="I455" s="90">
        <f t="shared" si="457"/>
        <v>0</v>
      </c>
      <c r="J455" s="90">
        <f t="shared" si="458"/>
        <v>0</v>
      </c>
      <c r="K455" s="90">
        <v>0</v>
      </c>
      <c r="L455" s="90">
        <f t="shared" si="459"/>
        <v>0</v>
      </c>
      <c r="M455" s="91" t="s">
        <v>622</v>
      </c>
      <c r="O455" s="90"/>
      <c r="P455" s="90"/>
      <c r="Z455" s="90">
        <f t="shared" si="460"/>
        <v>0</v>
      </c>
      <c r="AB455" s="90">
        <f t="shared" si="461"/>
        <v>0</v>
      </c>
      <c r="AC455" s="90">
        <f t="shared" si="462"/>
        <v>0</v>
      </c>
      <c r="AD455" s="90">
        <f t="shared" si="463"/>
        <v>0</v>
      </c>
      <c r="AE455" s="90">
        <f t="shared" si="464"/>
        <v>0</v>
      </c>
      <c r="AF455" s="90">
        <f t="shared" si="465"/>
        <v>0</v>
      </c>
      <c r="AG455" s="90">
        <f t="shared" si="466"/>
        <v>0</v>
      </c>
      <c r="AH455" s="90">
        <f t="shared" si="467"/>
        <v>0</v>
      </c>
      <c r="AI455" s="154" t="s">
        <v>60</v>
      </c>
      <c r="AJ455" s="90">
        <f t="shared" si="468"/>
        <v>0</v>
      </c>
      <c r="AK455" s="90">
        <f t="shared" si="469"/>
        <v>0</v>
      </c>
      <c r="AL455" s="90">
        <f t="shared" si="470"/>
        <v>0</v>
      </c>
      <c r="AN455" s="90">
        <v>21</v>
      </c>
      <c r="AO455" s="90">
        <f t="shared" si="471"/>
        <v>0</v>
      </c>
      <c r="AP455" s="90">
        <f t="shared" si="472"/>
        <v>0</v>
      </c>
      <c r="AQ455" s="91" t="s">
        <v>85</v>
      </c>
      <c r="AV455" s="90">
        <f t="shared" si="473"/>
        <v>0</v>
      </c>
      <c r="AW455" s="90">
        <f t="shared" si="474"/>
        <v>0</v>
      </c>
      <c r="AX455" s="90">
        <f t="shared" si="475"/>
        <v>0</v>
      </c>
      <c r="AY455" s="91" t="s">
        <v>645</v>
      </c>
      <c r="AZ455" s="91" t="s">
        <v>1538</v>
      </c>
      <c r="BA455" s="154" t="s">
        <v>1542</v>
      </c>
      <c r="BC455" s="90">
        <f t="shared" si="476"/>
        <v>0</v>
      </c>
      <c r="BD455" s="90">
        <f t="shared" si="477"/>
        <v>0</v>
      </c>
      <c r="BE455" s="90">
        <v>0</v>
      </c>
      <c r="BF455" s="90">
        <f t="shared" si="478"/>
        <v>0</v>
      </c>
      <c r="BH455" s="90">
        <f t="shared" si="479"/>
        <v>0</v>
      </c>
      <c r="BI455" s="90">
        <f t="shared" si="480"/>
        <v>0</v>
      </c>
      <c r="BJ455" s="90">
        <f t="shared" si="481"/>
        <v>0</v>
      </c>
    </row>
    <row r="456" spans="1:62" ht="12.75">
      <c r="A456" s="88" t="s">
        <v>905</v>
      </c>
      <c r="B456" s="88" t="s">
        <v>60</v>
      </c>
      <c r="C456" s="88" t="s">
        <v>328</v>
      </c>
      <c r="D456" s="88" t="s">
        <v>524</v>
      </c>
      <c r="E456" s="88" t="s">
        <v>606</v>
      </c>
      <c r="F456" s="90">
        <v>4</v>
      </c>
      <c r="G456" s="90">
        <f>'Stavební rozpočet (SO 13)'!G290</f>
        <v>0</v>
      </c>
      <c r="H456" s="90">
        <f t="shared" si="456"/>
        <v>0</v>
      </c>
      <c r="I456" s="90">
        <f t="shared" si="457"/>
        <v>0</v>
      </c>
      <c r="J456" s="90">
        <f t="shared" si="458"/>
        <v>0</v>
      </c>
      <c r="K456" s="90">
        <v>0</v>
      </c>
      <c r="L456" s="90">
        <f t="shared" si="459"/>
        <v>0</v>
      </c>
      <c r="M456" s="91" t="s">
        <v>622</v>
      </c>
      <c r="O456" s="90"/>
      <c r="P456" s="90"/>
      <c r="Z456" s="90">
        <f t="shared" si="460"/>
        <v>0</v>
      </c>
      <c r="AB456" s="90">
        <f t="shared" si="461"/>
        <v>0</v>
      </c>
      <c r="AC456" s="90">
        <f t="shared" si="462"/>
        <v>0</v>
      </c>
      <c r="AD456" s="90">
        <f t="shared" si="463"/>
        <v>0</v>
      </c>
      <c r="AE456" s="90">
        <f t="shared" si="464"/>
        <v>0</v>
      </c>
      <c r="AF456" s="90">
        <f t="shared" si="465"/>
        <v>0</v>
      </c>
      <c r="AG456" s="90">
        <f t="shared" si="466"/>
        <v>0</v>
      </c>
      <c r="AH456" s="90">
        <f t="shared" si="467"/>
        <v>0</v>
      </c>
      <c r="AI456" s="154" t="s">
        <v>60</v>
      </c>
      <c r="AJ456" s="90">
        <f t="shared" si="468"/>
        <v>0</v>
      </c>
      <c r="AK456" s="90">
        <f t="shared" si="469"/>
        <v>0</v>
      </c>
      <c r="AL456" s="90">
        <f t="shared" si="470"/>
        <v>0</v>
      </c>
      <c r="AN456" s="90">
        <v>21</v>
      </c>
      <c r="AO456" s="90">
        <f t="shared" si="471"/>
        <v>0</v>
      </c>
      <c r="AP456" s="90">
        <f t="shared" si="472"/>
        <v>0</v>
      </c>
      <c r="AQ456" s="91" t="s">
        <v>85</v>
      </c>
      <c r="AV456" s="90">
        <f t="shared" si="473"/>
        <v>0</v>
      </c>
      <c r="AW456" s="90">
        <f t="shared" si="474"/>
        <v>0</v>
      </c>
      <c r="AX456" s="90">
        <f t="shared" si="475"/>
        <v>0</v>
      </c>
      <c r="AY456" s="91" t="s">
        <v>645</v>
      </c>
      <c r="AZ456" s="91" t="s">
        <v>1538</v>
      </c>
      <c r="BA456" s="154" t="s">
        <v>1542</v>
      </c>
      <c r="BC456" s="90">
        <f t="shared" si="476"/>
        <v>0</v>
      </c>
      <c r="BD456" s="90">
        <f t="shared" si="477"/>
        <v>0</v>
      </c>
      <c r="BE456" s="90">
        <v>0</v>
      </c>
      <c r="BF456" s="90">
        <f t="shared" si="478"/>
        <v>0</v>
      </c>
      <c r="BH456" s="90">
        <f t="shared" si="479"/>
        <v>0</v>
      </c>
      <c r="BI456" s="90">
        <f t="shared" si="480"/>
        <v>0</v>
      </c>
      <c r="BJ456" s="90">
        <f t="shared" si="481"/>
        <v>0</v>
      </c>
    </row>
    <row r="457" spans="1:62" ht="12.75">
      <c r="A457" s="88" t="s">
        <v>906</v>
      </c>
      <c r="B457" s="88" t="s">
        <v>60</v>
      </c>
      <c r="C457" s="88" t="s">
        <v>329</v>
      </c>
      <c r="D457" s="88" t="s">
        <v>525</v>
      </c>
      <c r="E457" s="88" t="s">
        <v>606</v>
      </c>
      <c r="F457" s="90">
        <v>4</v>
      </c>
      <c r="G457" s="90">
        <f>'Stavební rozpočet (SO 13)'!G291</f>
        <v>0</v>
      </c>
      <c r="H457" s="90">
        <f t="shared" si="456"/>
        <v>0</v>
      </c>
      <c r="I457" s="90">
        <f t="shared" si="457"/>
        <v>0</v>
      </c>
      <c r="J457" s="90">
        <f t="shared" si="458"/>
        <v>0</v>
      </c>
      <c r="K457" s="90">
        <v>0</v>
      </c>
      <c r="L457" s="90">
        <f t="shared" si="459"/>
        <v>0</v>
      </c>
      <c r="M457" s="91" t="s">
        <v>622</v>
      </c>
      <c r="O457" s="90"/>
      <c r="P457" s="90"/>
      <c r="Z457" s="90">
        <f t="shared" si="460"/>
        <v>0</v>
      </c>
      <c r="AB457" s="90">
        <f t="shared" si="461"/>
        <v>0</v>
      </c>
      <c r="AC457" s="90">
        <f t="shared" si="462"/>
        <v>0</v>
      </c>
      <c r="AD457" s="90">
        <f t="shared" si="463"/>
        <v>0</v>
      </c>
      <c r="AE457" s="90">
        <f t="shared" si="464"/>
        <v>0</v>
      </c>
      <c r="AF457" s="90">
        <f t="shared" si="465"/>
        <v>0</v>
      </c>
      <c r="AG457" s="90">
        <f t="shared" si="466"/>
        <v>0</v>
      </c>
      <c r="AH457" s="90">
        <f t="shared" si="467"/>
        <v>0</v>
      </c>
      <c r="AI457" s="154" t="s">
        <v>60</v>
      </c>
      <c r="AJ457" s="90">
        <f t="shared" si="468"/>
        <v>0</v>
      </c>
      <c r="AK457" s="90">
        <f t="shared" si="469"/>
        <v>0</v>
      </c>
      <c r="AL457" s="90">
        <f t="shared" si="470"/>
        <v>0</v>
      </c>
      <c r="AN457" s="90">
        <v>21</v>
      </c>
      <c r="AO457" s="90">
        <f t="shared" si="471"/>
        <v>0</v>
      </c>
      <c r="AP457" s="90">
        <f t="shared" si="472"/>
        <v>0</v>
      </c>
      <c r="AQ457" s="91" t="s">
        <v>85</v>
      </c>
      <c r="AV457" s="90">
        <f t="shared" si="473"/>
        <v>0</v>
      </c>
      <c r="AW457" s="90">
        <f t="shared" si="474"/>
        <v>0</v>
      </c>
      <c r="AX457" s="90">
        <f t="shared" si="475"/>
        <v>0</v>
      </c>
      <c r="AY457" s="91" t="s">
        <v>645</v>
      </c>
      <c r="AZ457" s="91" t="s">
        <v>1538</v>
      </c>
      <c r="BA457" s="154" t="s">
        <v>1542</v>
      </c>
      <c r="BC457" s="90">
        <f t="shared" si="476"/>
        <v>0</v>
      </c>
      <c r="BD457" s="90">
        <f t="shared" si="477"/>
        <v>0</v>
      </c>
      <c r="BE457" s="90">
        <v>0</v>
      </c>
      <c r="BF457" s="90">
        <f t="shared" si="478"/>
        <v>0</v>
      </c>
      <c r="BH457" s="90">
        <f t="shared" si="479"/>
        <v>0</v>
      </c>
      <c r="BI457" s="90">
        <f t="shared" si="480"/>
        <v>0</v>
      </c>
      <c r="BJ457" s="90">
        <f t="shared" si="481"/>
        <v>0</v>
      </c>
    </row>
    <row r="458" spans="1:62" ht="12.75">
      <c r="A458" s="88" t="s">
        <v>907</v>
      </c>
      <c r="B458" s="88" t="s">
        <v>60</v>
      </c>
      <c r="C458" s="88" t="s">
        <v>330</v>
      </c>
      <c r="D458" s="88" t="s">
        <v>526</v>
      </c>
      <c r="E458" s="88" t="s">
        <v>606</v>
      </c>
      <c r="F458" s="90">
        <v>4</v>
      </c>
      <c r="G458" s="90">
        <f>'Stavební rozpočet (SO 13)'!G292</f>
        <v>0</v>
      </c>
      <c r="H458" s="90">
        <f t="shared" si="456"/>
        <v>0</v>
      </c>
      <c r="I458" s="90">
        <f t="shared" si="457"/>
        <v>0</v>
      </c>
      <c r="J458" s="90">
        <f t="shared" si="458"/>
        <v>0</v>
      </c>
      <c r="K458" s="90">
        <v>0</v>
      </c>
      <c r="L458" s="90">
        <f t="shared" si="459"/>
        <v>0</v>
      </c>
      <c r="M458" s="91" t="s">
        <v>622</v>
      </c>
      <c r="O458" s="90"/>
      <c r="P458" s="90"/>
      <c r="Z458" s="90">
        <f t="shared" si="460"/>
        <v>0</v>
      </c>
      <c r="AB458" s="90">
        <f t="shared" si="461"/>
        <v>0</v>
      </c>
      <c r="AC458" s="90">
        <f t="shared" si="462"/>
        <v>0</v>
      </c>
      <c r="AD458" s="90">
        <f t="shared" si="463"/>
        <v>0</v>
      </c>
      <c r="AE458" s="90">
        <f t="shared" si="464"/>
        <v>0</v>
      </c>
      <c r="AF458" s="90">
        <f t="shared" si="465"/>
        <v>0</v>
      </c>
      <c r="AG458" s="90">
        <f t="shared" si="466"/>
        <v>0</v>
      </c>
      <c r="AH458" s="90">
        <f t="shared" si="467"/>
        <v>0</v>
      </c>
      <c r="AI458" s="154" t="s">
        <v>60</v>
      </c>
      <c r="AJ458" s="90">
        <f t="shared" si="468"/>
        <v>0</v>
      </c>
      <c r="AK458" s="90">
        <f t="shared" si="469"/>
        <v>0</v>
      </c>
      <c r="AL458" s="90">
        <f t="shared" si="470"/>
        <v>0</v>
      </c>
      <c r="AN458" s="90">
        <v>21</v>
      </c>
      <c r="AO458" s="90">
        <f t="shared" si="471"/>
        <v>0</v>
      </c>
      <c r="AP458" s="90">
        <f t="shared" si="472"/>
        <v>0</v>
      </c>
      <c r="AQ458" s="91" t="s">
        <v>85</v>
      </c>
      <c r="AV458" s="90">
        <f t="shared" si="473"/>
        <v>0</v>
      </c>
      <c r="AW458" s="90">
        <f t="shared" si="474"/>
        <v>0</v>
      </c>
      <c r="AX458" s="90">
        <f t="shared" si="475"/>
        <v>0</v>
      </c>
      <c r="AY458" s="91" t="s">
        <v>645</v>
      </c>
      <c r="AZ458" s="91" t="s">
        <v>1538</v>
      </c>
      <c r="BA458" s="154" t="s">
        <v>1542</v>
      </c>
      <c r="BC458" s="90">
        <f t="shared" si="476"/>
        <v>0</v>
      </c>
      <c r="BD458" s="90">
        <f t="shared" si="477"/>
        <v>0</v>
      </c>
      <c r="BE458" s="90">
        <v>0</v>
      </c>
      <c r="BF458" s="90">
        <f t="shared" si="478"/>
        <v>0</v>
      </c>
      <c r="BH458" s="90">
        <f t="shared" si="479"/>
        <v>0</v>
      </c>
      <c r="BI458" s="90">
        <f t="shared" si="480"/>
        <v>0</v>
      </c>
      <c r="BJ458" s="90">
        <f t="shared" si="481"/>
        <v>0</v>
      </c>
    </row>
    <row r="459" spans="1:62" ht="12.75">
      <c r="A459" s="88" t="s">
        <v>908</v>
      </c>
      <c r="B459" s="88" t="s">
        <v>60</v>
      </c>
      <c r="C459" s="88" t="s">
        <v>331</v>
      </c>
      <c r="D459" s="88" t="s">
        <v>527</v>
      </c>
      <c r="E459" s="88" t="s">
        <v>606</v>
      </c>
      <c r="F459" s="90">
        <v>4</v>
      </c>
      <c r="G459" s="90">
        <f>'Stavební rozpočet (SO 13)'!G293</f>
        <v>0</v>
      </c>
      <c r="H459" s="90">
        <f t="shared" si="456"/>
        <v>0</v>
      </c>
      <c r="I459" s="90">
        <f t="shared" si="457"/>
        <v>0</v>
      </c>
      <c r="J459" s="90">
        <f t="shared" si="458"/>
        <v>0</v>
      </c>
      <c r="K459" s="90">
        <v>0</v>
      </c>
      <c r="L459" s="90">
        <f t="shared" si="459"/>
        <v>0</v>
      </c>
      <c r="M459" s="91" t="s">
        <v>622</v>
      </c>
      <c r="O459" s="90"/>
      <c r="P459" s="90"/>
      <c r="Z459" s="90">
        <f t="shared" si="460"/>
        <v>0</v>
      </c>
      <c r="AB459" s="90">
        <f t="shared" si="461"/>
        <v>0</v>
      </c>
      <c r="AC459" s="90">
        <f t="shared" si="462"/>
        <v>0</v>
      </c>
      <c r="AD459" s="90">
        <f t="shared" si="463"/>
        <v>0</v>
      </c>
      <c r="AE459" s="90">
        <f t="shared" si="464"/>
        <v>0</v>
      </c>
      <c r="AF459" s="90">
        <f t="shared" si="465"/>
        <v>0</v>
      </c>
      <c r="AG459" s="90">
        <f t="shared" si="466"/>
        <v>0</v>
      </c>
      <c r="AH459" s="90">
        <f t="shared" si="467"/>
        <v>0</v>
      </c>
      <c r="AI459" s="154" t="s">
        <v>60</v>
      </c>
      <c r="AJ459" s="90">
        <f t="shared" si="468"/>
        <v>0</v>
      </c>
      <c r="AK459" s="90">
        <f t="shared" si="469"/>
        <v>0</v>
      </c>
      <c r="AL459" s="90">
        <f t="shared" si="470"/>
        <v>0</v>
      </c>
      <c r="AN459" s="90">
        <v>21</v>
      </c>
      <c r="AO459" s="90">
        <f t="shared" si="471"/>
        <v>0</v>
      </c>
      <c r="AP459" s="90">
        <f t="shared" si="472"/>
        <v>0</v>
      </c>
      <c r="AQ459" s="91" t="s">
        <v>85</v>
      </c>
      <c r="AV459" s="90">
        <f t="shared" si="473"/>
        <v>0</v>
      </c>
      <c r="AW459" s="90">
        <f t="shared" si="474"/>
        <v>0</v>
      </c>
      <c r="AX459" s="90">
        <f t="shared" si="475"/>
        <v>0</v>
      </c>
      <c r="AY459" s="91" t="s">
        <v>645</v>
      </c>
      <c r="AZ459" s="91" t="s">
        <v>1538</v>
      </c>
      <c r="BA459" s="154" t="s">
        <v>1542</v>
      </c>
      <c r="BC459" s="90">
        <f t="shared" si="476"/>
        <v>0</v>
      </c>
      <c r="BD459" s="90">
        <f t="shared" si="477"/>
        <v>0</v>
      </c>
      <c r="BE459" s="90">
        <v>0</v>
      </c>
      <c r="BF459" s="90">
        <f t="shared" si="478"/>
        <v>0</v>
      </c>
      <c r="BH459" s="90">
        <f t="shared" si="479"/>
        <v>0</v>
      </c>
      <c r="BI459" s="90">
        <f t="shared" si="480"/>
        <v>0</v>
      </c>
      <c r="BJ459" s="90">
        <f t="shared" si="481"/>
        <v>0</v>
      </c>
    </row>
    <row r="460" spans="1:62" ht="12.75">
      <c r="A460" s="88" t="s">
        <v>909</v>
      </c>
      <c r="B460" s="88" t="s">
        <v>60</v>
      </c>
      <c r="C460" s="88" t="s">
        <v>332</v>
      </c>
      <c r="D460" s="88" t="s">
        <v>528</v>
      </c>
      <c r="E460" s="88" t="s">
        <v>606</v>
      </c>
      <c r="F460" s="90">
        <v>2</v>
      </c>
      <c r="G460" s="90">
        <f>'Stavební rozpočet (SO 13)'!G294</f>
        <v>0</v>
      </c>
      <c r="H460" s="90">
        <f t="shared" si="456"/>
        <v>0</v>
      </c>
      <c r="I460" s="90">
        <f t="shared" si="457"/>
        <v>0</v>
      </c>
      <c r="J460" s="90">
        <f t="shared" si="458"/>
        <v>0</v>
      </c>
      <c r="K460" s="90">
        <v>0</v>
      </c>
      <c r="L460" s="90">
        <f t="shared" si="459"/>
        <v>0</v>
      </c>
      <c r="M460" s="91" t="s">
        <v>622</v>
      </c>
      <c r="O460" s="90"/>
      <c r="P460" s="90"/>
      <c r="Z460" s="90">
        <f t="shared" si="460"/>
        <v>0</v>
      </c>
      <c r="AB460" s="90">
        <f t="shared" si="461"/>
        <v>0</v>
      </c>
      <c r="AC460" s="90">
        <f t="shared" si="462"/>
        <v>0</v>
      </c>
      <c r="AD460" s="90">
        <f t="shared" si="463"/>
        <v>0</v>
      </c>
      <c r="AE460" s="90">
        <f t="shared" si="464"/>
        <v>0</v>
      </c>
      <c r="AF460" s="90">
        <f t="shared" si="465"/>
        <v>0</v>
      </c>
      <c r="AG460" s="90">
        <f t="shared" si="466"/>
        <v>0</v>
      </c>
      <c r="AH460" s="90">
        <f t="shared" si="467"/>
        <v>0</v>
      </c>
      <c r="AI460" s="154" t="s">
        <v>60</v>
      </c>
      <c r="AJ460" s="90">
        <f t="shared" si="468"/>
        <v>0</v>
      </c>
      <c r="AK460" s="90">
        <f t="shared" si="469"/>
        <v>0</v>
      </c>
      <c r="AL460" s="90">
        <f t="shared" si="470"/>
        <v>0</v>
      </c>
      <c r="AN460" s="90">
        <v>21</v>
      </c>
      <c r="AO460" s="90">
        <f t="shared" si="471"/>
        <v>0</v>
      </c>
      <c r="AP460" s="90">
        <f t="shared" si="472"/>
        <v>0</v>
      </c>
      <c r="AQ460" s="91" t="s">
        <v>85</v>
      </c>
      <c r="AV460" s="90">
        <f t="shared" si="473"/>
        <v>0</v>
      </c>
      <c r="AW460" s="90">
        <f t="shared" si="474"/>
        <v>0</v>
      </c>
      <c r="AX460" s="90">
        <f t="shared" si="475"/>
        <v>0</v>
      </c>
      <c r="AY460" s="91" t="s">
        <v>645</v>
      </c>
      <c r="AZ460" s="91" t="s">
        <v>1538</v>
      </c>
      <c r="BA460" s="154" t="s">
        <v>1542</v>
      </c>
      <c r="BC460" s="90">
        <f t="shared" si="476"/>
        <v>0</v>
      </c>
      <c r="BD460" s="90">
        <f t="shared" si="477"/>
        <v>0</v>
      </c>
      <c r="BE460" s="90">
        <v>0</v>
      </c>
      <c r="BF460" s="90">
        <f t="shared" si="478"/>
        <v>0</v>
      </c>
      <c r="BH460" s="90">
        <f t="shared" si="479"/>
        <v>0</v>
      </c>
      <c r="BI460" s="90">
        <f t="shared" si="480"/>
        <v>0</v>
      </c>
      <c r="BJ460" s="90">
        <f t="shared" si="481"/>
        <v>0</v>
      </c>
    </row>
    <row r="461" spans="1:62" ht="12.75">
      <c r="A461" s="88" t="s">
        <v>910</v>
      </c>
      <c r="B461" s="88" t="s">
        <v>60</v>
      </c>
      <c r="C461" s="88" t="s">
        <v>335</v>
      </c>
      <c r="D461" s="88" t="s">
        <v>530</v>
      </c>
      <c r="E461" s="88" t="s">
        <v>611</v>
      </c>
      <c r="F461" s="90">
        <v>10</v>
      </c>
      <c r="G461" s="90">
        <f>'Stavební rozpočet (SO 13)'!G295</f>
        <v>0</v>
      </c>
      <c r="H461" s="90">
        <f t="shared" si="456"/>
        <v>0</v>
      </c>
      <c r="I461" s="90">
        <f t="shared" si="457"/>
        <v>0</v>
      </c>
      <c r="J461" s="90">
        <f t="shared" si="458"/>
        <v>0</v>
      </c>
      <c r="K461" s="90">
        <v>0</v>
      </c>
      <c r="L461" s="90">
        <f t="shared" si="459"/>
        <v>0</v>
      </c>
      <c r="M461" s="91" t="s">
        <v>622</v>
      </c>
      <c r="O461" s="90"/>
      <c r="P461" s="90"/>
      <c r="Z461" s="90">
        <f t="shared" si="460"/>
        <v>0</v>
      </c>
      <c r="AB461" s="90">
        <f t="shared" si="461"/>
        <v>0</v>
      </c>
      <c r="AC461" s="90">
        <f t="shared" si="462"/>
        <v>0</v>
      </c>
      <c r="AD461" s="90">
        <f t="shared" si="463"/>
        <v>0</v>
      </c>
      <c r="AE461" s="90">
        <f t="shared" si="464"/>
        <v>0</v>
      </c>
      <c r="AF461" s="90">
        <f t="shared" si="465"/>
        <v>0</v>
      </c>
      <c r="AG461" s="90">
        <f t="shared" si="466"/>
        <v>0</v>
      </c>
      <c r="AH461" s="90">
        <f t="shared" si="467"/>
        <v>0</v>
      </c>
      <c r="AI461" s="154" t="s">
        <v>60</v>
      </c>
      <c r="AJ461" s="90">
        <f t="shared" si="468"/>
        <v>0</v>
      </c>
      <c r="AK461" s="90">
        <f t="shared" si="469"/>
        <v>0</v>
      </c>
      <c r="AL461" s="90">
        <f t="shared" si="470"/>
        <v>0</v>
      </c>
      <c r="AN461" s="90">
        <v>21</v>
      </c>
      <c r="AO461" s="90">
        <f t="shared" si="471"/>
        <v>0</v>
      </c>
      <c r="AP461" s="90">
        <f t="shared" si="472"/>
        <v>0</v>
      </c>
      <c r="AQ461" s="91" t="s">
        <v>85</v>
      </c>
      <c r="AV461" s="90">
        <f t="shared" si="473"/>
        <v>0</v>
      </c>
      <c r="AW461" s="90">
        <f t="shared" si="474"/>
        <v>0</v>
      </c>
      <c r="AX461" s="90">
        <f t="shared" si="475"/>
        <v>0</v>
      </c>
      <c r="AY461" s="91" t="s">
        <v>645</v>
      </c>
      <c r="AZ461" s="91" t="s">
        <v>1538</v>
      </c>
      <c r="BA461" s="154" t="s">
        <v>1542</v>
      </c>
      <c r="BC461" s="90">
        <f t="shared" si="476"/>
        <v>0</v>
      </c>
      <c r="BD461" s="90">
        <f t="shared" si="477"/>
        <v>0</v>
      </c>
      <c r="BE461" s="90">
        <v>0</v>
      </c>
      <c r="BF461" s="90">
        <f t="shared" si="478"/>
        <v>0</v>
      </c>
      <c r="BH461" s="90">
        <f t="shared" si="479"/>
        <v>0</v>
      </c>
      <c r="BI461" s="90">
        <f t="shared" si="480"/>
        <v>0</v>
      </c>
      <c r="BJ461" s="90">
        <f t="shared" si="481"/>
        <v>0</v>
      </c>
    </row>
    <row r="462" spans="1:62" ht="12.75">
      <c r="A462" s="88" t="s">
        <v>911</v>
      </c>
      <c r="B462" s="88" t="s">
        <v>60</v>
      </c>
      <c r="C462" s="88" t="s">
        <v>336</v>
      </c>
      <c r="D462" s="88" t="s">
        <v>531</v>
      </c>
      <c r="E462" s="88" t="s">
        <v>611</v>
      </c>
      <c r="F462" s="90">
        <v>15</v>
      </c>
      <c r="G462" s="90">
        <f>'Stavební rozpočet (SO 13)'!G296</f>
        <v>0</v>
      </c>
      <c r="H462" s="90">
        <f t="shared" si="456"/>
        <v>0</v>
      </c>
      <c r="I462" s="90">
        <f t="shared" si="457"/>
        <v>0</v>
      </c>
      <c r="J462" s="90">
        <f t="shared" si="458"/>
        <v>0</v>
      </c>
      <c r="K462" s="90">
        <v>0</v>
      </c>
      <c r="L462" s="90">
        <f t="shared" si="459"/>
        <v>0</v>
      </c>
      <c r="M462" s="91" t="s">
        <v>622</v>
      </c>
      <c r="O462" s="90"/>
      <c r="P462" s="90"/>
      <c r="Z462" s="90">
        <f t="shared" si="460"/>
        <v>0</v>
      </c>
      <c r="AB462" s="90">
        <f t="shared" si="461"/>
        <v>0</v>
      </c>
      <c r="AC462" s="90">
        <f t="shared" si="462"/>
        <v>0</v>
      </c>
      <c r="AD462" s="90">
        <f t="shared" si="463"/>
        <v>0</v>
      </c>
      <c r="AE462" s="90">
        <f t="shared" si="464"/>
        <v>0</v>
      </c>
      <c r="AF462" s="90">
        <f t="shared" si="465"/>
        <v>0</v>
      </c>
      <c r="AG462" s="90">
        <f t="shared" si="466"/>
        <v>0</v>
      </c>
      <c r="AH462" s="90">
        <f t="shared" si="467"/>
        <v>0</v>
      </c>
      <c r="AI462" s="154" t="s">
        <v>60</v>
      </c>
      <c r="AJ462" s="90">
        <f t="shared" si="468"/>
        <v>0</v>
      </c>
      <c r="AK462" s="90">
        <f t="shared" si="469"/>
        <v>0</v>
      </c>
      <c r="AL462" s="90">
        <f t="shared" si="470"/>
        <v>0</v>
      </c>
      <c r="AN462" s="90">
        <v>21</v>
      </c>
      <c r="AO462" s="90">
        <f t="shared" si="471"/>
        <v>0</v>
      </c>
      <c r="AP462" s="90">
        <f t="shared" si="472"/>
        <v>0</v>
      </c>
      <c r="AQ462" s="91" t="s">
        <v>85</v>
      </c>
      <c r="AV462" s="90">
        <f t="shared" si="473"/>
        <v>0</v>
      </c>
      <c r="AW462" s="90">
        <f t="shared" si="474"/>
        <v>0</v>
      </c>
      <c r="AX462" s="90">
        <f t="shared" si="475"/>
        <v>0</v>
      </c>
      <c r="AY462" s="91" t="s">
        <v>645</v>
      </c>
      <c r="AZ462" s="91" t="s">
        <v>1538</v>
      </c>
      <c r="BA462" s="154" t="s">
        <v>1542</v>
      </c>
      <c r="BC462" s="90">
        <f t="shared" si="476"/>
        <v>0</v>
      </c>
      <c r="BD462" s="90">
        <f t="shared" si="477"/>
        <v>0</v>
      </c>
      <c r="BE462" s="90">
        <v>0</v>
      </c>
      <c r="BF462" s="90">
        <f t="shared" si="478"/>
        <v>0</v>
      </c>
      <c r="BH462" s="90">
        <f t="shared" si="479"/>
        <v>0</v>
      </c>
      <c r="BI462" s="90">
        <f t="shared" si="480"/>
        <v>0</v>
      </c>
      <c r="BJ462" s="90">
        <f t="shared" si="481"/>
        <v>0</v>
      </c>
    </row>
    <row r="463" spans="1:62" ht="12.75">
      <c r="A463" s="88" t="s">
        <v>912</v>
      </c>
      <c r="B463" s="88" t="s">
        <v>60</v>
      </c>
      <c r="C463" s="88" t="s">
        <v>337</v>
      </c>
      <c r="D463" s="88" t="s">
        <v>532</v>
      </c>
      <c r="E463" s="88" t="s">
        <v>606</v>
      </c>
      <c r="F463" s="90">
        <v>1</v>
      </c>
      <c r="G463" s="90">
        <f>'Stavební rozpočet (SO 13)'!G297</f>
        <v>0</v>
      </c>
      <c r="H463" s="90">
        <f t="shared" si="456"/>
        <v>0</v>
      </c>
      <c r="I463" s="90">
        <f t="shared" si="457"/>
        <v>0</v>
      </c>
      <c r="J463" s="90">
        <f t="shared" si="458"/>
        <v>0</v>
      </c>
      <c r="K463" s="90">
        <v>0</v>
      </c>
      <c r="L463" s="90">
        <f t="shared" si="459"/>
        <v>0</v>
      </c>
      <c r="M463" s="91" t="s">
        <v>622</v>
      </c>
      <c r="O463" s="90"/>
      <c r="P463" s="90"/>
      <c r="Z463" s="90">
        <f t="shared" si="460"/>
        <v>0</v>
      </c>
      <c r="AB463" s="90">
        <f t="shared" si="461"/>
        <v>0</v>
      </c>
      <c r="AC463" s="90">
        <f t="shared" si="462"/>
        <v>0</v>
      </c>
      <c r="AD463" s="90">
        <f t="shared" si="463"/>
        <v>0</v>
      </c>
      <c r="AE463" s="90">
        <f t="shared" si="464"/>
        <v>0</v>
      </c>
      <c r="AF463" s="90">
        <f t="shared" si="465"/>
        <v>0</v>
      </c>
      <c r="AG463" s="90">
        <f t="shared" si="466"/>
        <v>0</v>
      </c>
      <c r="AH463" s="90">
        <f t="shared" si="467"/>
        <v>0</v>
      </c>
      <c r="AI463" s="154" t="s">
        <v>60</v>
      </c>
      <c r="AJ463" s="90">
        <f t="shared" si="468"/>
        <v>0</v>
      </c>
      <c r="AK463" s="90">
        <f t="shared" si="469"/>
        <v>0</v>
      </c>
      <c r="AL463" s="90">
        <f t="shared" si="470"/>
        <v>0</v>
      </c>
      <c r="AN463" s="90">
        <v>21</v>
      </c>
      <c r="AO463" s="90">
        <f t="shared" si="471"/>
        <v>0</v>
      </c>
      <c r="AP463" s="90">
        <f t="shared" si="472"/>
        <v>0</v>
      </c>
      <c r="AQ463" s="91" t="s">
        <v>85</v>
      </c>
      <c r="AV463" s="90">
        <f t="shared" si="473"/>
        <v>0</v>
      </c>
      <c r="AW463" s="90">
        <f t="shared" si="474"/>
        <v>0</v>
      </c>
      <c r="AX463" s="90">
        <f t="shared" si="475"/>
        <v>0</v>
      </c>
      <c r="AY463" s="91" t="s">
        <v>645</v>
      </c>
      <c r="AZ463" s="91" t="s">
        <v>1538</v>
      </c>
      <c r="BA463" s="154" t="s">
        <v>1542</v>
      </c>
      <c r="BC463" s="90">
        <f t="shared" si="476"/>
        <v>0</v>
      </c>
      <c r="BD463" s="90">
        <f t="shared" si="477"/>
        <v>0</v>
      </c>
      <c r="BE463" s="90">
        <v>0</v>
      </c>
      <c r="BF463" s="90">
        <f t="shared" si="478"/>
        <v>0</v>
      </c>
      <c r="BH463" s="90">
        <f t="shared" si="479"/>
        <v>0</v>
      </c>
      <c r="BI463" s="90">
        <f t="shared" si="480"/>
        <v>0</v>
      </c>
      <c r="BJ463" s="90">
        <f t="shared" si="481"/>
        <v>0</v>
      </c>
    </row>
    <row r="464" spans="1:62" ht="12.75">
      <c r="A464" s="88" t="s">
        <v>913</v>
      </c>
      <c r="B464" s="88" t="s">
        <v>60</v>
      </c>
      <c r="C464" s="88" t="s">
        <v>340</v>
      </c>
      <c r="D464" s="88" t="s">
        <v>529</v>
      </c>
      <c r="E464" s="88" t="s">
        <v>609</v>
      </c>
      <c r="F464" s="90">
        <v>2.3</v>
      </c>
      <c r="G464" s="90">
        <f>'Stavební rozpočet (SO 13)'!G298</f>
        <v>0</v>
      </c>
      <c r="H464" s="90">
        <f t="shared" si="456"/>
        <v>0</v>
      </c>
      <c r="I464" s="90">
        <f t="shared" si="457"/>
        <v>0</v>
      </c>
      <c r="J464" s="90">
        <f t="shared" si="458"/>
        <v>0</v>
      </c>
      <c r="K464" s="90">
        <v>0</v>
      </c>
      <c r="L464" s="90">
        <f t="shared" si="459"/>
        <v>0</v>
      </c>
      <c r="M464" s="91" t="s">
        <v>622</v>
      </c>
      <c r="O464" s="90"/>
      <c r="P464" s="90"/>
      <c r="Z464" s="90">
        <f t="shared" si="460"/>
        <v>0</v>
      </c>
      <c r="AB464" s="90">
        <f t="shared" si="461"/>
        <v>0</v>
      </c>
      <c r="AC464" s="90">
        <f t="shared" si="462"/>
        <v>0</v>
      </c>
      <c r="AD464" s="90">
        <f t="shared" si="463"/>
        <v>0</v>
      </c>
      <c r="AE464" s="90">
        <f t="shared" si="464"/>
        <v>0</v>
      </c>
      <c r="AF464" s="90">
        <f t="shared" si="465"/>
        <v>0</v>
      </c>
      <c r="AG464" s="90">
        <f t="shared" si="466"/>
        <v>0</v>
      </c>
      <c r="AH464" s="90">
        <f t="shared" si="467"/>
        <v>0</v>
      </c>
      <c r="AI464" s="154" t="s">
        <v>60</v>
      </c>
      <c r="AJ464" s="90">
        <f t="shared" si="468"/>
        <v>0</v>
      </c>
      <c r="AK464" s="90">
        <f t="shared" si="469"/>
        <v>0</v>
      </c>
      <c r="AL464" s="90">
        <f t="shared" si="470"/>
        <v>0</v>
      </c>
      <c r="AN464" s="90">
        <v>21</v>
      </c>
      <c r="AO464" s="90">
        <f t="shared" si="471"/>
        <v>0</v>
      </c>
      <c r="AP464" s="90">
        <f t="shared" si="472"/>
        <v>0</v>
      </c>
      <c r="AQ464" s="91" t="s">
        <v>85</v>
      </c>
      <c r="AV464" s="90">
        <f t="shared" si="473"/>
        <v>0</v>
      </c>
      <c r="AW464" s="90">
        <f t="shared" si="474"/>
        <v>0</v>
      </c>
      <c r="AX464" s="90">
        <f t="shared" si="475"/>
        <v>0</v>
      </c>
      <c r="AY464" s="91" t="s">
        <v>645</v>
      </c>
      <c r="AZ464" s="91" t="s">
        <v>1538</v>
      </c>
      <c r="BA464" s="154" t="s">
        <v>1542</v>
      </c>
      <c r="BC464" s="90">
        <f t="shared" si="476"/>
        <v>0</v>
      </c>
      <c r="BD464" s="90">
        <f t="shared" si="477"/>
        <v>0</v>
      </c>
      <c r="BE464" s="90">
        <v>0</v>
      </c>
      <c r="BF464" s="90">
        <f t="shared" si="478"/>
        <v>0</v>
      </c>
      <c r="BH464" s="90">
        <f t="shared" si="479"/>
        <v>0</v>
      </c>
      <c r="BI464" s="90">
        <f t="shared" si="480"/>
        <v>0</v>
      </c>
      <c r="BJ464" s="90">
        <f t="shared" si="481"/>
        <v>0</v>
      </c>
    </row>
    <row r="465" spans="1:62" ht="12.75">
      <c r="A465" s="88" t="s">
        <v>914</v>
      </c>
      <c r="B465" s="88" t="s">
        <v>60</v>
      </c>
      <c r="C465" s="88" t="s">
        <v>341</v>
      </c>
      <c r="D465" s="88" t="s">
        <v>533</v>
      </c>
      <c r="E465" s="88" t="s">
        <v>606</v>
      </c>
      <c r="F465" s="90">
        <v>1</v>
      </c>
      <c r="G465" s="90">
        <f>'Stavební rozpočet (SO 13)'!G299</f>
        <v>0</v>
      </c>
      <c r="H465" s="90">
        <f t="shared" si="456"/>
        <v>0</v>
      </c>
      <c r="I465" s="90">
        <f t="shared" si="457"/>
        <v>0</v>
      </c>
      <c r="J465" s="90">
        <f t="shared" si="458"/>
        <v>0</v>
      </c>
      <c r="K465" s="90">
        <v>0</v>
      </c>
      <c r="L465" s="90">
        <f t="shared" si="459"/>
        <v>0</v>
      </c>
      <c r="M465" s="91" t="s">
        <v>622</v>
      </c>
      <c r="O465" s="90"/>
      <c r="P465" s="90"/>
      <c r="Z465" s="90">
        <f t="shared" si="460"/>
        <v>0</v>
      </c>
      <c r="AB465" s="90">
        <f t="shared" si="461"/>
        <v>0</v>
      </c>
      <c r="AC465" s="90">
        <f t="shared" si="462"/>
        <v>0</v>
      </c>
      <c r="AD465" s="90">
        <f t="shared" si="463"/>
        <v>0</v>
      </c>
      <c r="AE465" s="90">
        <f t="shared" si="464"/>
        <v>0</v>
      </c>
      <c r="AF465" s="90">
        <f t="shared" si="465"/>
        <v>0</v>
      </c>
      <c r="AG465" s="90">
        <f t="shared" si="466"/>
        <v>0</v>
      </c>
      <c r="AH465" s="90">
        <f t="shared" si="467"/>
        <v>0</v>
      </c>
      <c r="AI465" s="154" t="s">
        <v>60</v>
      </c>
      <c r="AJ465" s="90">
        <f t="shared" si="468"/>
        <v>0</v>
      </c>
      <c r="AK465" s="90">
        <f t="shared" si="469"/>
        <v>0</v>
      </c>
      <c r="AL465" s="90">
        <f t="shared" si="470"/>
        <v>0</v>
      </c>
      <c r="AN465" s="90">
        <v>21</v>
      </c>
      <c r="AO465" s="90">
        <f t="shared" si="471"/>
        <v>0</v>
      </c>
      <c r="AP465" s="90">
        <f t="shared" si="472"/>
        <v>0</v>
      </c>
      <c r="AQ465" s="91" t="s">
        <v>85</v>
      </c>
      <c r="AV465" s="90">
        <f t="shared" si="473"/>
        <v>0</v>
      </c>
      <c r="AW465" s="90">
        <f t="shared" si="474"/>
        <v>0</v>
      </c>
      <c r="AX465" s="90">
        <f t="shared" si="475"/>
        <v>0</v>
      </c>
      <c r="AY465" s="91" t="s">
        <v>645</v>
      </c>
      <c r="AZ465" s="91" t="s">
        <v>1538</v>
      </c>
      <c r="BA465" s="154" t="s">
        <v>1542</v>
      </c>
      <c r="BC465" s="90">
        <f t="shared" si="476"/>
        <v>0</v>
      </c>
      <c r="BD465" s="90">
        <f t="shared" si="477"/>
        <v>0</v>
      </c>
      <c r="BE465" s="90">
        <v>0</v>
      </c>
      <c r="BF465" s="90">
        <f t="shared" si="478"/>
        <v>0</v>
      </c>
      <c r="BH465" s="90">
        <f t="shared" si="479"/>
        <v>0</v>
      </c>
      <c r="BI465" s="90">
        <f t="shared" si="480"/>
        <v>0</v>
      </c>
      <c r="BJ465" s="90">
        <f t="shared" si="481"/>
        <v>0</v>
      </c>
    </row>
    <row r="466" spans="1:62" ht="12.75">
      <c r="A466" s="88" t="s">
        <v>915</v>
      </c>
      <c r="B466" s="88" t="s">
        <v>60</v>
      </c>
      <c r="C466" s="88" t="s">
        <v>342</v>
      </c>
      <c r="D466" s="88" t="s">
        <v>534</v>
      </c>
      <c r="E466" s="88" t="s">
        <v>606</v>
      </c>
      <c r="F466" s="90">
        <v>4</v>
      </c>
      <c r="G466" s="90">
        <f>'Stavební rozpočet (SO 13)'!G300</f>
        <v>0</v>
      </c>
      <c r="H466" s="90">
        <f t="shared" si="456"/>
        <v>0</v>
      </c>
      <c r="I466" s="90">
        <f t="shared" si="457"/>
        <v>0</v>
      </c>
      <c r="J466" s="90">
        <f t="shared" si="458"/>
        <v>0</v>
      </c>
      <c r="K466" s="90">
        <v>0</v>
      </c>
      <c r="L466" s="90">
        <f t="shared" si="459"/>
        <v>0</v>
      </c>
      <c r="M466" s="91" t="s">
        <v>622</v>
      </c>
      <c r="O466" s="90"/>
      <c r="P466" s="90"/>
      <c r="Z466" s="90">
        <f t="shared" si="460"/>
        <v>0</v>
      </c>
      <c r="AB466" s="90">
        <f t="shared" si="461"/>
        <v>0</v>
      </c>
      <c r="AC466" s="90">
        <f t="shared" si="462"/>
        <v>0</v>
      </c>
      <c r="AD466" s="90">
        <f t="shared" si="463"/>
        <v>0</v>
      </c>
      <c r="AE466" s="90">
        <f t="shared" si="464"/>
        <v>0</v>
      </c>
      <c r="AF466" s="90">
        <f t="shared" si="465"/>
        <v>0</v>
      </c>
      <c r="AG466" s="90">
        <f t="shared" si="466"/>
        <v>0</v>
      </c>
      <c r="AH466" s="90">
        <f t="shared" si="467"/>
        <v>0</v>
      </c>
      <c r="AI466" s="154" t="s">
        <v>60</v>
      </c>
      <c r="AJ466" s="90">
        <f t="shared" si="468"/>
        <v>0</v>
      </c>
      <c r="AK466" s="90">
        <f t="shared" si="469"/>
        <v>0</v>
      </c>
      <c r="AL466" s="90">
        <f t="shared" si="470"/>
        <v>0</v>
      </c>
      <c r="AN466" s="90">
        <v>21</v>
      </c>
      <c r="AO466" s="90">
        <f t="shared" si="471"/>
        <v>0</v>
      </c>
      <c r="AP466" s="90">
        <f t="shared" si="472"/>
        <v>0</v>
      </c>
      <c r="AQ466" s="91" t="s">
        <v>85</v>
      </c>
      <c r="AV466" s="90">
        <f t="shared" si="473"/>
        <v>0</v>
      </c>
      <c r="AW466" s="90">
        <f t="shared" si="474"/>
        <v>0</v>
      </c>
      <c r="AX466" s="90">
        <f t="shared" si="475"/>
        <v>0</v>
      </c>
      <c r="AY466" s="91" t="s">
        <v>645</v>
      </c>
      <c r="AZ466" s="91" t="s">
        <v>1538</v>
      </c>
      <c r="BA466" s="154" t="s">
        <v>1542</v>
      </c>
      <c r="BC466" s="90">
        <f t="shared" si="476"/>
        <v>0</v>
      </c>
      <c r="BD466" s="90">
        <f t="shared" si="477"/>
        <v>0</v>
      </c>
      <c r="BE466" s="90">
        <v>0</v>
      </c>
      <c r="BF466" s="90">
        <f t="shared" si="478"/>
        <v>0</v>
      </c>
      <c r="BH466" s="90">
        <f t="shared" si="479"/>
        <v>0</v>
      </c>
      <c r="BI466" s="90">
        <f t="shared" si="480"/>
        <v>0</v>
      </c>
      <c r="BJ466" s="90">
        <f t="shared" si="481"/>
        <v>0</v>
      </c>
    </row>
    <row r="467" spans="1:62" ht="12.75">
      <c r="A467" s="88" t="s">
        <v>916</v>
      </c>
      <c r="B467" s="88" t="s">
        <v>60</v>
      </c>
      <c r="C467" s="88" t="s">
        <v>343</v>
      </c>
      <c r="D467" s="88" t="s">
        <v>535</v>
      </c>
      <c r="E467" s="88" t="s">
        <v>606</v>
      </c>
      <c r="F467" s="90">
        <v>1</v>
      </c>
      <c r="G467" s="90">
        <f>'Stavební rozpočet (SO 13)'!G301</f>
        <v>0</v>
      </c>
      <c r="H467" s="90">
        <f t="shared" si="456"/>
        <v>0</v>
      </c>
      <c r="I467" s="90">
        <f t="shared" si="457"/>
        <v>0</v>
      </c>
      <c r="J467" s="90">
        <f t="shared" si="458"/>
        <v>0</v>
      </c>
      <c r="K467" s="90">
        <v>0</v>
      </c>
      <c r="L467" s="90">
        <f t="shared" si="459"/>
        <v>0</v>
      </c>
      <c r="M467" s="91" t="s">
        <v>622</v>
      </c>
      <c r="O467" s="90"/>
      <c r="P467" s="90"/>
      <c r="Z467" s="90">
        <f t="shared" si="460"/>
        <v>0</v>
      </c>
      <c r="AB467" s="90">
        <f t="shared" si="461"/>
        <v>0</v>
      </c>
      <c r="AC467" s="90">
        <f t="shared" si="462"/>
        <v>0</v>
      </c>
      <c r="AD467" s="90">
        <f t="shared" si="463"/>
        <v>0</v>
      </c>
      <c r="AE467" s="90">
        <f t="shared" si="464"/>
        <v>0</v>
      </c>
      <c r="AF467" s="90">
        <f t="shared" si="465"/>
        <v>0</v>
      </c>
      <c r="AG467" s="90">
        <f t="shared" si="466"/>
        <v>0</v>
      </c>
      <c r="AH467" s="90">
        <f t="shared" si="467"/>
        <v>0</v>
      </c>
      <c r="AI467" s="154" t="s">
        <v>60</v>
      </c>
      <c r="AJ467" s="90">
        <f t="shared" si="468"/>
        <v>0</v>
      </c>
      <c r="AK467" s="90">
        <f t="shared" si="469"/>
        <v>0</v>
      </c>
      <c r="AL467" s="90">
        <f t="shared" si="470"/>
        <v>0</v>
      </c>
      <c r="AN467" s="90">
        <v>21</v>
      </c>
      <c r="AO467" s="90">
        <f t="shared" si="471"/>
        <v>0</v>
      </c>
      <c r="AP467" s="90">
        <f t="shared" si="472"/>
        <v>0</v>
      </c>
      <c r="AQ467" s="91" t="s">
        <v>85</v>
      </c>
      <c r="AV467" s="90">
        <f t="shared" si="473"/>
        <v>0</v>
      </c>
      <c r="AW467" s="90">
        <f t="shared" si="474"/>
        <v>0</v>
      </c>
      <c r="AX467" s="90">
        <f t="shared" si="475"/>
        <v>0</v>
      </c>
      <c r="AY467" s="91" t="s">
        <v>645</v>
      </c>
      <c r="AZ467" s="91" t="s">
        <v>1538</v>
      </c>
      <c r="BA467" s="154" t="s">
        <v>1542</v>
      </c>
      <c r="BC467" s="90">
        <f t="shared" si="476"/>
        <v>0</v>
      </c>
      <c r="BD467" s="90">
        <f t="shared" si="477"/>
        <v>0</v>
      </c>
      <c r="BE467" s="90">
        <v>0</v>
      </c>
      <c r="BF467" s="90">
        <f t="shared" si="478"/>
        <v>0</v>
      </c>
      <c r="BH467" s="90">
        <f t="shared" si="479"/>
        <v>0</v>
      </c>
      <c r="BI467" s="90">
        <f t="shared" si="480"/>
        <v>0</v>
      </c>
      <c r="BJ467" s="90">
        <f t="shared" si="481"/>
        <v>0</v>
      </c>
    </row>
    <row r="468" spans="1:62" ht="12.75">
      <c r="A468" s="88" t="s">
        <v>917</v>
      </c>
      <c r="B468" s="88" t="s">
        <v>60</v>
      </c>
      <c r="C468" s="88" t="s">
        <v>344</v>
      </c>
      <c r="D468" s="88" t="s">
        <v>536</v>
      </c>
      <c r="E468" s="88" t="s">
        <v>606</v>
      </c>
      <c r="F468" s="90">
        <v>1</v>
      </c>
      <c r="G468" s="90">
        <f>'Stavební rozpočet (SO 13)'!G302</f>
        <v>0</v>
      </c>
      <c r="H468" s="90">
        <f t="shared" si="456"/>
        <v>0</v>
      </c>
      <c r="I468" s="90">
        <f t="shared" si="457"/>
        <v>0</v>
      </c>
      <c r="J468" s="90">
        <f t="shared" si="458"/>
        <v>0</v>
      </c>
      <c r="K468" s="90">
        <v>0</v>
      </c>
      <c r="L468" s="90">
        <f t="shared" si="459"/>
        <v>0</v>
      </c>
      <c r="M468" s="91" t="s">
        <v>622</v>
      </c>
      <c r="O468" s="90"/>
      <c r="P468" s="90"/>
      <c r="Z468" s="90">
        <f t="shared" si="460"/>
        <v>0</v>
      </c>
      <c r="AB468" s="90">
        <f t="shared" si="461"/>
        <v>0</v>
      </c>
      <c r="AC468" s="90">
        <f t="shared" si="462"/>
        <v>0</v>
      </c>
      <c r="AD468" s="90">
        <f t="shared" si="463"/>
        <v>0</v>
      </c>
      <c r="AE468" s="90">
        <f t="shared" si="464"/>
        <v>0</v>
      </c>
      <c r="AF468" s="90">
        <f t="shared" si="465"/>
        <v>0</v>
      </c>
      <c r="AG468" s="90">
        <f t="shared" si="466"/>
        <v>0</v>
      </c>
      <c r="AH468" s="90">
        <f t="shared" si="467"/>
        <v>0</v>
      </c>
      <c r="AI468" s="154" t="s">
        <v>60</v>
      </c>
      <c r="AJ468" s="90">
        <f t="shared" si="468"/>
        <v>0</v>
      </c>
      <c r="AK468" s="90">
        <f t="shared" si="469"/>
        <v>0</v>
      </c>
      <c r="AL468" s="90">
        <f t="shared" si="470"/>
        <v>0</v>
      </c>
      <c r="AN468" s="90">
        <v>21</v>
      </c>
      <c r="AO468" s="90">
        <f t="shared" si="471"/>
        <v>0</v>
      </c>
      <c r="AP468" s="90">
        <f t="shared" si="472"/>
        <v>0</v>
      </c>
      <c r="AQ468" s="91" t="s">
        <v>85</v>
      </c>
      <c r="AV468" s="90">
        <f t="shared" si="473"/>
        <v>0</v>
      </c>
      <c r="AW468" s="90">
        <f t="shared" si="474"/>
        <v>0</v>
      </c>
      <c r="AX468" s="90">
        <f t="shared" si="475"/>
        <v>0</v>
      </c>
      <c r="AY468" s="91" t="s">
        <v>645</v>
      </c>
      <c r="AZ468" s="91" t="s">
        <v>1538</v>
      </c>
      <c r="BA468" s="154" t="s">
        <v>1542</v>
      </c>
      <c r="BC468" s="90">
        <f t="shared" si="476"/>
        <v>0</v>
      </c>
      <c r="BD468" s="90">
        <f t="shared" si="477"/>
        <v>0</v>
      </c>
      <c r="BE468" s="90">
        <v>0</v>
      </c>
      <c r="BF468" s="90">
        <f t="shared" si="478"/>
        <v>0</v>
      </c>
      <c r="BH468" s="90">
        <f t="shared" si="479"/>
        <v>0</v>
      </c>
      <c r="BI468" s="90">
        <f t="shared" si="480"/>
        <v>0</v>
      </c>
      <c r="BJ468" s="90">
        <f t="shared" si="481"/>
        <v>0</v>
      </c>
    </row>
    <row r="469" spans="1:62" ht="12.75">
      <c r="A469" s="88" t="s">
        <v>918</v>
      </c>
      <c r="B469" s="88" t="s">
        <v>60</v>
      </c>
      <c r="C469" s="88" t="s">
        <v>345</v>
      </c>
      <c r="D469" s="88" t="s">
        <v>537</v>
      </c>
      <c r="E469" s="88" t="s">
        <v>606</v>
      </c>
      <c r="F469" s="90">
        <v>1</v>
      </c>
      <c r="G469" s="90">
        <f>'Stavební rozpočet (SO 13)'!G303</f>
        <v>0</v>
      </c>
      <c r="H469" s="90">
        <f t="shared" si="456"/>
        <v>0</v>
      </c>
      <c r="I469" s="90">
        <f t="shared" si="457"/>
        <v>0</v>
      </c>
      <c r="J469" s="90">
        <f t="shared" si="458"/>
        <v>0</v>
      </c>
      <c r="K469" s="90">
        <v>0</v>
      </c>
      <c r="L469" s="90">
        <f t="shared" si="459"/>
        <v>0</v>
      </c>
      <c r="M469" s="91" t="s">
        <v>622</v>
      </c>
      <c r="O469" s="90"/>
      <c r="P469" s="90"/>
      <c r="Z469" s="90">
        <f t="shared" si="460"/>
        <v>0</v>
      </c>
      <c r="AB469" s="90">
        <f t="shared" si="461"/>
        <v>0</v>
      </c>
      <c r="AC469" s="90">
        <f t="shared" si="462"/>
        <v>0</v>
      </c>
      <c r="AD469" s="90">
        <f t="shared" si="463"/>
        <v>0</v>
      </c>
      <c r="AE469" s="90">
        <f t="shared" si="464"/>
        <v>0</v>
      </c>
      <c r="AF469" s="90">
        <f t="shared" si="465"/>
        <v>0</v>
      </c>
      <c r="AG469" s="90">
        <f t="shared" si="466"/>
        <v>0</v>
      </c>
      <c r="AH469" s="90">
        <f t="shared" si="467"/>
        <v>0</v>
      </c>
      <c r="AI469" s="154" t="s">
        <v>60</v>
      </c>
      <c r="AJ469" s="90">
        <f t="shared" si="468"/>
        <v>0</v>
      </c>
      <c r="AK469" s="90">
        <f t="shared" si="469"/>
        <v>0</v>
      </c>
      <c r="AL469" s="90">
        <f t="shared" si="470"/>
        <v>0</v>
      </c>
      <c r="AN469" s="90">
        <v>21</v>
      </c>
      <c r="AO469" s="90">
        <f t="shared" si="471"/>
        <v>0</v>
      </c>
      <c r="AP469" s="90">
        <f t="shared" si="472"/>
        <v>0</v>
      </c>
      <c r="AQ469" s="91" t="s">
        <v>85</v>
      </c>
      <c r="AV469" s="90">
        <f t="shared" si="473"/>
        <v>0</v>
      </c>
      <c r="AW469" s="90">
        <f t="shared" si="474"/>
        <v>0</v>
      </c>
      <c r="AX469" s="90">
        <f t="shared" si="475"/>
        <v>0</v>
      </c>
      <c r="AY469" s="91" t="s">
        <v>645</v>
      </c>
      <c r="AZ469" s="91" t="s">
        <v>1538</v>
      </c>
      <c r="BA469" s="154" t="s">
        <v>1542</v>
      </c>
      <c r="BC469" s="90">
        <f t="shared" si="476"/>
        <v>0</v>
      </c>
      <c r="BD469" s="90">
        <f t="shared" si="477"/>
        <v>0</v>
      </c>
      <c r="BE469" s="90">
        <v>0</v>
      </c>
      <c r="BF469" s="90">
        <f t="shared" si="478"/>
        <v>0</v>
      </c>
      <c r="BH469" s="90">
        <f t="shared" si="479"/>
        <v>0</v>
      </c>
      <c r="BI469" s="90">
        <f t="shared" si="480"/>
        <v>0</v>
      </c>
      <c r="BJ469" s="90">
        <f t="shared" si="481"/>
        <v>0</v>
      </c>
    </row>
    <row r="470" spans="1:62" ht="12.75">
      <c r="A470" s="88" t="s">
        <v>919</v>
      </c>
      <c r="B470" s="88" t="s">
        <v>60</v>
      </c>
      <c r="C470" s="88" t="s">
        <v>346</v>
      </c>
      <c r="D470" s="88" t="s">
        <v>538</v>
      </c>
      <c r="E470" s="88" t="s">
        <v>606</v>
      </c>
      <c r="F470" s="90">
        <v>2</v>
      </c>
      <c r="G470" s="90">
        <f>'Stavební rozpočet (SO 13)'!G304</f>
        <v>0</v>
      </c>
      <c r="H470" s="90">
        <f t="shared" si="456"/>
        <v>0</v>
      </c>
      <c r="I470" s="90">
        <f t="shared" si="457"/>
        <v>0</v>
      </c>
      <c r="J470" s="90">
        <f t="shared" si="458"/>
        <v>0</v>
      </c>
      <c r="K470" s="90">
        <v>0</v>
      </c>
      <c r="L470" s="90">
        <f t="shared" si="459"/>
        <v>0</v>
      </c>
      <c r="M470" s="91" t="s">
        <v>622</v>
      </c>
      <c r="O470" s="90"/>
      <c r="P470" s="90"/>
      <c r="Z470" s="90">
        <f t="shared" si="460"/>
        <v>0</v>
      </c>
      <c r="AB470" s="90">
        <f t="shared" si="461"/>
        <v>0</v>
      </c>
      <c r="AC470" s="90">
        <f t="shared" si="462"/>
        <v>0</v>
      </c>
      <c r="AD470" s="90">
        <f t="shared" si="463"/>
        <v>0</v>
      </c>
      <c r="AE470" s="90">
        <f t="shared" si="464"/>
        <v>0</v>
      </c>
      <c r="AF470" s="90">
        <f t="shared" si="465"/>
        <v>0</v>
      </c>
      <c r="AG470" s="90">
        <f t="shared" si="466"/>
        <v>0</v>
      </c>
      <c r="AH470" s="90">
        <f t="shared" si="467"/>
        <v>0</v>
      </c>
      <c r="AI470" s="154" t="s">
        <v>60</v>
      </c>
      <c r="AJ470" s="90">
        <f t="shared" si="468"/>
        <v>0</v>
      </c>
      <c r="AK470" s="90">
        <f t="shared" si="469"/>
        <v>0</v>
      </c>
      <c r="AL470" s="90">
        <f t="shared" si="470"/>
        <v>0</v>
      </c>
      <c r="AN470" s="90">
        <v>21</v>
      </c>
      <c r="AO470" s="90">
        <f t="shared" si="471"/>
        <v>0</v>
      </c>
      <c r="AP470" s="90">
        <f t="shared" si="472"/>
        <v>0</v>
      </c>
      <c r="AQ470" s="91" t="s">
        <v>85</v>
      </c>
      <c r="AV470" s="90">
        <f t="shared" si="473"/>
        <v>0</v>
      </c>
      <c r="AW470" s="90">
        <f t="shared" si="474"/>
        <v>0</v>
      </c>
      <c r="AX470" s="90">
        <f t="shared" si="475"/>
        <v>0</v>
      </c>
      <c r="AY470" s="91" t="s">
        <v>645</v>
      </c>
      <c r="AZ470" s="91" t="s">
        <v>1538</v>
      </c>
      <c r="BA470" s="154" t="s">
        <v>1542</v>
      </c>
      <c r="BC470" s="90">
        <f t="shared" si="476"/>
        <v>0</v>
      </c>
      <c r="BD470" s="90">
        <f t="shared" si="477"/>
        <v>0</v>
      </c>
      <c r="BE470" s="90">
        <v>0</v>
      </c>
      <c r="BF470" s="90">
        <f t="shared" si="478"/>
        <v>0</v>
      </c>
      <c r="BH470" s="90">
        <f t="shared" si="479"/>
        <v>0</v>
      </c>
      <c r="BI470" s="90">
        <f t="shared" si="480"/>
        <v>0</v>
      </c>
      <c r="BJ470" s="90">
        <f t="shared" si="481"/>
        <v>0</v>
      </c>
    </row>
    <row r="471" spans="1:62" ht="12.75">
      <c r="A471" s="88" t="s">
        <v>920</v>
      </c>
      <c r="B471" s="88" t="s">
        <v>60</v>
      </c>
      <c r="C471" s="88" t="s">
        <v>1089</v>
      </c>
      <c r="D471" s="88" t="s">
        <v>541</v>
      </c>
      <c r="E471" s="88" t="s">
        <v>606</v>
      </c>
      <c r="F471" s="90">
        <v>2</v>
      </c>
      <c r="G471" s="90">
        <f>'Stavební rozpočet (SO 13)'!G305</f>
        <v>0</v>
      </c>
      <c r="H471" s="90">
        <f t="shared" si="456"/>
        <v>0</v>
      </c>
      <c r="I471" s="90">
        <f t="shared" si="457"/>
        <v>0</v>
      </c>
      <c r="J471" s="90">
        <f t="shared" si="458"/>
        <v>0</v>
      </c>
      <c r="K471" s="90">
        <v>0</v>
      </c>
      <c r="L471" s="90">
        <f t="shared" si="459"/>
        <v>0</v>
      </c>
      <c r="M471" s="91" t="s">
        <v>622</v>
      </c>
      <c r="O471" s="90"/>
      <c r="P471" s="90"/>
      <c r="Z471" s="90">
        <f t="shared" si="460"/>
        <v>0</v>
      </c>
      <c r="AB471" s="90">
        <f t="shared" si="461"/>
        <v>0</v>
      </c>
      <c r="AC471" s="90">
        <f t="shared" si="462"/>
        <v>0</v>
      </c>
      <c r="AD471" s="90">
        <f t="shared" si="463"/>
        <v>0</v>
      </c>
      <c r="AE471" s="90">
        <f t="shared" si="464"/>
        <v>0</v>
      </c>
      <c r="AF471" s="90">
        <f t="shared" si="465"/>
        <v>0</v>
      </c>
      <c r="AG471" s="90">
        <f t="shared" si="466"/>
        <v>0</v>
      </c>
      <c r="AH471" s="90">
        <f t="shared" si="467"/>
        <v>0</v>
      </c>
      <c r="AI471" s="154" t="s">
        <v>60</v>
      </c>
      <c r="AJ471" s="90">
        <f t="shared" si="468"/>
        <v>0</v>
      </c>
      <c r="AK471" s="90">
        <f t="shared" si="469"/>
        <v>0</v>
      </c>
      <c r="AL471" s="90">
        <f t="shared" si="470"/>
        <v>0</v>
      </c>
      <c r="AN471" s="90">
        <v>21</v>
      </c>
      <c r="AO471" s="90">
        <f t="shared" si="471"/>
        <v>0</v>
      </c>
      <c r="AP471" s="90">
        <f t="shared" si="472"/>
        <v>0</v>
      </c>
      <c r="AQ471" s="91" t="s">
        <v>85</v>
      </c>
      <c r="AV471" s="90">
        <f t="shared" si="473"/>
        <v>0</v>
      </c>
      <c r="AW471" s="90">
        <f t="shared" si="474"/>
        <v>0</v>
      </c>
      <c r="AX471" s="90">
        <f t="shared" si="475"/>
        <v>0</v>
      </c>
      <c r="AY471" s="91" t="s">
        <v>645</v>
      </c>
      <c r="AZ471" s="91" t="s">
        <v>1538</v>
      </c>
      <c r="BA471" s="154" t="s">
        <v>1542</v>
      </c>
      <c r="BC471" s="90">
        <f t="shared" si="476"/>
        <v>0</v>
      </c>
      <c r="BD471" s="90">
        <f t="shared" si="477"/>
        <v>0</v>
      </c>
      <c r="BE471" s="90">
        <v>0</v>
      </c>
      <c r="BF471" s="90">
        <f t="shared" si="478"/>
        <v>0</v>
      </c>
      <c r="BH471" s="90">
        <f t="shared" si="479"/>
        <v>0</v>
      </c>
      <c r="BI471" s="90">
        <f t="shared" si="480"/>
        <v>0</v>
      </c>
      <c r="BJ471" s="90">
        <f t="shared" si="481"/>
        <v>0</v>
      </c>
    </row>
    <row r="472" spans="1:62" ht="12.75">
      <c r="A472" s="88" t="s">
        <v>921</v>
      </c>
      <c r="B472" s="88" t="s">
        <v>60</v>
      </c>
      <c r="C472" s="88" t="s">
        <v>1090</v>
      </c>
      <c r="D472" s="88" t="s">
        <v>539</v>
      </c>
      <c r="E472" s="88" t="s">
        <v>606</v>
      </c>
      <c r="F472" s="90">
        <v>2</v>
      </c>
      <c r="G472" s="90">
        <f>'Stavební rozpočet (SO 13)'!G306</f>
        <v>0</v>
      </c>
      <c r="H472" s="90">
        <f t="shared" si="456"/>
        <v>0</v>
      </c>
      <c r="I472" s="90">
        <f t="shared" si="457"/>
        <v>0</v>
      </c>
      <c r="J472" s="90">
        <f t="shared" si="458"/>
        <v>0</v>
      </c>
      <c r="K472" s="90">
        <v>0</v>
      </c>
      <c r="L472" s="90">
        <f t="shared" si="459"/>
        <v>0</v>
      </c>
      <c r="M472" s="91" t="s">
        <v>622</v>
      </c>
      <c r="O472" s="90"/>
      <c r="P472" s="90"/>
      <c r="Z472" s="90">
        <f t="shared" si="460"/>
        <v>0</v>
      </c>
      <c r="AB472" s="90">
        <f t="shared" si="461"/>
        <v>0</v>
      </c>
      <c r="AC472" s="90">
        <f t="shared" si="462"/>
        <v>0</v>
      </c>
      <c r="AD472" s="90">
        <f t="shared" si="463"/>
        <v>0</v>
      </c>
      <c r="AE472" s="90">
        <f t="shared" si="464"/>
        <v>0</v>
      </c>
      <c r="AF472" s="90">
        <f t="shared" si="465"/>
        <v>0</v>
      </c>
      <c r="AG472" s="90">
        <f t="shared" si="466"/>
        <v>0</v>
      </c>
      <c r="AH472" s="90">
        <f t="shared" si="467"/>
        <v>0</v>
      </c>
      <c r="AI472" s="154" t="s">
        <v>60</v>
      </c>
      <c r="AJ472" s="90">
        <f t="shared" si="468"/>
        <v>0</v>
      </c>
      <c r="AK472" s="90">
        <f t="shared" si="469"/>
        <v>0</v>
      </c>
      <c r="AL472" s="90">
        <f t="shared" si="470"/>
        <v>0</v>
      </c>
      <c r="AN472" s="90">
        <v>21</v>
      </c>
      <c r="AO472" s="90">
        <f t="shared" si="471"/>
        <v>0</v>
      </c>
      <c r="AP472" s="90">
        <f t="shared" si="472"/>
        <v>0</v>
      </c>
      <c r="AQ472" s="91" t="s">
        <v>85</v>
      </c>
      <c r="AV472" s="90">
        <f t="shared" si="473"/>
        <v>0</v>
      </c>
      <c r="AW472" s="90">
        <f t="shared" si="474"/>
        <v>0</v>
      </c>
      <c r="AX472" s="90">
        <f t="shared" si="475"/>
        <v>0</v>
      </c>
      <c r="AY472" s="91" t="s">
        <v>645</v>
      </c>
      <c r="AZ472" s="91" t="s">
        <v>1538</v>
      </c>
      <c r="BA472" s="154" t="s">
        <v>1542</v>
      </c>
      <c r="BC472" s="90">
        <f t="shared" si="476"/>
        <v>0</v>
      </c>
      <c r="BD472" s="90">
        <f t="shared" si="477"/>
        <v>0</v>
      </c>
      <c r="BE472" s="90">
        <v>0</v>
      </c>
      <c r="BF472" s="90">
        <f t="shared" si="478"/>
        <v>0</v>
      </c>
      <c r="BH472" s="90">
        <f t="shared" si="479"/>
        <v>0</v>
      </c>
      <c r="BI472" s="90">
        <f t="shared" si="480"/>
        <v>0</v>
      </c>
      <c r="BJ472" s="90">
        <f t="shared" si="481"/>
        <v>0</v>
      </c>
    </row>
    <row r="473" spans="1:62" ht="12.75">
      <c r="A473" s="88" t="s">
        <v>922</v>
      </c>
      <c r="B473" s="88" t="s">
        <v>60</v>
      </c>
      <c r="C473" s="88" t="s">
        <v>1091</v>
      </c>
      <c r="D473" s="88" t="s">
        <v>1399</v>
      </c>
      <c r="E473" s="88" t="s">
        <v>606</v>
      </c>
      <c r="F473" s="90">
        <v>4</v>
      </c>
      <c r="G473" s="90">
        <f>'Stavební rozpočet (SO 13)'!G307</f>
        <v>0</v>
      </c>
      <c r="H473" s="90">
        <f t="shared" si="456"/>
        <v>0</v>
      </c>
      <c r="I473" s="90">
        <f t="shared" si="457"/>
        <v>0</v>
      </c>
      <c r="J473" s="90">
        <f t="shared" si="458"/>
        <v>0</v>
      </c>
      <c r="K473" s="90">
        <v>0</v>
      </c>
      <c r="L473" s="90">
        <f t="shared" si="459"/>
        <v>0</v>
      </c>
      <c r="M473" s="91" t="s">
        <v>622</v>
      </c>
      <c r="O473" s="90"/>
      <c r="P473" s="90"/>
      <c r="Z473" s="90">
        <f t="shared" si="460"/>
        <v>0</v>
      </c>
      <c r="AB473" s="90">
        <f t="shared" si="461"/>
        <v>0</v>
      </c>
      <c r="AC473" s="90">
        <f t="shared" si="462"/>
        <v>0</v>
      </c>
      <c r="AD473" s="90">
        <f t="shared" si="463"/>
        <v>0</v>
      </c>
      <c r="AE473" s="90">
        <f t="shared" si="464"/>
        <v>0</v>
      </c>
      <c r="AF473" s="90">
        <f t="shared" si="465"/>
        <v>0</v>
      </c>
      <c r="AG473" s="90">
        <f t="shared" si="466"/>
        <v>0</v>
      </c>
      <c r="AH473" s="90">
        <f t="shared" si="467"/>
        <v>0</v>
      </c>
      <c r="AI473" s="154" t="s">
        <v>60</v>
      </c>
      <c r="AJ473" s="90">
        <f t="shared" si="468"/>
        <v>0</v>
      </c>
      <c r="AK473" s="90">
        <f t="shared" si="469"/>
        <v>0</v>
      </c>
      <c r="AL473" s="90">
        <f t="shared" si="470"/>
        <v>0</v>
      </c>
      <c r="AN473" s="90">
        <v>21</v>
      </c>
      <c r="AO473" s="90">
        <f t="shared" si="471"/>
        <v>0</v>
      </c>
      <c r="AP473" s="90">
        <f t="shared" si="472"/>
        <v>0</v>
      </c>
      <c r="AQ473" s="91" t="s">
        <v>85</v>
      </c>
      <c r="AV473" s="90">
        <f t="shared" si="473"/>
        <v>0</v>
      </c>
      <c r="AW473" s="90">
        <f t="shared" si="474"/>
        <v>0</v>
      </c>
      <c r="AX473" s="90">
        <f t="shared" si="475"/>
        <v>0</v>
      </c>
      <c r="AY473" s="91" t="s">
        <v>645</v>
      </c>
      <c r="AZ473" s="91" t="s">
        <v>1538</v>
      </c>
      <c r="BA473" s="154" t="s">
        <v>1542</v>
      </c>
      <c r="BC473" s="90">
        <f t="shared" si="476"/>
        <v>0</v>
      </c>
      <c r="BD473" s="90">
        <f t="shared" si="477"/>
        <v>0</v>
      </c>
      <c r="BE473" s="90">
        <v>0</v>
      </c>
      <c r="BF473" s="90">
        <f t="shared" si="478"/>
        <v>0</v>
      </c>
      <c r="BH473" s="90">
        <f t="shared" si="479"/>
        <v>0</v>
      </c>
      <c r="BI473" s="90">
        <f t="shared" si="480"/>
        <v>0</v>
      </c>
      <c r="BJ473" s="90">
        <f t="shared" si="481"/>
        <v>0</v>
      </c>
    </row>
    <row r="474" spans="1:62" ht="12.75">
      <c r="A474" s="88" t="s">
        <v>923</v>
      </c>
      <c r="B474" s="88" t="s">
        <v>60</v>
      </c>
      <c r="C474" s="88" t="s">
        <v>1092</v>
      </c>
      <c r="D474" s="88" t="s">
        <v>540</v>
      </c>
      <c r="E474" s="88" t="s">
        <v>606</v>
      </c>
      <c r="F474" s="90">
        <v>1</v>
      </c>
      <c r="G474" s="90">
        <f>'Stavební rozpočet (SO 13)'!G308</f>
        <v>0</v>
      </c>
      <c r="H474" s="90">
        <f t="shared" si="456"/>
        <v>0</v>
      </c>
      <c r="I474" s="90">
        <f t="shared" si="457"/>
        <v>0</v>
      </c>
      <c r="J474" s="90">
        <f t="shared" si="458"/>
        <v>0</v>
      </c>
      <c r="K474" s="90">
        <v>0</v>
      </c>
      <c r="L474" s="90">
        <f t="shared" si="459"/>
        <v>0</v>
      </c>
      <c r="M474" s="91" t="s">
        <v>622</v>
      </c>
      <c r="O474" s="90"/>
      <c r="P474" s="90"/>
      <c r="Z474" s="90">
        <f t="shared" si="460"/>
        <v>0</v>
      </c>
      <c r="AB474" s="90">
        <f t="shared" si="461"/>
        <v>0</v>
      </c>
      <c r="AC474" s="90">
        <f t="shared" si="462"/>
        <v>0</v>
      </c>
      <c r="AD474" s="90">
        <f t="shared" si="463"/>
        <v>0</v>
      </c>
      <c r="AE474" s="90">
        <f t="shared" si="464"/>
        <v>0</v>
      </c>
      <c r="AF474" s="90">
        <f t="shared" si="465"/>
        <v>0</v>
      </c>
      <c r="AG474" s="90">
        <f t="shared" si="466"/>
        <v>0</v>
      </c>
      <c r="AH474" s="90">
        <f t="shared" si="467"/>
        <v>0</v>
      </c>
      <c r="AI474" s="154" t="s">
        <v>60</v>
      </c>
      <c r="AJ474" s="90">
        <f t="shared" si="468"/>
        <v>0</v>
      </c>
      <c r="AK474" s="90">
        <f t="shared" si="469"/>
        <v>0</v>
      </c>
      <c r="AL474" s="90">
        <f t="shared" si="470"/>
        <v>0</v>
      </c>
      <c r="AN474" s="90">
        <v>21</v>
      </c>
      <c r="AO474" s="90">
        <f t="shared" si="471"/>
        <v>0</v>
      </c>
      <c r="AP474" s="90">
        <f t="shared" si="472"/>
        <v>0</v>
      </c>
      <c r="AQ474" s="91" t="s">
        <v>85</v>
      </c>
      <c r="AV474" s="90">
        <f t="shared" si="473"/>
        <v>0</v>
      </c>
      <c r="AW474" s="90">
        <f t="shared" si="474"/>
        <v>0</v>
      </c>
      <c r="AX474" s="90">
        <f t="shared" si="475"/>
        <v>0</v>
      </c>
      <c r="AY474" s="91" t="s">
        <v>645</v>
      </c>
      <c r="AZ474" s="91" t="s">
        <v>1538</v>
      </c>
      <c r="BA474" s="154" t="s">
        <v>1542</v>
      </c>
      <c r="BC474" s="90">
        <f t="shared" si="476"/>
        <v>0</v>
      </c>
      <c r="BD474" s="90">
        <f t="shared" si="477"/>
        <v>0</v>
      </c>
      <c r="BE474" s="90">
        <v>0</v>
      </c>
      <c r="BF474" s="90">
        <f t="shared" si="478"/>
        <v>0</v>
      </c>
      <c r="BH474" s="90">
        <f t="shared" si="479"/>
        <v>0</v>
      </c>
      <c r="BI474" s="90">
        <f t="shared" si="480"/>
        <v>0</v>
      </c>
      <c r="BJ474" s="90">
        <f t="shared" si="481"/>
        <v>0</v>
      </c>
    </row>
    <row r="475" spans="1:62" ht="12.75">
      <c r="A475" s="88" t="s">
        <v>924</v>
      </c>
      <c r="B475" s="88" t="s">
        <v>60</v>
      </c>
      <c r="C475" s="88" t="s">
        <v>1093</v>
      </c>
      <c r="D475" s="88" t="s">
        <v>501</v>
      </c>
      <c r="E475" s="88" t="s">
        <v>611</v>
      </c>
      <c r="F475" s="90">
        <v>20</v>
      </c>
      <c r="G475" s="90">
        <f>'Stavební rozpočet (SO 13)'!G309</f>
        <v>0</v>
      </c>
      <c r="H475" s="90">
        <f t="shared" si="456"/>
        <v>0</v>
      </c>
      <c r="I475" s="90">
        <f t="shared" si="457"/>
        <v>0</v>
      </c>
      <c r="J475" s="90">
        <f t="shared" si="458"/>
        <v>0</v>
      </c>
      <c r="K475" s="90">
        <v>0</v>
      </c>
      <c r="L475" s="90">
        <f t="shared" si="459"/>
        <v>0</v>
      </c>
      <c r="M475" s="91" t="s">
        <v>622</v>
      </c>
      <c r="O475" s="90"/>
      <c r="P475" s="90"/>
      <c r="Z475" s="90">
        <f t="shared" si="460"/>
        <v>0</v>
      </c>
      <c r="AB475" s="90">
        <f t="shared" si="461"/>
        <v>0</v>
      </c>
      <c r="AC475" s="90">
        <f t="shared" si="462"/>
        <v>0</v>
      </c>
      <c r="AD475" s="90">
        <f t="shared" si="463"/>
        <v>0</v>
      </c>
      <c r="AE475" s="90">
        <f t="shared" si="464"/>
        <v>0</v>
      </c>
      <c r="AF475" s="90">
        <f t="shared" si="465"/>
        <v>0</v>
      </c>
      <c r="AG475" s="90">
        <f t="shared" si="466"/>
        <v>0</v>
      </c>
      <c r="AH475" s="90">
        <f t="shared" si="467"/>
        <v>0</v>
      </c>
      <c r="AI475" s="154" t="s">
        <v>60</v>
      </c>
      <c r="AJ475" s="90">
        <f t="shared" si="468"/>
        <v>0</v>
      </c>
      <c r="AK475" s="90">
        <f t="shared" si="469"/>
        <v>0</v>
      </c>
      <c r="AL475" s="90">
        <f t="shared" si="470"/>
        <v>0</v>
      </c>
      <c r="AN475" s="90">
        <v>21</v>
      </c>
      <c r="AO475" s="90">
        <f t="shared" si="471"/>
        <v>0</v>
      </c>
      <c r="AP475" s="90">
        <f t="shared" si="472"/>
        <v>0</v>
      </c>
      <c r="AQ475" s="91" t="s">
        <v>85</v>
      </c>
      <c r="AV475" s="90">
        <f t="shared" si="473"/>
        <v>0</v>
      </c>
      <c r="AW475" s="90">
        <f t="shared" si="474"/>
        <v>0</v>
      </c>
      <c r="AX475" s="90">
        <f t="shared" si="475"/>
        <v>0</v>
      </c>
      <c r="AY475" s="91" t="s">
        <v>645</v>
      </c>
      <c r="AZ475" s="91" t="s">
        <v>1538</v>
      </c>
      <c r="BA475" s="154" t="s">
        <v>1542</v>
      </c>
      <c r="BC475" s="90">
        <f t="shared" si="476"/>
        <v>0</v>
      </c>
      <c r="BD475" s="90">
        <f t="shared" si="477"/>
        <v>0</v>
      </c>
      <c r="BE475" s="90">
        <v>0</v>
      </c>
      <c r="BF475" s="90">
        <f t="shared" si="478"/>
        <v>0</v>
      </c>
      <c r="BH475" s="90">
        <f t="shared" si="479"/>
        <v>0</v>
      </c>
      <c r="BI475" s="90">
        <f t="shared" si="480"/>
        <v>0</v>
      </c>
      <c r="BJ475" s="90">
        <f t="shared" si="481"/>
        <v>0</v>
      </c>
    </row>
    <row r="476" spans="1:62" ht="12.75">
      <c r="A476" s="88" t="s">
        <v>925</v>
      </c>
      <c r="B476" s="88" t="s">
        <v>60</v>
      </c>
      <c r="C476" s="88" t="s">
        <v>1094</v>
      </c>
      <c r="D476" s="88" t="s">
        <v>502</v>
      </c>
      <c r="E476" s="88" t="s">
        <v>606</v>
      </c>
      <c r="F476" s="90">
        <v>1</v>
      </c>
      <c r="G476" s="90">
        <f>'Stavební rozpočet (SO 13)'!G310</f>
        <v>0</v>
      </c>
      <c r="H476" s="90">
        <f t="shared" si="456"/>
        <v>0</v>
      </c>
      <c r="I476" s="90">
        <f t="shared" si="457"/>
        <v>0</v>
      </c>
      <c r="J476" s="90">
        <f t="shared" si="458"/>
        <v>0</v>
      </c>
      <c r="K476" s="90">
        <v>0</v>
      </c>
      <c r="L476" s="90">
        <f t="shared" si="459"/>
        <v>0</v>
      </c>
      <c r="M476" s="91" t="s">
        <v>622</v>
      </c>
      <c r="O476" s="90"/>
      <c r="P476" s="90"/>
      <c r="Z476" s="90">
        <f t="shared" si="460"/>
        <v>0</v>
      </c>
      <c r="AB476" s="90">
        <f t="shared" si="461"/>
        <v>0</v>
      </c>
      <c r="AC476" s="90">
        <f t="shared" si="462"/>
        <v>0</v>
      </c>
      <c r="AD476" s="90">
        <f t="shared" si="463"/>
        <v>0</v>
      </c>
      <c r="AE476" s="90">
        <f t="shared" si="464"/>
        <v>0</v>
      </c>
      <c r="AF476" s="90">
        <f t="shared" si="465"/>
        <v>0</v>
      </c>
      <c r="AG476" s="90">
        <f t="shared" si="466"/>
        <v>0</v>
      </c>
      <c r="AH476" s="90">
        <f t="shared" si="467"/>
        <v>0</v>
      </c>
      <c r="AI476" s="154" t="s">
        <v>60</v>
      </c>
      <c r="AJ476" s="90">
        <f t="shared" si="468"/>
        <v>0</v>
      </c>
      <c r="AK476" s="90">
        <f t="shared" si="469"/>
        <v>0</v>
      </c>
      <c r="AL476" s="90">
        <f t="shared" si="470"/>
        <v>0</v>
      </c>
      <c r="AN476" s="90">
        <v>21</v>
      </c>
      <c r="AO476" s="90">
        <f t="shared" si="471"/>
        <v>0</v>
      </c>
      <c r="AP476" s="90">
        <f t="shared" si="472"/>
        <v>0</v>
      </c>
      <c r="AQ476" s="91" t="s">
        <v>85</v>
      </c>
      <c r="AV476" s="90">
        <f t="shared" si="473"/>
        <v>0</v>
      </c>
      <c r="AW476" s="90">
        <f t="shared" si="474"/>
        <v>0</v>
      </c>
      <c r="AX476" s="90">
        <f t="shared" si="475"/>
        <v>0</v>
      </c>
      <c r="AY476" s="91" t="s">
        <v>645</v>
      </c>
      <c r="AZ476" s="91" t="s">
        <v>1538</v>
      </c>
      <c r="BA476" s="154" t="s">
        <v>1542</v>
      </c>
      <c r="BC476" s="90">
        <f t="shared" si="476"/>
        <v>0</v>
      </c>
      <c r="BD476" s="90">
        <f t="shared" si="477"/>
        <v>0</v>
      </c>
      <c r="BE476" s="90">
        <v>0</v>
      </c>
      <c r="BF476" s="90">
        <f t="shared" si="478"/>
        <v>0</v>
      </c>
      <c r="BH476" s="90">
        <f t="shared" si="479"/>
        <v>0</v>
      </c>
      <c r="BI476" s="90">
        <f t="shared" si="480"/>
        <v>0</v>
      </c>
      <c r="BJ476" s="90">
        <f t="shared" si="481"/>
        <v>0</v>
      </c>
    </row>
    <row r="477" spans="1:62" ht="12.75">
      <c r="A477" s="88" t="s">
        <v>926</v>
      </c>
      <c r="B477" s="88" t="s">
        <v>60</v>
      </c>
      <c r="C477" s="88" t="s">
        <v>1095</v>
      </c>
      <c r="D477" s="88" t="s">
        <v>543</v>
      </c>
      <c r="E477" s="88" t="s">
        <v>606</v>
      </c>
      <c r="F477" s="90">
        <v>1</v>
      </c>
      <c r="G477" s="90">
        <f>'Stavební rozpočet (SO 13)'!G311</f>
        <v>0</v>
      </c>
      <c r="H477" s="90">
        <f t="shared" si="456"/>
        <v>0</v>
      </c>
      <c r="I477" s="90">
        <f t="shared" si="457"/>
        <v>0</v>
      </c>
      <c r="J477" s="90">
        <f t="shared" si="458"/>
        <v>0</v>
      </c>
      <c r="K477" s="90">
        <v>0</v>
      </c>
      <c r="L477" s="90">
        <f t="shared" si="459"/>
        <v>0</v>
      </c>
      <c r="M477" s="91" t="s">
        <v>622</v>
      </c>
      <c r="O477" s="90"/>
      <c r="P477" s="90"/>
      <c r="Z477" s="90">
        <f t="shared" si="460"/>
        <v>0</v>
      </c>
      <c r="AB477" s="90">
        <f t="shared" si="461"/>
        <v>0</v>
      </c>
      <c r="AC477" s="90">
        <f t="shared" si="462"/>
        <v>0</v>
      </c>
      <c r="AD477" s="90">
        <f t="shared" si="463"/>
        <v>0</v>
      </c>
      <c r="AE477" s="90">
        <f t="shared" si="464"/>
        <v>0</v>
      </c>
      <c r="AF477" s="90">
        <f t="shared" si="465"/>
        <v>0</v>
      </c>
      <c r="AG477" s="90">
        <f t="shared" si="466"/>
        <v>0</v>
      </c>
      <c r="AH477" s="90">
        <f t="shared" si="467"/>
        <v>0</v>
      </c>
      <c r="AI477" s="154" t="s">
        <v>60</v>
      </c>
      <c r="AJ477" s="90">
        <f t="shared" si="468"/>
        <v>0</v>
      </c>
      <c r="AK477" s="90">
        <f t="shared" si="469"/>
        <v>0</v>
      </c>
      <c r="AL477" s="90">
        <f t="shared" si="470"/>
        <v>0</v>
      </c>
      <c r="AN477" s="90">
        <v>21</v>
      </c>
      <c r="AO477" s="90">
        <f t="shared" si="471"/>
        <v>0</v>
      </c>
      <c r="AP477" s="90">
        <f t="shared" si="472"/>
        <v>0</v>
      </c>
      <c r="AQ477" s="91" t="s">
        <v>85</v>
      </c>
      <c r="AV477" s="90">
        <f t="shared" si="473"/>
        <v>0</v>
      </c>
      <c r="AW477" s="90">
        <f t="shared" si="474"/>
        <v>0</v>
      </c>
      <c r="AX477" s="90">
        <f t="shared" si="475"/>
        <v>0</v>
      </c>
      <c r="AY477" s="91" t="s">
        <v>645</v>
      </c>
      <c r="AZ477" s="91" t="s">
        <v>1538</v>
      </c>
      <c r="BA477" s="154" t="s">
        <v>1542</v>
      </c>
      <c r="BC477" s="90">
        <f t="shared" si="476"/>
        <v>0</v>
      </c>
      <c r="BD477" s="90">
        <f t="shared" si="477"/>
        <v>0</v>
      </c>
      <c r="BE477" s="90">
        <v>0</v>
      </c>
      <c r="BF477" s="90">
        <f t="shared" si="478"/>
        <v>0</v>
      </c>
      <c r="BH477" s="90">
        <f t="shared" si="479"/>
        <v>0</v>
      </c>
      <c r="BI477" s="90">
        <f t="shared" si="480"/>
        <v>0</v>
      </c>
      <c r="BJ477" s="90">
        <f t="shared" si="481"/>
        <v>0</v>
      </c>
    </row>
    <row r="478" spans="1:62" ht="12.75">
      <c r="A478" s="88" t="s">
        <v>927</v>
      </c>
      <c r="B478" s="88" t="s">
        <v>60</v>
      </c>
      <c r="C478" s="88" t="s">
        <v>1096</v>
      </c>
      <c r="D478" s="88" t="s">
        <v>490</v>
      </c>
      <c r="E478" s="88" t="s">
        <v>606</v>
      </c>
      <c r="F478" s="90">
        <v>1</v>
      </c>
      <c r="G478" s="90">
        <f>'Stavební rozpočet (SO 13)'!G312</f>
        <v>0</v>
      </c>
      <c r="H478" s="90">
        <f t="shared" si="456"/>
        <v>0</v>
      </c>
      <c r="I478" s="90">
        <f t="shared" si="457"/>
        <v>0</v>
      </c>
      <c r="J478" s="90">
        <f t="shared" si="458"/>
        <v>0</v>
      </c>
      <c r="K478" s="90">
        <v>0</v>
      </c>
      <c r="L478" s="90">
        <f t="shared" si="459"/>
        <v>0</v>
      </c>
      <c r="M478" s="91" t="s">
        <v>622</v>
      </c>
      <c r="O478" s="90"/>
      <c r="P478" s="90"/>
      <c r="Z478" s="90">
        <f t="shared" si="460"/>
        <v>0</v>
      </c>
      <c r="AB478" s="90">
        <f t="shared" si="461"/>
        <v>0</v>
      </c>
      <c r="AC478" s="90">
        <f t="shared" si="462"/>
        <v>0</v>
      </c>
      <c r="AD478" s="90">
        <f t="shared" si="463"/>
        <v>0</v>
      </c>
      <c r="AE478" s="90">
        <f t="shared" si="464"/>
        <v>0</v>
      </c>
      <c r="AF478" s="90">
        <f t="shared" si="465"/>
        <v>0</v>
      </c>
      <c r="AG478" s="90">
        <f t="shared" si="466"/>
        <v>0</v>
      </c>
      <c r="AH478" s="90">
        <f t="shared" si="467"/>
        <v>0</v>
      </c>
      <c r="AI478" s="154" t="s">
        <v>60</v>
      </c>
      <c r="AJ478" s="90">
        <f t="shared" si="468"/>
        <v>0</v>
      </c>
      <c r="AK478" s="90">
        <f t="shared" si="469"/>
        <v>0</v>
      </c>
      <c r="AL478" s="90">
        <f t="shared" si="470"/>
        <v>0</v>
      </c>
      <c r="AN478" s="90">
        <v>21</v>
      </c>
      <c r="AO478" s="90">
        <f t="shared" si="471"/>
        <v>0</v>
      </c>
      <c r="AP478" s="90">
        <f t="shared" si="472"/>
        <v>0</v>
      </c>
      <c r="AQ478" s="91" t="s">
        <v>85</v>
      </c>
      <c r="AV478" s="90">
        <f t="shared" si="473"/>
        <v>0</v>
      </c>
      <c r="AW478" s="90">
        <f t="shared" si="474"/>
        <v>0</v>
      </c>
      <c r="AX478" s="90">
        <f t="shared" si="475"/>
        <v>0</v>
      </c>
      <c r="AY478" s="91" t="s">
        <v>645</v>
      </c>
      <c r="AZ478" s="91" t="s">
        <v>1538</v>
      </c>
      <c r="BA478" s="154" t="s">
        <v>1542</v>
      </c>
      <c r="BC478" s="90">
        <f t="shared" si="476"/>
        <v>0</v>
      </c>
      <c r="BD478" s="90">
        <f t="shared" si="477"/>
        <v>0</v>
      </c>
      <c r="BE478" s="90">
        <v>0</v>
      </c>
      <c r="BF478" s="90">
        <f t="shared" si="478"/>
        <v>0</v>
      </c>
      <c r="BH478" s="90">
        <f t="shared" si="479"/>
        <v>0</v>
      </c>
      <c r="BI478" s="90">
        <f t="shared" si="480"/>
        <v>0</v>
      </c>
      <c r="BJ478" s="90">
        <f t="shared" si="481"/>
        <v>0</v>
      </c>
    </row>
    <row r="479" spans="1:62" ht="12.75">
      <c r="A479" s="88" t="s">
        <v>928</v>
      </c>
      <c r="B479" s="88" t="s">
        <v>60</v>
      </c>
      <c r="C479" s="88" t="s">
        <v>1097</v>
      </c>
      <c r="D479" s="88" t="s">
        <v>489</v>
      </c>
      <c r="E479" s="88" t="s">
        <v>606</v>
      </c>
      <c r="F479" s="90">
        <v>1</v>
      </c>
      <c r="G479" s="90">
        <f>'Stavební rozpočet (SO 13)'!G313</f>
        <v>0</v>
      </c>
      <c r="H479" s="90">
        <f t="shared" si="456"/>
        <v>0</v>
      </c>
      <c r="I479" s="90">
        <f t="shared" si="457"/>
        <v>0</v>
      </c>
      <c r="J479" s="90">
        <f t="shared" si="458"/>
        <v>0</v>
      </c>
      <c r="K479" s="90">
        <v>0</v>
      </c>
      <c r="L479" s="90">
        <f t="shared" si="459"/>
        <v>0</v>
      </c>
      <c r="M479" s="91" t="s">
        <v>622</v>
      </c>
      <c r="O479" s="90"/>
      <c r="P479" s="90"/>
      <c r="Z479" s="90">
        <f t="shared" si="460"/>
        <v>0</v>
      </c>
      <c r="AB479" s="90">
        <f t="shared" si="461"/>
        <v>0</v>
      </c>
      <c r="AC479" s="90">
        <f t="shared" si="462"/>
        <v>0</v>
      </c>
      <c r="AD479" s="90">
        <f t="shared" si="463"/>
        <v>0</v>
      </c>
      <c r="AE479" s="90">
        <f t="shared" si="464"/>
        <v>0</v>
      </c>
      <c r="AF479" s="90">
        <f t="shared" si="465"/>
        <v>0</v>
      </c>
      <c r="AG479" s="90">
        <f t="shared" si="466"/>
        <v>0</v>
      </c>
      <c r="AH479" s="90">
        <f t="shared" si="467"/>
        <v>0</v>
      </c>
      <c r="AI479" s="154" t="s">
        <v>60</v>
      </c>
      <c r="AJ479" s="90">
        <f t="shared" si="468"/>
        <v>0</v>
      </c>
      <c r="AK479" s="90">
        <f t="shared" si="469"/>
        <v>0</v>
      </c>
      <c r="AL479" s="90">
        <f t="shared" si="470"/>
        <v>0</v>
      </c>
      <c r="AN479" s="90">
        <v>21</v>
      </c>
      <c r="AO479" s="90">
        <f t="shared" si="471"/>
        <v>0</v>
      </c>
      <c r="AP479" s="90">
        <f t="shared" si="472"/>
        <v>0</v>
      </c>
      <c r="AQ479" s="91" t="s">
        <v>85</v>
      </c>
      <c r="AV479" s="90">
        <f t="shared" si="473"/>
        <v>0</v>
      </c>
      <c r="AW479" s="90">
        <f t="shared" si="474"/>
        <v>0</v>
      </c>
      <c r="AX479" s="90">
        <f t="shared" si="475"/>
        <v>0</v>
      </c>
      <c r="AY479" s="91" t="s">
        <v>645</v>
      </c>
      <c r="AZ479" s="91" t="s">
        <v>1538</v>
      </c>
      <c r="BA479" s="154" t="s">
        <v>1542</v>
      </c>
      <c r="BC479" s="90">
        <f t="shared" si="476"/>
        <v>0</v>
      </c>
      <c r="BD479" s="90">
        <f t="shared" si="477"/>
        <v>0</v>
      </c>
      <c r="BE479" s="90">
        <v>0</v>
      </c>
      <c r="BF479" s="90">
        <f t="shared" si="478"/>
        <v>0</v>
      </c>
      <c r="BH479" s="90">
        <f t="shared" si="479"/>
        <v>0</v>
      </c>
      <c r="BI479" s="90">
        <f t="shared" si="480"/>
        <v>0</v>
      </c>
      <c r="BJ479" s="90">
        <f t="shared" si="481"/>
        <v>0</v>
      </c>
    </row>
    <row r="480" spans="1:62" ht="12.75">
      <c r="A480" s="88" t="s">
        <v>929</v>
      </c>
      <c r="B480" s="88" t="s">
        <v>60</v>
      </c>
      <c r="C480" s="88" t="s">
        <v>1098</v>
      </c>
      <c r="D480" s="88" t="s">
        <v>492</v>
      </c>
      <c r="E480" s="88" t="s">
        <v>606</v>
      </c>
      <c r="F480" s="90">
        <v>1</v>
      </c>
      <c r="G480" s="90">
        <f>'Stavební rozpočet (SO 13)'!G314</f>
        <v>0</v>
      </c>
      <c r="H480" s="90">
        <f t="shared" si="456"/>
        <v>0</v>
      </c>
      <c r="I480" s="90">
        <f t="shared" si="457"/>
        <v>0</v>
      </c>
      <c r="J480" s="90">
        <f t="shared" si="458"/>
        <v>0</v>
      </c>
      <c r="K480" s="90">
        <v>0</v>
      </c>
      <c r="L480" s="90">
        <f t="shared" si="459"/>
        <v>0</v>
      </c>
      <c r="M480" s="91" t="s">
        <v>622</v>
      </c>
      <c r="O480" s="90"/>
      <c r="P480" s="90"/>
      <c r="Z480" s="90">
        <f t="shared" si="460"/>
        <v>0</v>
      </c>
      <c r="AB480" s="90">
        <f t="shared" si="461"/>
        <v>0</v>
      </c>
      <c r="AC480" s="90">
        <f t="shared" si="462"/>
        <v>0</v>
      </c>
      <c r="AD480" s="90">
        <f t="shared" si="463"/>
        <v>0</v>
      </c>
      <c r="AE480" s="90">
        <f t="shared" si="464"/>
        <v>0</v>
      </c>
      <c r="AF480" s="90">
        <f t="shared" si="465"/>
        <v>0</v>
      </c>
      <c r="AG480" s="90">
        <f t="shared" si="466"/>
        <v>0</v>
      </c>
      <c r="AH480" s="90">
        <f t="shared" si="467"/>
        <v>0</v>
      </c>
      <c r="AI480" s="154" t="s">
        <v>60</v>
      </c>
      <c r="AJ480" s="90">
        <f t="shared" si="468"/>
        <v>0</v>
      </c>
      <c r="AK480" s="90">
        <f t="shared" si="469"/>
        <v>0</v>
      </c>
      <c r="AL480" s="90">
        <f t="shared" si="470"/>
        <v>0</v>
      </c>
      <c r="AN480" s="90">
        <v>21</v>
      </c>
      <c r="AO480" s="90">
        <f t="shared" si="471"/>
        <v>0</v>
      </c>
      <c r="AP480" s="90">
        <f t="shared" si="472"/>
        <v>0</v>
      </c>
      <c r="AQ480" s="91" t="s">
        <v>85</v>
      </c>
      <c r="AV480" s="90">
        <f t="shared" si="473"/>
        <v>0</v>
      </c>
      <c r="AW480" s="90">
        <f t="shared" si="474"/>
        <v>0</v>
      </c>
      <c r="AX480" s="90">
        <f t="shared" si="475"/>
        <v>0</v>
      </c>
      <c r="AY480" s="91" t="s">
        <v>645</v>
      </c>
      <c r="AZ480" s="91" t="s">
        <v>1538</v>
      </c>
      <c r="BA480" s="154" t="s">
        <v>1542</v>
      </c>
      <c r="BC480" s="90">
        <f t="shared" si="476"/>
        <v>0</v>
      </c>
      <c r="BD480" s="90">
        <f t="shared" si="477"/>
        <v>0</v>
      </c>
      <c r="BE480" s="90">
        <v>0</v>
      </c>
      <c r="BF480" s="90">
        <f t="shared" si="478"/>
        <v>0</v>
      </c>
      <c r="BH480" s="90">
        <f t="shared" si="479"/>
        <v>0</v>
      </c>
      <c r="BI480" s="90">
        <f t="shared" si="480"/>
        <v>0</v>
      </c>
      <c r="BJ480" s="90">
        <f t="shared" si="481"/>
        <v>0</v>
      </c>
    </row>
    <row r="481" spans="1:62" ht="12.75">
      <c r="A481" s="88" t="s">
        <v>930</v>
      </c>
      <c r="B481" s="88" t="s">
        <v>60</v>
      </c>
      <c r="C481" s="88" t="s">
        <v>1099</v>
      </c>
      <c r="D481" s="88" t="s">
        <v>493</v>
      </c>
      <c r="E481" s="88" t="s">
        <v>606</v>
      </c>
      <c r="F481" s="90">
        <v>1</v>
      </c>
      <c r="G481" s="90">
        <f>'Stavební rozpočet (SO 13)'!G315</f>
        <v>0</v>
      </c>
      <c r="H481" s="90">
        <f t="shared" si="456"/>
        <v>0</v>
      </c>
      <c r="I481" s="90">
        <f t="shared" si="457"/>
        <v>0</v>
      </c>
      <c r="J481" s="90">
        <f t="shared" si="458"/>
        <v>0</v>
      </c>
      <c r="K481" s="90">
        <v>0</v>
      </c>
      <c r="L481" s="90">
        <f t="shared" si="459"/>
        <v>0</v>
      </c>
      <c r="M481" s="91" t="s">
        <v>622</v>
      </c>
      <c r="O481" s="90"/>
      <c r="P481" s="90"/>
      <c r="Z481" s="90">
        <f t="shared" si="460"/>
        <v>0</v>
      </c>
      <c r="AB481" s="90">
        <f t="shared" si="461"/>
        <v>0</v>
      </c>
      <c r="AC481" s="90">
        <f t="shared" si="462"/>
        <v>0</v>
      </c>
      <c r="AD481" s="90">
        <f t="shared" si="463"/>
        <v>0</v>
      </c>
      <c r="AE481" s="90">
        <f t="shared" si="464"/>
        <v>0</v>
      </c>
      <c r="AF481" s="90">
        <f t="shared" si="465"/>
        <v>0</v>
      </c>
      <c r="AG481" s="90">
        <f t="shared" si="466"/>
        <v>0</v>
      </c>
      <c r="AH481" s="90">
        <f t="shared" si="467"/>
        <v>0</v>
      </c>
      <c r="AI481" s="154" t="s">
        <v>60</v>
      </c>
      <c r="AJ481" s="90">
        <f t="shared" si="468"/>
        <v>0</v>
      </c>
      <c r="AK481" s="90">
        <f t="shared" si="469"/>
        <v>0</v>
      </c>
      <c r="AL481" s="90">
        <f t="shared" si="470"/>
        <v>0</v>
      </c>
      <c r="AN481" s="90">
        <v>21</v>
      </c>
      <c r="AO481" s="90">
        <f t="shared" si="471"/>
        <v>0</v>
      </c>
      <c r="AP481" s="90">
        <f t="shared" si="472"/>
        <v>0</v>
      </c>
      <c r="AQ481" s="91" t="s">
        <v>85</v>
      </c>
      <c r="AV481" s="90">
        <f t="shared" si="473"/>
        <v>0</v>
      </c>
      <c r="AW481" s="90">
        <f t="shared" si="474"/>
        <v>0</v>
      </c>
      <c r="AX481" s="90">
        <f t="shared" si="475"/>
        <v>0</v>
      </c>
      <c r="AY481" s="91" t="s">
        <v>645</v>
      </c>
      <c r="AZ481" s="91" t="s">
        <v>1538</v>
      </c>
      <c r="BA481" s="154" t="s">
        <v>1542</v>
      </c>
      <c r="BC481" s="90">
        <f t="shared" si="476"/>
        <v>0</v>
      </c>
      <c r="BD481" s="90">
        <f t="shared" si="477"/>
        <v>0</v>
      </c>
      <c r="BE481" s="90">
        <v>0</v>
      </c>
      <c r="BF481" s="90">
        <f t="shared" si="478"/>
        <v>0</v>
      </c>
      <c r="BH481" s="90">
        <f t="shared" si="479"/>
        <v>0</v>
      </c>
      <c r="BI481" s="90">
        <f t="shared" si="480"/>
        <v>0</v>
      </c>
      <c r="BJ481" s="90">
        <f t="shared" si="481"/>
        <v>0</v>
      </c>
    </row>
    <row r="482" spans="1:47" ht="12.75">
      <c r="A482" s="159"/>
      <c r="B482" s="160" t="s">
        <v>60</v>
      </c>
      <c r="C482" s="160" t="s">
        <v>1100</v>
      </c>
      <c r="D482" s="160" t="s">
        <v>1400</v>
      </c>
      <c r="E482" s="159" t="s">
        <v>57</v>
      </c>
      <c r="F482" s="159" t="s">
        <v>57</v>
      </c>
      <c r="G482" s="159"/>
      <c r="H482" s="161">
        <f>SUM(H483:H489)</f>
        <v>0</v>
      </c>
      <c r="I482" s="161">
        <f>SUM(I483:I489)</f>
        <v>0</v>
      </c>
      <c r="J482" s="161">
        <f>SUM(J483:J489)</f>
        <v>0</v>
      </c>
      <c r="K482" s="154"/>
      <c r="L482" s="161">
        <f>SUM(L483:L489)</f>
        <v>0.7449999999999999</v>
      </c>
      <c r="M482" s="154"/>
      <c r="O482" s="159"/>
      <c r="P482" s="159"/>
      <c r="AI482" s="154" t="s">
        <v>60</v>
      </c>
      <c r="AS482" s="161">
        <f>SUM(AJ483:AJ489)</f>
        <v>0</v>
      </c>
      <c r="AT482" s="161">
        <f>SUM(AK483:AK489)</f>
        <v>0</v>
      </c>
      <c r="AU482" s="161">
        <f>SUM(AL483:AL489)</f>
        <v>0</v>
      </c>
    </row>
    <row r="483" spans="1:62" ht="12.75">
      <c r="A483" s="88" t="s">
        <v>931</v>
      </c>
      <c r="B483" s="88" t="s">
        <v>60</v>
      </c>
      <c r="C483" s="88" t="s">
        <v>1101</v>
      </c>
      <c r="D483" s="88" t="s">
        <v>1401</v>
      </c>
      <c r="E483" s="88" t="s">
        <v>606</v>
      </c>
      <c r="F483" s="90">
        <v>0</v>
      </c>
      <c r="G483" s="90">
        <f>'Stavební rozpočet (SO 13)'!$G$317</f>
        <v>0</v>
      </c>
      <c r="H483" s="90">
        <f aca="true" t="shared" si="482" ref="H483:H489">F483*AO483</f>
        <v>0</v>
      </c>
      <c r="I483" s="90">
        <f aca="true" t="shared" si="483" ref="I483:I489">F483*AP483</f>
        <v>0</v>
      </c>
      <c r="J483" s="90">
        <f aca="true" t="shared" si="484" ref="J483:J489">F483*G483</f>
        <v>0</v>
      </c>
      <c r="K483" s="90">
        <v>0.058</v>
      </c>
      <c r="L483" s="90">
        <f aca="true" t="shared" si="485" ref="L483:L489">F483*K483</f>
        <v>0</v>
      </c>
      <c r="M483" s="91" t="s">
        <v>622</v>
      </c>
      <c r="O483" s="90"/>
      <c r="P483" s="90"/>
      <c r="Z483" s="90">
        <f aca="true" t="shared" si="486" ref="Z483:Z489">IF(AQ483="5",BJ483,0)</f>
        <v>0</v>
      </c>
      <c r="AB483" s="90">
        <f aca="true" t="shared" si="487" ref="AB483:AB489">IF(AQ483="1",BH483,0)</f>
        <v>0</v>
      </c>
      <c r="AC483" s="90">
        <f aca="true" t="shared" si="488" ref="AC483:AC489">IF(AQ483="1",BI483,0)</f>
        <v>0</v>
      </c>
      <c r="AD483" s="90">
        <f aca="true" t="shared" si="489" ref="AD483:AD489">IF(AQ483="7",BH483,0)</f>
        <v>0</v>
      </c>
      <c r="AE483" s="90">
        <f aca="true" t="shared" si="490" ref="AE483:AE489">IF(AQ483="7",BI483,0)</f>
        <v>0</v>
      </c>
      <c r="AF483" s="90">
        <f aca="true" t="shared" si="491" ref="AF483:AF489">IF(AQ483="2",BH483,0)</f>
        <v>0</v>
      </c>
      <c r="AG483" s="90">
        <f aca="true" t="shared" si="492" ref="AG483:AG489">IF(AQ483="2",BI483,0)</f>
        <v>0</v>
      </c>
      <c r="AH483" s="90">
        <f aca="true" t="shared" si="493" ref="AH483:AH489">IF(AQ483="0",BJ483,0)</f>
        <v>0</v>
      </c>
      <c r="AI483" s="154" t="s">
        <v>60</v>
      </c>
      <c r="AJ483" s="90">
        <f aca="true" t="shared" si="494" ref="AJ483:AJ489">IF(AN483=0,J483,0)</f>
        <v>0</v>
      </c>
      <c r="AK483" s="90">
        <f aca="true" t="shared" si="495" ref="AK483:AK489">IF(AN483=15,J483,0)</f>
        <v>0</v>
      </c>
      <c r="AL483" s="90">
        <f aca="true" t="shared" si="496" ref="AL483:AL489">IF(AN483=21,J483,0)</f>
        <v>0</v>
      </c>
      <c r="AN483" s="90">
        <v>21</v>
      </c>
      <c r="AO483" s="90">
        <f aca="true" t="shared" si="497" ref="AO483:AO489">G483*0</f>
        <v>0</v>
      </c>
      <c r="AP483" s="90">
        <f aca="true" t="shared" si="498" ref="AP483:AP489">G483*(1-0)</f>
        <v>0</v>
      </c>
      <c r="AQ483" s="91" t="s">
        <v>85</v>
      </c>
      <c r="AV483" s="90">
        <f aca="true" t="shared" si="499" ref="AV483:AV489">AW483+AX483</f>
        <v>0</v>
      </c>
      <c r="AW483" s="90">
        <f aca="true" t="shared" si="500" ref="AW483:AW489">F483*AO483</f>
        <v>0</v>
      </c>
      <c r="AX483" s="90">
        <f aca="true" t="shared" si="501" ref="AX483:AX489">F483*AP483</f>
        <v>0</v>
      </c>
      <c r="AY483" s="91" t="s">
        <v>1530</v>
      </c>
      <c r="AZ483" s="91" t="s">
        <v>1539</v>
      </c>
      <c r="BA483" s="154" t="s">
        <v>1542</v>
      </c>
      <c r="BC483" s="90">
        <f aca="true" t="shared" si="502" ref="BC483:BC489">AW483+AX483</f>
        <v>0</v>
      </c>
      <c r="BD483" s="90">
        <f aca="true" t="shared" si="503" ref="BD483:BD489">G483/(100-BE483)*100</f>
        <v>0</v>
      </c>
      <c r="BE483" s="90">
        <v>0</v>
      </c>
      <c r="BF483" s="90">
        <f aca="true" t="shared" si="504" ref="BF483:BF489">L483</f>
        <v>0</v>
      </c>
      <c r="BH483" s="90">
        <f aca="true" t="shared" si="505" ref="BH483:BH489">F483*AO483</f>
        <v>0</v>
      </c>
      <c r="BI483" s="90">
        <f aca="true" t="shared" si="506" ref="BI483:BI489">F483*AP483</f>
        <v>0</v>
      </c>
      <c r="BJ483" s="90">
        <f aca="true" t="shared" si="507" ref="BJ483:BJ489">F483*G483</f>
        <v>0</v>
      </c>
    </row>
    <row r="484" spans="1:62" ht="12.75">
      <c r="A484" s="88" t="s">
        <v>932</v>
      </c>
      <c r="B484" s="88" t="s">
        <v>60</v>
      </c>
      <c r="C484" s="88" t="s">
        <v>1102</v>
      </c>
      <c r="D484" s="88" t="s">
        <v>1403</v>
      </c>
      <c r="E484" s="88" t="s">
        <v>606</v>
      </c>
      <c r="F484" s="90">
        <v>8</v>
      </c>
      <c r="G484" s="90">
        <f>'Stavební rozpočet (SO 13)'!$G$319</f>
        <v>0</v>
      </c>
      <c r="H484" s="90">
        <f t="shared" si="482"/>
        <v>0</v>
      </c>
      <c r="I484" s="90">
        <f t="shared" si="483"/>
        <v>0</v>
      </c>
      <c r="J484" s="90">
        <f t="shared" si="484"/>
        <v>0</v>
      </c>
      <c r="K484" s="90">
        <v>0.06</v>
      </c>
      <c r="L484" s="90">
        <f t="shared" si="485"/>
        <v>0.48</v>
      </c>
      <c r="M484" s="91" t="s">
        <v>622</v>
      </c>
      <c r="O484" s="90"/>
      <c r="P484" s="90"/>
      <c r="Z484" s="90">
        <f t="shared" si="486"/>
        <v>0</v>
      </c>
      <c r="AB484" s="90">
        <f t="shared" si="487"/>
        <v>0</v>
      </c>
      <c r="AC484" s="90">
        <f t="shared" si="488"/>
        <v>0</v>
      </c>
      <c r="AD484" s="90">
        <f t="shared" si="489"/>
        <v>0</v>
      </c>
      <c r="AE484" s="90">
        <f t="shared" si="490"/>
        <v>0</v>
      </c>
      <c r="AF484" s="90">
        <f t="shared" si="491"/>
        <v>0</v>
      </c>
      <c r="AG484" s="90">
        <f t="shared" si="492"/>
        <v>0</v>
      </c>
      <c r="AH484" s="90">
        <f t="shared" si="493"/>
        <v>0</v>
      </c>
      <c r="AI484" s="154" t="s">
        <v>60</v>
      </c>
      <c r="AJ484" s="90">
        <f t="shared" si="494"/>
        <v>0</v>
      </c>
      <c r="AK484" s="90">
        <f t="shared" si="495"/>
        <v>0</v>
      </c>
      <c r="AL484" s="90">
        <f t="shared" si="496"/>
        <v>0</v>
      </c>
      <c r="AN484" s="90">
        <v>21</v>
      </c>
      <c r="AO484" s="90">
        <f t="shared" si="497"/>
        <v>0</v>
      </c>
      <c r="AP484" s="90">
        <f t="shared" si="498"/>
        <v>0</v>
      </c>
      <c r="AQ484" s="91" t="s">
        <v>85</v>
      </c>
      <c r="AV484" s="90">
        <f t="shared" si="499"/>
        <v>0</v>
      </c>
      <c r="AW484" s="90">
        <f t="shared" si="500"/>
        <v>0</v>
      </c>
      <c r="AX484" s="90">
        <f t="shared" si="501"/>
        <v>0</v>
      </c>
      <c r="AY484" s="91" t="s">
        <v>1530</v>
      </c>
      <c r="AZ484" s="91" t="s">
        <v>1539</v>
      </c>
      <c r="BA484" s="154" t="s">
        <v>1542</v>
      </c>
      <c r="BC484" s="90">
        <f t="shared" si="502"/>
        <v>0</v>
      </c>
      <c r="BD484" s="90">
        <f t="shared" si="503"/>
        <v>0</v>
      </c>
      <c r="BE484" s="90">
        <v>0</v>
      </c>
      <c r="BF484" s="90">
        <f t="shared" si="504"/>
        <v>0.48</v>
      </c>
      <c r="BH484" s="90">
        <f t="shared" si="505"/>
        <v>0</v>
      </c>
      <c r="BI484" s="90">
        <f t="shared" si="506"/>
        <v>0</v>
      </c>
      <c r="BJ484" s="90">
        <f t="shared" si="507"/>
        <v>0</v>
      </c>
    </row>
    <row r="485" spans="1:62" ht="12.75">
      <c r="A485" s="88" t="s">
        <v>933</v>
      </c>
      <c r="B485" s="88" t="s">
        <v>60</v>
      </c>
      <c r="C485" s="88" t="s">
        <v>1103</v>
      </c>
      <c r="D485" s="88" t="s">
        <v>1405</v>
      </c>
      <c r="E485" s="88" t="s">
        <v>606</v>
      </c>
      <c r="F485" s="90">
        <v>1</v>
      </c>
      <c r="G485" s="90">
        <f>'Stavební rozpočet (SO 13)'!$G$321</f>
        <v>0</v>
      </c>
      <c r="H485" s="90">
        <f t="shared" si="482"/>
        <v>0</v>
      </c>
      <c r="I485" s="90">
        <f t="shared" si="483"/>
        <v>0</v>
      </c>
      <c r="J485" s="90">
        <f t="shared" si="484"/>
        <v>0</v>
      </c>
      <c r="K485" s="90">
        <v>0.065</v>
      </c>
      <c r="L485" s="90">
        <f t="shared" si="485"/>
        <v>0.065</v>
      </c>
      <c r="M485" s="91" t="s">
        <v>622</v>
      </c>
      <c r="O485" s="90"/>
      <c r="P485" s="90"/>
      <c r="Z485" s="90">
        <f t="shared" si="486"/>
        <v>0</v>
      </c>
      <c r="AB485" s="90">
        <f t="shared" si="487"/>
        <v>0</v>
      </c>
      <c r="AC485" s="90">
        <f t="shared" si="488"/>
        <v>0</v>
      </c>
      <c r="AD485" s="90">
        <f t="shared" si="489"/>
        <v>0</v>
      </c>
      <c r="AE485" s="90">
        <f t="shared" si="490"/>
        <v>0</v>
      </c>
      <c r="AF485" s="90">
        <f t="shared" si="491"/>
        <v>0</v>
      </c>
      <c r="AG485" s="90">
        <f t="shared" si="492"/>
        <v>0</v>
      </c>
      <c r="AH485" s="90">
        <f t="shared" si="493"/>
        <v>0</v>
      </c>
      <c r="AI485" s="154" t="s">
        <v>60</v>
      </c>
      <c r="AJ485" s="90">
        <f t="shared" si="494"/>
        <v>0</v>
      </c>
      <c r="AK485" s="90">
        <f t="shared" si="495"/>
        <v>0</v>
      </c>
      <c r="AL485" s="90">
        <f t="shared" si="496"/>
        <v>0</v>
      </c>
      <c r="AN485" s="90">
        <v>21</v>
      </c>
      <c r="AO485" s="90">
        <f t="shared" si="497"/>
        <v>0</v>
      </c>
      <c r="AP485" s="90">
        <f t="shared" si="498"/>
        <v>0</v>
      </c>
      <c r="AQ485" s="91" t="s">
        <v>85</v>
      </c>
      <c r="AV485" s="90">
        <f t="shared" si="499"/>
        <v>0</v>
      </c>
      <c r="AW485" s="90">
        <f t="shared" si="500"/>
        <v>0</v>
      </c>
      <c r="AX485" s="90">
        <f t="shared" si="501"/>
        <v>0</v>
      </c>
      <c r="AY485" s="91" t="s">
        <v>1530</v>
      </c>
      <c r="AZ485" s="91" t="s">
        <v>1539</v>
      </c>
      <c r="BA485" s="154" t="s">
        <v>1542</v>
      </c>
      <c r="BC485" s="90">
        <f t="shared" si="502"/>
        <v>0</v>
      </c>
      <c r="BD485" s="90">
        <f t="shared" si="503"/>
        <v>0</v>
      </c>
      <c r="BE485" s="90">
        <v>0</v>
      </c>
      <c r="BF485" s="90">
        <f t="shared" si="504"/>
        <v>0.065</v>
      </c>
      <c r="BH485" s="90">
        <f t="shared" si="505"/>
        <v>0</v>
      </c>
      <c r="BI485" s="90">
        <f t="shared" si="506"/>
        <v>0</v>
      </c>
      <c r="BJ485" s="90">
        <f t="shared" si="507"/>
        <v>0</v>
      </c>
    </row>
    <row r="486" spans="1:62" ht="12.75">
      <c r="A486" s="88" t="s">
        <v>934</v>
      </c>
      <c r="B486" s="88" t="s">
        <v>60</v>
      </c>
      <c r="C486" s="88" t="s">
        <v>1104</v>
      </c>
      <c r="D486" s="88" t="s">
        <v>1406</v>
      </c>
      <c r="E486" s="88" t="s">
        <v>606</v>
      </c>
      <c r="F486" s="90">
        <v>2</v>
      </c>
      <c r="G486" s="90">
        <f>'Stavební rozpočet (SO 13)'!$G$323</f>
        <v>0</v>
      </c>
      <c r="H486" s="90">
        <f t="shared" si="482"/>
        <v>0</v>
      </c>
      <c r="I486" s="90">
        <f t="shared" si="483"/>
        <v>0</v>
      </c>
      <c r="J486" s="90">
        <f t="shared" si="484"/>
        <v>0</v>
      </c>
      <c r="K486" s="90">
        <v>0.07</v>
      </c>
      <c r="L486" s="90">
        <f t="shared" si="485"/>
        <v>0.14</v>
      </c>
      <c r="M486" s="91" t="s">
        <v>622</v>
      </c>
      <c r="O486" s="90"/>
      <c r="P486" s="90"/>
      <c r="Z486" s="90">
        <f t="shared" si="486"/>
        <v>0</v>
      </c>
      <c r="AB486" s="90">
        <f t="shared" si="487"/>
        <v>0</v>
      </c>
      <c r="AC486" s="90">
        <f t="shared" si="488"/>
        <v>0</v>
      </c>
      <c r="AD486" s="90">
        <f t="shared" si="489"/>
        <v>0</v>
      </c>
      <c r="AE486" s="90">
        <f t="shared" si="490"/>
        <v>0</v>
      </c>
      <c r="AF486" s="90">
        <f t="shared" si="491"/>
        <v>0</v>
      </c>
      <c r="AG486" s="90">
        <f t="shared" si="492"/>
        <v>0</v>
      </c>
      <c r="AH486" s="90">
        <f t="shared" si="493"/>
        <v>0</v>
      </c>
      <c r="AI486" s="154" t="s">
        <v>60</v>
      </c>
      <c r="AJ486" s="90">
        <f t="shared" si="494"/>
        <v>0</v>
      </c>
      <c r="AK486" s="90">
        <f t="shared" si="495"/>
        <v>0</v>
      </c>
      <c r="AL486" s="90">
        <f t="shared" si="496"/>
        <v>0</v>
      </c>
      <c r="AN486" s="90">
        <v>21</v>
      </c>
      <c r="AO486" s="90">
        <f t="shared" si="497"/>
        <v>0</v>
      </c>
      <c r="AP486" s="90">
        <f t="shared" si="498"/>
        <v>0</v>
      </c>
      <c r="AQ486" s="91" t="s">
        <v>85</v>
      </c>
      <c r="AV486" s="90">
        <f t="shared" si="499"/>
        <v>0</v>
      </c>
      <c r="AW486" s="90">
        <f t="shared" si="500"/>
        <v>0</v>
      </c>
      <c r="AX486" s="90">
        <f t="shared" si="501"/>
        <v>0</v>
      </c>
      <c r="AY486" s="91" t="s">
        <v>1530</v>
      </c>
      <c r="AZ486" s="91" t="s">
        <v>1539</v>
      </c>
      <c r="BA486" s="154" t="s">
        <v>1542</v>
      </c>
      <c r="BC486" s="90">
        <f t="shared" si="502"/>
        <v>0</v>
      </c>
      <c r="BD486" s="90">
        <f t="shared" si="503"/>
        <v>0</v>
      </c>
      <c r="BE486" s="90">
        <v>0</v>
      </c>
      <c r="BF486" s="90">
        <f t="shared" si="504"/>
        <v>0.14</v>
      </c>
      <c r="BH486" s="90">
        <f t="shared" si="505"/>
        <v>0</v>
      </c>
      <c r="BI486" s="90">
        <f t="shared" si="506"/>
        <v>0</v>
      </c>
      <c r="BJ486" s="90">
        <f t="shared" si="507"/>
        <v>0</v>
      </c>
    </row>
    <row r="487" spans="1:62" ht="12.75">
      <c r="A487" s="88" t="s">
        <v>935</v>
      </c>
      <c r="B487" s="88" t="s">
        <v>60</v>
      </c>
      <c r="C487" s="88" t="s">
        <v>1105</v>
      </c>
      <c r="D487" s="88" t="s">
        <v>1407</v>
      </c>
      <c r="E487" s="88" t="s">
        <v>606</v>
      </c>
      <c r="F487" s="90">
        <v>1</v>
      </c>
      <c r="G487" s="90">
        <f>'Stavební rozpočet (SO 13)'!$G$325</f>
        <v>0</v>
      </c>
      <c r="H487" s="90">
        <f t="shared" si="482"/>
        <v>0</v>
      </c>
      <c r="I487" s="90">
        <f t="shared" si="483"/>
        <v>0</v>
      </c>
      <c r="J487" s="90">
        <f t="shared" si="484"/>
        <v>0</v>
      </c>
      <c r="K487" s="90">
        <v>0.06</v>
      </c>
      <c r="L487" s="90">
        <f t="shared" si="485"/>
        <v>0.06</v>
      </c>
      <c r="M487" s="91" t="s">
        <v>622</v>
      </c>
      <c r="O487" s="90"/>
      <c r="P487" s="90"/>
      <c r="Z487" s="90">
        <f t="shared" si="486"/>
        <v>0</v>
      </c>
      <c r="AB487" s="90">
        <f t="shared" si="487"/>
        <v>0</v>
      </c>
      <c r="AC487" s="90">
        <f t="shared" si="488"/>
        <v>0</v>
      </c>
      <c r="AD487" s="90">
        <f t="shared" si="489"/>
        <v>0</v>
      </c>
      <c r="AE487" s="90">
        <f t="shared" si="490"/>
        <v>0</v>
      </c>
      <c r="AF487" s="90">
        <f t="shared" si="491"/>
        <v>0</v>
      </c>
      <c r="AG487" s="90">
        <f t="shared" si="492"/>
        <v>0</v>
      </c>
      <c r="AH487" s="90">
        <f t="shared" si="493"/>
        <v>0</v>
      </c>
      <c r="AI487" s="154" t="s">
        <v>60</v>
      </c>
      <c r="AJ487" s="90">
        <f t="shared" si="494"/>
        <v>0</v>
      </c>
      <c r="AK487" s="90">
        <f t="shared" si="495"/>
        <v>0</v>
      </c>
      <c r="AL487" s="90">
        <f t="shared" si="496"/>
        <v>0</v>
      </c>
      <c r="AN487" s="90">
        <v>21</v>
      </c>
      <c r="AO487" s="90">
        <f t="shared" si="497"/>
        <v>0</v>
      </c>
      <c r="AP487" s="90">
        <f t="shared" si="498"/>
        <v>0</v>
      </c>
      <c r="AQ487" s="91" t="s">
        <v>85</v>
      </c>
      <c r="AV487" s="90">
        <f t="shared" si="499"/>
        <v>0</v>
      </c>
      <c r="AW487" s="90">
        <f t="shared" si="500"/>
        <v>0</v>
      </c>
      <c r="AX487" s="90">
        <f t="shared" si="501"/>
        <v>0</v>
      </c>
      <c r="AY487" s="91" t="s">
        <v>1530</v>
      </c>
      <c r="AZ487" s="91" t="s">
        <v>1539</v>
      </c>
      <c r="BA487" s="154" t="s">
        <v>1542</v>
      </c>
      <c r="BC487" s="90">
        <f t="shared" si="502"/>
        <v>0</v>
      </c>
      <c r="BD487" s="90">
        <f t="shared" si="503"/>
        <v>0</v>
      </c>
      <c r="BE487" s="90">
        <v>0</v>
      </c>
      <c r="BF487" s="90">
        <f t="shared" si="504"/>
        <v>0.06</v>
      </c>
      <c r="BH487" s="90">
        <f t="shared" si="505"/>
        <v>0</v>
      </c>
      <c r="BI487" s="90">
        <f t="shared" si="506"/>
        <v>0</v>
      </c>
      <c r="BJ487" s="90">
        <f t="shared" si="507"/>
        <v>0</v>
      </c>
    </row>
    <row r="488" spans="1:62" ht="12.75">
      <c r="A488" s="88" t="s">
        <v>936</v>
      </c>
      <c r="B488" s="88" t="s">
        <v>60</v>
      </c>
      <c r="C488" s="88" t="s">
        <v>1106</v>
      </c>
      <c r="D488" s="88" t="s">
        <v>1409</v>
      </c>
      <c r="E488" s="88" t="s">
        <v>606</v>
      </c>
      <c r="F488" s="90">
        <v>0</v>
      </c>
      <c r="G488" s="90">
        <f>'Stavební rozpočet (SO 13)'!$G$327</f>
        <v>0</v>
      </c>
      <c r="H488" s="90">
        <f t="shared" si="482"/>
        <v>0</v>
      </c>
      <c r="I488" s="90">
        <f t="shared" si="483"/>
        <v>0</v>
      </c>
      <c r="J488" s="90">
        <f t="shared" si="484"/>
        <v>0</v>
      </c>
      <c r="K488" s="90">
        <v>0.15</v>
      </c>
      <c r="L488" s="90">
        <f t="shared" si="485"/>
        <v>0</v>
      </c>
      <c r="M488" s="91" t="s">
        <v>622</v>
      </c>
      <c r="O488" s="90"/>
      <c r="P488" s="90"/>
      <c r="Z488" s="90">
        <f t="shared" si="486"/>
        <v>0</v>
      </c>
      <c r="AB488" s="90">
        <f t="shared" si="487"/>
        <v>0</v>
      </c>
      <c r="AC488" s="90">
        <f t="shared" si="488"/>
        <v>0</v>
      </c>
      <c r="AD488" s="90">
        <f t="shared" si="489"/>
        <v>0</v>
      </c>
      <c r="AE488" s="90">
        <f t="shared" si="490"/>
        <v>0</v>
      </c>
      <c r="AF488" s="90">
        <f t="shared" si="491"/>
        <v>0</v>
      </c>
      <c r="AG488" s="90">
        <f t="shared" si="492"/>
        <v>0</v>
      </c>
      <c r="AH488" s="90">
        <f t="shared" si="493"/>
        <v>0</v>
      </c>
      <c r="AI488" s="154" t="s">
        <v>60</v>
      </c>
      <c r="AJ488" s="90">
        <f t="shared" si="494"/>
        <v>0</v>
      </c>
      <c r="AK488" s="90">
        <f t="shared" si="495"/>
        <v>0</v>
      </c>
      <c r="AL488" s="90">
        <f t="shared" si="496"/>
        <v>0</v>
      </c>
      <c r="AN488" s="90">
        <v>21</v>
      </c>
      <c r="AO488" s="90">
        <f t="shared" si="497"/>
        <v>0</v>
      </c>
      <c r="AP488" s="90">
        <f t="shared" si="498"/>
        <v>0</v>
      </c>
      <c r="AQ488" s="91" t="s">
        <v>85</v>
      </c>
      <c r="AV488" s="90">
        <f t="shared" si="499"/>
        <v>0</v>
      </c>
      <c r="AW488" s="90">
        <f t="shared" si="500"/>
        <v>0</v>
      </c>
      <c r="AX488" s="90">
        <f t="shared" si="501"/>
        <v>0</v>
      </c>
      <c r="AY488" s="91" t="s">
        <v>1530</v>
      </c>
      <c r="AZ488" s="91" t="s">
        <v>1539</v>
      </c>
      <c r="BA488" s="154" t="s">
        <v>1542</v>
      </c>
      <c r="BC488" s="90">
        <f t="shared" si="502"/>
        <v>0</v>
      </c>
      <c r="BD488" s="90">
        <f t="shared" si="503"/>
        <v>0</v>
      </c>
      <c r="BE488" s="90">
        <v>0</v>
      </c>
      <c r="BF488" s="90">
        <f t="shared" si="504"/>
        <v>0</v>
      </c>
      <c r="BH488" s="90">
        <f t="shared" si="505"/>
        <v>0</v>
      </c>
      <c r="BI488" s="90">
        <f t="shared" si="506"/>
        <v>0</v>
      </c>
      <c r="BJ488" s="90">
        <f t="shared" si="507"/>
        <v>0</v>
      </c>
    </row>
    <row r="489" spans="1:62" ht="12.75">
      <c r="A489" s="88" t="s">
        <v>937</v>
      </c>
      <c r="B489" s="88" t="s">
        <v>60</v>
      </c>
      <c r="C489" s="88" t="s">
        <v>1107</v>
      </c>
      <c r="D489" s="88" t="s">
        <v>1410</v>
      </c>
      <c r="E489" s="88" t="s">
        <v>612</v>
      </c>
      <c r="F489" s="90">
        <v>0.75</v>
      </c>
      <c r="G489" s="90">
        <f>'Stavební rozpočet (SO 13)'!$G$329</f>
        <v>0</v>
      </c>
      <c r="H489" s="90">
        <f t="shared" si="482"/>
        <v>0</v>
      </c>
      <c r="I489" s="90">
        <f t="shared" si="483"/>
        <v>0</v>
      </c>
      <c r="J489" s="90">
        <f t="shared" si="484"/>
        <v>0</v>
      </c>
      <c r="K489" s="90">
        <v>0</v>
      </c>
      <c r="L489" s="90">
        <f t="shared" si="485"/>
        <v>0</v>
      </c>
      <c r="M489" s="91" t="s">
        <v>622</v>
      </c>
      <c r="O489" s="90"/>
      <c r="P489" s="90"/>
      <c r="Z489" s="90">
        <f t="shared" si="486"/>
        <v>0</v>
      </c>
      <c r="AB489" s="90">
        <f t="shared" si="487"/>
        <v>0</v>
      </c>
      <c r="AC489" s="90">
        <f t="shared" si="488"/>
        <v>0</v>
      </c>
      <c r="AD489" s="90">
        <f t="shared" si="489"/>
        <v>0</v>
      </c>
      <c r="AE489" s="90">
        <f t="shared" si="490"/>
        <v>0</v>
      </c>
      <c r="AF489" s="90">
        <f t="shared" si="491"/>
        <v>0</v>
      </c>
      <c r="AG489" s="90">
        <f t="shared" si="492"/>
        <v>0</v>
      </c>
      <c r="AH489" s="90">
        <f t="shared" si="493"/>
        <v>0</v>
      </c>
      <c r="AI489" s="154" t="s">
        <v>60</v>
      </c>
      <c r="AJ489" s="90">
        <f t="shared" si="494"/>
        <v>0</v>
      </c>
      <c r="AK489" s="90">
        <f t="shared" si="495"/>
        <v>0</v>
      </c>
      <c r="AL489" s="90">
        <f t="shared" si="496"/>
        <v>0</v>
      </c>
      <c r="AN489" s="90">
        <v>21</v>
      </c>
      <c r="AO489" s="90">
        <f t="shared" si="497"/>
        <v>0</v>
      </c>
      <c r="AP489" s="90">
        <f t="shared" si="498"/>
        <v>0</v>
      </c>
      <c r="AQ489" s="91" t="s">
        <v>83</v>
      </c>
      <c r="AV489" s="90">
        <f t="shared" si="499"/>
        <v>0</v>
      </c>
      <c r="AW489" s="90">
        <f t="shared" si="500"/>
        <v>0</v>
      </c>
      <c r="AX489" s="90">
        <f t="shared" si="501"/>
        <v>0</v>
      </c>
      <c r="AY489" s="91" t="s">
        <v>1530</v>
      </c>
      <c r="AZ489" s="91" t="s">
        <v>1539</v>
      </c>
      <c r="BA489" s="154" t="s">
        <v>1542</v>
      </c>
      <c r="BC489" s="90">
        <f t="shared" si="502"/>
        <v>0</v>
      </c>
      <c r="BD489" s="90">
        <f t="shared" si="503"/>
        <v>0</v>
      </c>
      <c r="BE489" s="90">
        <v>0</v>
      </c>
      <c r="BF489" s="90">
        <f t="shared" si="504"/>
        <v>0</v>
      </c>
      <c r="BH489" s="90">
        <f t="shared" si="505"/>
        <v>0</v>
      </c>
      <c r="BI489" s="90">
        <f t="shared" si="506"/>
        <v>0</v>
      </c>
      <c r="BJ489" s="90">
        <f t="shared" si="507"/>
        <v>0</v>
      </c>
    </row>
    <row r="490" spans="1:47" ht="12.75">
      <c r="A490" s="159"/>
      <c r="B490" s="160" t="s">
        <v>60</v>
      </c>
      <c r="C490" s="160" t="s">
        <v>361</v>
      </c>
      <c r="D490" s="160" t="s">
        <v>544</v>
      </c>
      <c r="E490" s="159" t="s">
        <v>57</v>
      </c>
      <c r="F490" s="159" t="s">
        <v>57</v>
      </c>
      <c r="G490" s="159"/>
      <c r="H490" s="161">
        <f>SUM(H491:H494)</f>
        <v>0</v>
      </c>
      <c r="I490" s="161">
        <f>SUM(I491:I494)</f>
        <v>0</v>
      </c>
      <c r="J490" s="161">
        <f>SUM(J491:J494)</f>
        <v>0</v>
      </c>
      <c r="K490" s="154"/>
      <c r="L490" s="161">
        <f>SUM(L491:L494)</f>
        <v>0</v>
      </c>
      <c r="M490" s="154"/>
      <c r="O490" s="159"/>
      <c r="P490" s="159"/>
      <c r="AI490" s="154" t="s">
        <v>60</v>
      </c>
      <c r="AS490" s="161">
        <f>SUM(AJ491:AJ494)</f>
        <v>0</v>
      </c>
      <c r="AT490" s="161">
        <f>SUM(AK491:AK494)</f>
        <v>0</v>
      </c>
      <c r="AU490" s="161">
        <f>SUM(AL491:AL494)</f>
        <v>0</v>
      </c>
    </row>
    <row r="491" spans="1:62" ht="12.75">
      <c r="A491" s="88" t="s">
        <v>938</v>
      </c>
      <c r="B491" s="88" t="s">
        <v>60</v>
      </c>
      <c r="C491" s="88" t="s">
        <v>362</v>
      </c>
      <c r="D491" s="88" t="s">
        <v>545</v>
      </c>
      <c r="E491" s="88" t="s">
        <v>606</v>
      </c>
      <c r="F491" s="90">
        <v>0</v>
      </c>
      <c r="G491" s="90">
        <f>'Stavební rozpočet (SO 13)'!$G$331</f>
        <v>0</v>
      </c>
      <c r="H491" s="90">
        <f>F491*AO491</f>
        <v>0</v>
      </c>
      <c r="I491" s="90">
        <f>F491*AP491</f>
        <v>0</v>
      </c>
      <c r="J491" s="90">
        <f>F491*G491</f>
        <v>0</v>
      </c>
      <c r="K491" s="90">
        <v>0.075</v>
      </c>
      <c r="L491" s="90">
        <f>F491*K491</f>
        <v>0</v>
      </c>
      <c r="M491" s="91" t="s">
        <v>622</v>
      </c>
      <c r="O491" s="90"/>
      <c r="P491" s="90"/>
      <c r="Z491" s="90">
        <f>IF(AQ491="5",BJ491,0)</f>
        <v>0</v>
      </c>
      <c r="AB491" s="90">
        <f>IF(AQ491="1",BH491,0)</f>
        <v>0</v>
      </c>
      <c r="AC491" s="90">
        <f>IF(AQ491="1",BI491,0)</f>
        <v>0</v>
      </c>
      <c r="AD491" s="90">
        <f>IF(AQ491="7",BH491,0)</f>
        <v>0</v>
      </c>
      <c r="AE491" s="90">
        <f>IF(AQ491="7",BI491,0)</f>
        <v>0</v>
      </c>
      <c r="AF491" s="90">
        <f>IF(AQ491="2",BH491,0)</f>
        <v>0</v>
      </c>
      <c r="AG491" s="90">
        <f>IF(AQ491="2",BI491,0)</f>
        <v>0</v>
      </c>
      <c r="AH491" s="90">
        <f>IF(AQ491="0",BJ491,0)</f>
        <v>0</v>
      </c>
      <c r="AI491" s="154" t="s">
        <v>60</v>
      </c>
      <c r="AJ491" s="90">
        <f>IF(AN491=0,J491,0)</f>
        <v>0</v>
      </c>
      <c r="AK491" s="90">
        <f>IF(AN491=15,J491,0)</f>
        <v>0</v>
      </c>
      <c r="AL491" s="90">
        <f>IF(AN491=21,J491,0)</f>
        <v>0</v>
      </c>
      <c r="AN491" s="90">
        <v>21</v>
      </c>
      <c r="AO491" s="90">
        <f>G491*0.0336344</f>
        <v>0</v>
      </c>
      <c r="AP491" s="90">
        <f>G491*(1-0.0336344)</f>
        <v>0</v>
      </c>
      <c r="AQ491" s="91" t="s">
        <v>85</v>
      </c>
      <c r="AV491" s="90">
        <f>AW491+AX491</f>
        <v>0</v>
      </c>
      <c r="AW491" s="90">
        <f>F491*AO491</f>
        <v>0</v>
      </c>
      <c r="AX491" s="90">
        <f>F491*AP491</f>
        <v>0</v>
      </c>
      <c r="AY491" s="91" t="s">
        <v>646</v>
      </c>
      <c r="AZ491" s="91" t="s">
        <v>1539</v>
      </c>
      <c r="BA491" s="154" t="s">
        <v>1542</v>
      </c>
      <c r="BC491" s="90">
        <f>AW491+AX491</f>
        <v>0</v>
      </c>
      <c r="BD491" s="90">
        <f>G491/(100-BE491)*100</f>
        <v>0</v>
      </c>
      <c r="BE491" s="90">
        <v>0</v>
      </c>
      <c r="BF491" s="90">
        <f>L491</f>
        <v>0</v>
      </c>
      <c r="BH491" s="90">
        <f>F491*AO491</f>
        <v>0</v>
      </c>
      <c r="BI491" s="90">
        <f>F491*AP491</f>
        <v>0</v>
      </c>
      <c r="BJ491" s="90">
        <f>F491*G491</f>
        <v>0</v>
      </c>
    </row>
    <row r="492" spans="1:62" ht="12.75">
      <c r="A492" s="88" t="s">
        <v>939</v>
      </c>
      <c r="B492" s="88" t="s">
        <v>60</v>
      </c>
      <c r="C492" s="88" t="s">
        <v>364</v>
      </c>
      <c r="D492" s="88" t="s">
        <v>548</v>
      </c>
      <c r="E492" s="88" t="s">
        <v>606</v>
      </c>
      <c r="F492" s="90">
        <v>0</v>
      </c>
      <c r="G492" s="90">
        <f>'Stavební rozpočet (SO 13)'!$G$333</f>
        <v>0</v>
      </c>
      <c r="H492" s="90">
        <f>F492*AO492</f>
        <v>0</v>
      </c>
      <c r="I492" s="90">
        <f>F492*AP492</f>
        <v>0</v>
      </c>
      <c r="J492" s="90">
        <f>F492*G492</f>
        <v>0</v>
      </c>
      <c r="K492" s="90">
        <v>0.063</v>
      </c>
      <c r="L492" s="90">
        <f>F492*K492</f>
        <v>0</v>
      </c>
      <c r="M492" s="91" t="s">
        <v>622</v>
      </c>
      <c r="O492" s="90"/>
      <c r="P492" s="90"/>
      <c r="Z492" s="90">
        <f>IF(AQ492="5",BJ492,0)</f>
        <v>0</v>
      </c>
      <c r="AB492" s="90">
        <f>IF(AQ492="1",BH492,0)</f>
        <v>0</v>
      </c>
      <c r="AC492" s="90">
        <f>IF(AQ492="1",BI492,0)</f>
        <v>0</v>
      </c>
      <c r="AD492" s="90">
        <f>IF(AQ492="7",BH492,0)</f>
        <v>0</v>
      </c>
      <c r="AE492" s="90">
        <f>IF(AQ492="7",BI492,0)</f>
        <v>0</v>
      </c>
      <c r="AF492" s="90">
        <f>IF(AQ492="2",BH492,0)</f>
        <v>0</v>
      </c>
      <c r="AG492" s="90">
        <f>IF(AQ492="2",BI492,0)</f>
        <v>0</v>
      </c>
      <c r="AH492" s="90">
        <f>IF(AQ492="0",BJ492,0)</f>
        <v>0</v>
      </c>
      <c r="AI492" s="154" t="s">
        <v>60</v>
      </c>
      <c r="AJ492" s="90">
        <f>IF(AN492=0,J492,0)</f>
        <v>0</v>
      </c>
      <c r="AK492" s="90">
        <f>IF(AN492=15,J492,0)</f>
        <v>0</v>
      </c>
      <c r="AL492" s="90">
        <f>IF(AN492=21,J492,0)</f>
        <v>0</v>
      </c>
      <c r="AN492" s="90">
        <v>21</v>
      </c>
      <c r="AO492" s="90">
        <f>G492*0.0759489130434783</f>
        <v>0</v>
      </c>
      <c r="AP492" s="90">
        <f>G492*(1-0.0759489130434783)</f>
        <v>0</v>
      </c>
      <c r="AQ492" s="91" t="s">
        <v>85</v>
      </c>
      <c r="AV492" s="90">
        <f>AW492+AX492</f>
        <v>0</v>
      </c>
      <c r="AW492" s="90">
        <f>F492*AO492</f>
        <v>0</v>
      </c>
      <c r="AX492" s="90">
        <f>F492*AP492</f>
        <v>0</v>
      </c>
      <c r="AY492" s="91" t="s">
        <v>646</v>
      </c>
      <c r="AZ492" s="91" t="s">
        <v>1539</v>
      </c>
      <c r="BA492" s="154" t="s">
        <v>1542</v>
      </c>
      <c r="BC492" s="90">
        <f>AW492+AX492</f>
        <v>0</v>
      </c>
      <c r="BD492" s="90">
        <f>G492/(100-BE492)*100</f>
        <v>0</v>
      </c>
      <c r="BE492" s="90">
        <v>0</v>
      </c>
      <c r="BF492" s="90">
        <f>L492</f>
        <v>0</v>
      </c>
      <c r="BH492" s="90">
        <f>F492*AO492</f>
        <v>0</v>
      </c>
      <c r="BI492" s="90">
        <f>F492*AP492</f>
        <v>0</v>
      </c>
      <c r="BJ492" s="90">
        <f>F492*G492</f>
        <v>0</v>
      </c>
    </row>
    <row r="493" spans="1:62" ht="12.75">
      <c r="A493" s="88" t="s">
        <v>940</v>
      </c>
      <c r="B493" s="88" t="s">
        <v>60</v>
      </c>
      <c r="C493" s="88" t="s">
        <v>365</v>
      </c>
      <c r="D493" s="88" t="s">
        <v>550</v>
      </c>
      <c r="E493" s="88" t="s">
        <v>606</v>
      </c>
      <c r="F493" s="90">
        <v>0</v>
      </c>
      <c r="G493" s="90">
        <f>'Stavební rozpočet (SO 13)'!$G$335</f>
        <v>0</v>
      </c>
      <c r="H493" s="90">
        <f>F493*AO493</f>
        <v>0</v>
      </c>
      <c r="I493" s="90">
        <f>F493*AP493</f>
        <v>0</v>
      </c>
      <c r="J493" s="90">
        <f>F493*G493</f>
        <v>0</v>
      </c>
      <c r="K493" s="90">
        <v>0.075</v>
      </c>
      <c r="L493" s="90">
        <f>F493*K493</f>
        <v>0</v>
      </c>
      <c r="M493" s="91" t="s">
        <v>622</v>
      </c>
      <c r="O493" s="90"/>
      <c r="P493" s="90"/>
      <c r="Z493" s="90">
        <f>IF(AQ493="5",BJ493,0)</f>
        <v>0</v>
      </c>
      <c r="AB493" s="90">
        <f>IF(AQ493="1",BH493,0)</f>
        <v>0</v>
      </c>
      <c r="AC493" s="90">
        <f>IF(AQ493="1",BI493,0)</f>
        <v>0</v>
      </c>
      <c r="AD493" s="90">
        <f>IF(AQ493="7",BH493,0)</f>
        <v>0</v>
      </c>
      <c r="AE493" s="90">
        <f>IF(AQ493="7",BI493,0)</f>
        <v>0</v>
      </c>
      <c r="AF493" s="90">
        <f>IF(AQ493="2",BH493,0)</f>
        <v>0</v>
      </c>
      <c r="AG493" s="90">
        <f>IF(AQ493="2",BI493,0)</f>
        <v>0</v>
      </c>
      <c r="AH493" s="90">
        <f>IF(AQ493="0",BJ493,0)</f>
        <v>0</v>
      </c>
      <c r="AI493" s="154" t="s">
        <v>60</v>
      </c>
      <c r="AJ493" s="90">
        <f>IF(AN493=0,J493,0)</f>
        <v>0</v>
      </c>
      <c r="AK493" s="90">
        <f>IF(AN493=15,J493,0)</f>
        <v>0</v>
      </c>
      <c r="AL493" s="90">
        <f>IF(AN493=21,J493,0)</f>
        <v>0</v>
      </c>
      <c r="AN493" s="90">
        <v>21</v>
      </c>
      <c r="AO493" s="90">
        <f>G493*0.0759489795918367</f>
        <v>0</v>
      </c>
      <c r="AP493" s="90">
        <f>G493*(1-0.0759489795918367)</f>
        <v>0</v>
      </c>
      <c r="AQ493" s="91" t="s">
        <v>85</v>
      </c>
      <c r="AV493" s="90">
        <f>AW493+AX493</f>
        <v>0</v>
      </c>
      <c r="AW493" s="90">
        <f>F493*AO493</f>
        <v>0</v>
      </c>
      <c r="AX493" s="90">
        <f>F493*AP493</f>
        <v>0</v>
      </c>
      <c r="AY493" s="91" t="s">
        <v>646</v>
      </c>
      <c r="AZ493" s="91" t="s">
        <v>1539</v>
      </c>
      <c r="BA493" s="154" t="s">
        <v>1542</v>
      </c>
      <c r="BC493" s="90">
        <f>AW493+AX493</f>
        <v>0</v>
      </c>
      <c r="BD493" s="90">
        <f>G493/(100-BE493)*100</f>
        <v>0</v>
      </c>
      <c r="BE493" s="90">
        <v>0</v>
      </c>
      <c r="BF493" s="90">
        <f>L493</f>
        <v>0</v>
      </c>
      <c r="BH493" s="90">
        <f>F493*AO493</f>
        <v>0</v>
      </c>
      <c r="BI493" s="90">
        <f>F493*AP493</f>
        <v>0</v>
      </c>
      <c r="BJ493" s="90">
        <f>F493*G493</f>
        <v>0</v>
      </c>
    </row>
    <row r="494" spans="1:62" ht="12.75">
      <c r="A494" s="88" t="s">
        <v>941</v>
      </c>
      <c r="B494" s="88" t="s">
        <v>60</v>
      </c>
      <c r="C494" s="88" t="s">
        <v>366</v>
      </c>
      <c r="D494" s="88" t="s">
        <v>551</v>
      </c>
      <c r="E494" s="88" t="s">
        <v>612</v>
      </c>
      <c r="F494" s="90">
        <v>0</v>
      </c>
      <c r="G494" s="90">
        <f>'Stavební rozpočet (SO 13)'!$G$337</f>
        <v>0</v>
      </c>
      <c r="H494" s="90">
        <f>F494*AO494</f>
        <v>0</v>
      </c>
      <c r="I494" s="90">
        <f>F494*AP494</f>
        <v>0</v>
      </c>
      <c r="J494" s="90">
        <f>F494*G494</f>
        <v>0</v>
      </c>
      <c r="K494" s="90">
        <v>0</v>
      </c>
      <c r="L494" s="90">
        <f>F494*K494</f>
        <v>0</v>
      </c>
      <c r="M494" s="91" t="s">
        <v>622</v>
      </c>
      <c r="O494" s="90"/>
      <c r="P494" s="90"/>
      <c r="Z494" s="90">
        <f>IF(AQ494="5",BJ494,0)</f>
        <v>0</v>
      </c>
      <c r="AB494" s="90">
        <f>IF(AQ494="1",BH494,0)</f>
        <v>0</v>
      </c>
      <c r="AC494" s="90">
        <f>IF(AQ494="1",BI494,0)</f>
        <v>0</v>
      </c>
      <c r="AD494" s="90">
        <f>IF(AQ494="7",BH494,0)</f>
        <v>0</v>
      </c>
      <c r="AE494" s="90">
        <f>IF(AQ494="7",BI494,0)</f>
        <v>0</v>
      </c>
      <c r="AF494" s="90">
        <f>IF(AQ494="2",BH494,0)</f>
        <v>0</v>
      </c>
      <c r="AG494" s="90">
        <f>IF(AQ494="2",BI494,0)</f>
        <v>0</v>
      </c>
      <c r="AH494" s="90">
        <f>IF(AQ494="0",BJ494,0)</f>
        <v>0</v>
      </c>
      <c r="AI494" s="154" t="s">
        <v>60</v>
      </c>
      <c r="AJ494" s="90">
        <f>IF(AN494=0,J494,0)</f>
        <v>0</v>
      </c>
      <c r="AK494" s="90">
        <f>IF(AN494=15,J494,0)</f>
        <v>0</v>
      </c>
      <c r="AL494" s="90">
        <f>IF(AN494=21,J494,0)</f>
        <v>0</v>
      </c>
      <c r="AN494" s="90">
        <v>21</v>
      </c>
      <c r="AO494" s="90">
        <f>G494*0</f>
        <v>0</v>
      </c>
      <c r="AP494" s="90">
        <f>G494*(1-0)</f>
        <v>0</v>
      </c>
      <c r="AQ494" s="91" t="s">
        <v>83</v>
      </c>
      <c r="AV494" s="90">
        <f>AW494+AX494</f>
        <v>0</v>
      </c>
      <c r="AW494" s="90">
        <f>F494*AO494</f>
        <v>0</v>
      </c>
      <c r="AX494" s="90">
        <f>F494*AP494</f>
        <v>0</v>
      </c>
      <c r="AY494" s="91" t="s">
        <v>646</v>
      </c>
      <c r="AZ494" s="91" t="s">
        <v>1539</v>
      </c>
      <c r="BA494" s="154" t="s">
        <v>1542</v>
      </c>
      <c r="BC494" s="90">
        <f>AW494+AX494</f>
        <v>0</v>
      </c>
      <c r="BD494" s="90">
        <f>G494/(100-BE494)*100</f>
        <v>0</v>
      </c>
      <c r="BE494" s="90">
        <v>0</v>
      </c>
      <c r="BF494" s="90">
        <f>L494</f>
        <v>0</v>
      </c>
      <c r="BH494" s="90">
        <f>F494*AO494</f>
        <v>0</v>
      </c>
      <c r="BI494" s="90">
        <f>F494*AP494</f>
        <v>0</v>
      </c>
      <c r="BJ494" s="90">
        <f>F494*G494</f>
        <v>0</v>
      </c>
    </row>
    <row r="495" spans="1:47" ht="12.75">
      <c r="A495" s="159"/>
      <c r="B495" s="160" t="s">
        <v>60</v>
      </c>
      <c r="C495" s="160" t="s">
        <v>367</v>
      </c>
      <c r="D495" s="160" t="s">
        <v>552</v>
      </c>
      <c r="E495" s="159" t="s">
        <v>57</v>
      </c>
      <c r="F495" s="159" t="s">
        <v>57</v>
      </c>
      <c r="G495" s="159"/>
      <c r="H495" s="161">
        <f>SUM(H496:H508)</f>
        <v>0</v>
      </c>
      <c r="I495" s="161">
        <f>SUM(I496:I508)</f>
        <v>0</v>
      </c>
      <c r="J495" s="161">
        <f>SUM(J496:J508)</f>
        <v>0</v>
      </c>
      <c r="K495" s="154"/>
      <c r="L495" s="161">
        <f>SUM(L496:L508)</f>
        <v>1.0426771000000001</v>
      </c>
      <c r="M495" s="154"/>
      <c r="O495" s="159"/>
      <c r="P495" s="159"/>
      <c r="AI495" s="154" t="s">
        <v>60</v>
      </c>
      <c r="AS495" s="161">
        <f>SUM(AJ496:AJ508)</f>
        <v>0</v>
      </c>
      <c r="AT495" s="161">
        <f>SUM(AK496:AK508)</f>
        <v>0</v>
      </c>
      <c r="AU495" s="161">
        <f>SUM(AL496:AL508)</f>
        <v>0</v>
      </c>
    </row>
    <row r="496" spans="1:62" ht="12.75">
      <c r="A496" s="88" t="s">
        <v>942</v>
      </c>
      <c r="B496" s="88" t="s">
        <v>60</v>
      </c>
      <c r="C496" s="88" t="s">
        <v>369</v>
      </c>
      <c r="D496" s="88" t="s">
        <v>1411</v>
      </c>
      <c r="E496" s="88" t="s">
        <v>608</v>
      </c>
      <c r="F496" s="95">
        <v>38.76</v>
      </c>
      <c r="G496" s="90">
        <f>'Stavební rozpočet (SO 13)'!G339</f>
        <v>0</v>
      </c>
      <c r="H496" s="90">
        <f aca="true" t="shared" si="508" ref="H496:H508">F496*AO496</f>
        <v>0</v>
      </c>
      <c r="I496" s="90">
        <f aca="true" t="shared" si="509" ref="I496:I508">F496*AP496</f>
        <v>0</v>
      </c>
      <c r="J496" s="90">
        <f aca="true" t="shared" si="510" ref="J496:J508">F496*G496</f>
        <v>0</v>
      </c>
      <c r="K496" s="90">
        <v>0</v>
      </c>
      <c r="L496" s="90">
        <f aca="true" t="shared" si="511" ref="L496:L508">F496*K496</f>
        <v>0</v>
      </c>
      <c r="M496" s="91" t="s">
        <v>622</v>
      </c>
      <c r="O496" s="90"/>
      <c r="P496" s="90"/>
      <c r="Z496" s="90">
        <f aca="true" t="shared" si="512" ref="Z496:Z508">IF(AQ496="5",BJ496,0)</f>
        <v>0</v>
      </c>
      <c r="AB496" s="90">
        <f aca="true" t="shared" si="513" ref="AB496:AB508">IF(AQ496="1",BH496,0)</f>
        <v>0</v>
      </c>
      <c r="AC496" s="90">
        <f aca="true" t="shared" si="514" ref="AC496:AC508">IF(AQ496="1",BI496,0)</f>
        <v>0</v>
      </c>
      <c r="AD496" s="90">
        <f aca="true" t="shared" si="515" ref="AD496:AD508">IF(AQ496="7",BH496,0)</f>
        <v>0</v>
      </c>
      <c r="AE496" s="90">
        <f aca="true" t="shared" si="516" ref="AE496:AE508">IF(AQ496="7",BI496,0)</f>
        <v>0</v>
      </c>
      <c r="AF496" s="90">
        <f aca="true" t="shared" si="517" ref="AF496:AF508">IF(AQ496="2",BH496,0)</f>
        <v>0</v>
      </c>
      <c r="AG496" s="90">
        <f aca="true" t="shared" si="518" ref="AG496:AG508">IF(AQ496="2",BI496,0)</f>
        <v>0</v>
      </c>
      <c r="AH496" s="90">
        <f aca="true" t="shared" si="519" ref="AH496:AH508">IF(AQ496="0",BJ496,0)</f>
        <v>0</v>
      </c>
      <c r="AI496" s="154" t="s">
        <v>60</v>
      </c>
      <c r="AJ496" s="90">
        <f aca="true" t="shared" si="520" ref="AJ496:AJ508">IF(AN496=0,J496,0)</f>
        <v>0</v>
      </c>
      <c r="AK496" s="90">
        <f aca="true" t="shared" si="521" ref="AK496:AK508">IF(AN496=15,J496,0)</f>
        <v>0</v>
      </c>
      <c r="AL496" s="90">
        <f aca="true" t="shared" si="522" ref="AL496:AL508">IF(AN496=21,J496,0)</f>
        <v>0</v>
      </c>
      <c r="AN496" s="90">
        <v>21</v>
      </c>
      <c r="AO496" s="90">
        <f>G496*0</f>
        <v>0</v>
      </c>
      <c r="AP496" s="90">
        <f>G496*(1-0)</f>
        <v>0</v>
      </c>
      <c r="AQ496" s="91" t="s">
        <v>85</v>
      </c>
      <c r="AV496" s="90">
        <f aca="true" t="shared" si="523" ref="AV496:AV508">AW496+AX496</f>
        <v>0</v>
      </c>
      <c r="AW496" s="90">
        <f aca="true" t="shared" si="524" ref="AW496:AW508">F496*AO496</f>
        <v>0</v>
      </c>
      <c r="AX496" s="90">
        <f aca="true" t="shared" si="525" ref="AX496:AX508">F496*AP496</f>
        <v>0</v>
      </c>
      <c r="AY496" s="91" t="s">
        <v>647</v>
      </c>
      <c r="AZ496" s="91" t="s">
        <v>1540</v>
      </c>
      <c r="BA496" s="154" t="s">
        <v>1542</v>
      </c>
      <c r="BC496" s="90">
        <f aca="true" t="shared" si="526" ref="BC496:BC508">AW496+AX496</f>
        <v>0</v>
      </c>
      <c r="BD496" s="90">
        <f aca="true" t="shared" si="527" ref="BD496:BD508">G496/(100-BE496)*100</f>
        <v>0</v>
      </c>
      <c r="BE496" s="90">
        <v>0</v>
      </c>
      <c r="BF496" s="90">
        <f aca="true" t="shared" si="528" ref="BF496:BF508">L496</f>
        <v>0</v>
      </c>
      <c r="BH496" s="90">
        <f aca="true" t="shared" si="529" ref="BH496:BH508">F496*AO496</f>
        <v>0</v>
      </c>
      <c r="BI496" s="90">
        <f aca="true" t="shared" si="530" ref="BI496:BI508">F496*AP496</f>
        <v>0</v>
      </c>
      <c r="BJ496" s="90">
        <f aca="true" t="shared" si="531" ref="BJ496:BJ508">F496*G496</f>
        <v>0</v>
      </c>
    </row>
    <row r="497" spans="1:62" ht="12.75">
      <c r="A497" s="88" t="s">
        <v>943</v>
      </c>
      <c r="B497" s="88" t="s">
        <v>60</v>
      </c>
      <c r="C497" s="88" t="s">
        <v>370</v>
      </c>
      <c r="D497" s="88" t="s">
        <v>1412</v>
      </c>
      <c r="E497" s="88" t="s">
        <v>608</v>
      </c>
      <c r="F497" s="90">
        <v>20.289</v>
      </c>
      <c r="G497" s="90">
        <f>'Stavební rozpočet (SO 13)'!G340</f>
        <v>0</v>
      </c>
      <c r="H497" s="90">
        <f t="shared" si="508"/>
        <v>0</v>
      </c>
      <c r="I497" s="90">
        <f t="shared" si="509"/>
        <v>0</v>
      </c>
      <c r="J497" s="90">
        <f t="shared" si="510"/>
        <v>0</v>
      </c>
      <c r="K497" s="90">
        <v>0</v>
      </c>
      <c r="L497" s="90">
        <f t="shared" si="511"/>
        <v>0</v>
      </c>
      <c r="M497" s="91" t="s">
        <v>622</v>
      </c>
      <c r="O497" s="90"/>
      <c r="P497" s="90"/>
      <c r="Z497" s="90">
        <f t="shared" si="512"/>
        <v>0</v>
      </c>
      <c r="AB497" s="90">
        <f t="shared" si="513"/>
        <v>0</v>
      </c>
      <c r="AC497" s="90">
        <f t="shared" si="514"/>
        <v>0</v>
      </c>
      <c r="AD497" s="90">
        <f t="shared" si="515"/>
        <v>0</v>
      </c>
      <c r="AE497" s="90">
        <f t="shared" si="516"/>
        <v>0</v>
      </c>
      <c r="AF497" s="90">
        <f t="shared" si="517"/>
        <v>0</v>
      </c>
      <c r="AG497" s="90">
        <f t="shared" si="518"/>
        <v>0</v>
      </c>
      <c r="AH497" s="90">
        <f t="shared" si="519"/>
        <v>0</v>
      </c>
      <c r="AI497" s="154" t="s">
        <v>60</v>
      </c>
      <c r="AJ497" s="90">
        <f t="shared" si="520"/>
        <v>0</v>
      </c>
      <c r="AK497" s="90">
        <f t="shared" si="521"/>
        <v>0</v>
      </c>
      <c r="AL497" s="90">
        <f t="shared" si="522"/>
        <v>0</v>
      </c>
      <c r="AN497" s="90">
        <v>21</v>
      </c>
      <c r="AO497" s="90">
        <f>G497*0</f>
        <v>0</v>
      </c>
      <c r="AP497" s="90">
        <f>G497*(1-0)</f>
        <v>0</v>
      </c>
      <c r="AQ497" s="91" t="s">
        <v>85</v>
      </c>
      <c r="AV497" s="90">
        <f t="shared" si="523"/>
        <v>0</v>
      </c>
      <c r="AW497" s="90">
        <f t="shared" si="524"/>
        <v>0</v>
      </c>
      <c r="AX497" s="90">
        <f t="shared" si="525"/>
        <v>0</v>
      </c>
      <c r="AY497" s="91" t="s">
        <v>647</v>
      </c>
      <c r="AZ497" s="91" t="s">
        <v>1540</v>
      </c>
      <c r="BA497" s="154" t="s">
        <v>1542</v>
      </c>
      <c r="BC497" s="90">
        <f t="shared" si="526"/>
        <v>0</v>
      </c>
      <c r="BD497" s="90">
        <f t="shared" si="527"/>
        <v>0</v>
      </c>
      <c r="BE497" s="90">
        <v>0</v>
      </c>
      <c r="BF497" s="90">
        <f t="shared" si="528"/>
        <v>0</v>
      </c>
      <c r="BH497" s="90">
        <f t="shared" si="529"/>
        <v>0</v>
      </c>
      <c r="BI497" s="90">
        <f t="shared" si="530"/>
        <v>0</v>
      </c>
      <c r="BJ497" s="90">
        <f t="shared" si="531"/>
        <v>0</v>
      </c>
    </row>
    <row r="498" spans="1:62" ht="12.75">
      <c r="A498" s="88" t="s">
        <v>1741</v>
      </c>
      <c r="B498" s="88" t="s">
        <v>60</v>
      </c>
      <c r="C498" s="88" t="s">
        <v>371</v>
      </c>
      <c r="D498" s="88" t="s">
        <v>556</v>
      </c>
      <c r="E498" s="88" t="s">
        <v>609</v>
      </c>
      <c r="F498" s="90">
        <v>67.63</v>
      </c>
      <c r="G498" s="90">
        <f>'Stavební rozpočet (SO 13)'!G341</f>
        <v>0</v>
      </c>
      <c r="H498" s="90">
        <f t="shared" si="508"/>
        <v>0</v>
      </c>
      <c r="I498" s="90">
        <f t="shared" si="509"/>
        <v>0</v>
      </c>
      <c r="J498" s="90">
        <f t="shared" si="510"/>
        <v>0</v>
      </c>
      <c r="K498" s="90">
        <v>0</v>
      </c>
      <c r="L498" s="90">
        <f t="shared" si="511"/>
        <v>0</v>
      </c>
      <c r="M498" s="91" t="s">
        <v>622</v>
      </c>
      <c r="O498" s="90"/>
      <c r="P498" s="90"/>
      <c r="Z498" s="90">
        <f t="shared" si="512"/>
        <v>0</v>
      </c>
      <c r="AB498" s="90">
        <f t="shared" si="513"/>
        <v>0</v>
      </c>
      <c r="AC498" s="90">
        <f t="shared" si="514"/>
        <v>0</v>
      </c>
      <c r="AD498" s="90">
        <f t="shared" si="515"/>
        <v>0</v>
      </c>
      <c r="AE498" s="90">
        <f t="shared" si="516"/>
        <v>0</v>
      </c>
      <c r="AF498" s="90">
        <f t="shared" si="517"/>
        <v>0</v>
      </c>
      <c r="AG498" s="90">
        <f t="shared" si="518"/>
        <v>0</v>
      </c>
      <c r="AH498" s="90">
        <f t="shared" si="519"/>
        <v>0</v>
      </c>
      <c r="AI498" s="154" t="s">
        <v>60</v>
      </c>
      <c r="AJ498" s="90">
        <f t="shared" si="520"/>
        <v>0</v>
      </c>
      <c r="AK498" s="90">
        <f t="shared" si="521"/>
        <v>0</v>
      </c>
      <c r="AL498" s="90">
        <f t="shared" si="522"/>
        <v>0</v>
      </c>
      <c r="AN498" s="90">
        <v>21</v>
      </c>
      <c r="AO498" s="90">
        <f>G498*0</f>
        <v>0</v>
      </c>
      <c r="AP498" s="90">
        <f>G498*(1-0)</f>
        <v>0</v>
      </c>
      <c r="AQ498" s="91" t="s">
        <v>85</v>
      </c>
      <c r="AV498" s="90">
        <f t="shared" si="523"/>
        <v>0</v>
      </c>
      <c r="AW498" s="90">
        <f t="shared" si="524"/>
        <v>0</v>
      </c>
      <c r="AX498" s="90">
        <f t="shared" si="525"/>
        <v>0</v>
      </c>
      <c r="AY498" s="91" t="s">
        <v>647</v>
      </c>
      <c r="AZ498" s="91" t="s">
        <v>1540</v>
      </c>
      <c r="BA498" s="154" t="s">
        <v>1542</v>
      </c>
      <c r="BC498" s="90">
        <f t="shared" si="526"/>
        <v>0</v>
      </c>
      <c r="BD498" s="90">
        <f t="shared" si="527"/>
        <v>0</v>
      </c>
      <c r="BE498" s="90">
        <v>0</v>
      </c>
      <c r="BF498" s="90">
        <f t="shared" si="528"/>
        <v>0</v>
      </c>
      <c r="BH498" s="90">
        <f t="shared" si="529"/>
        <v>0</v>
      </c>
      <c r="BI498" s="90">
        <f t="shared" si="530"/>
        <v>0</v>
      </c>
      <c r="BJ498" s="90">
        <f t="shared" si="531"/>
        <v>0</v>
      </c>
    </row>
    <row r="499" spans="1:62" ht="12.75">
      <c r="A499" s="88" t="s">
        <v>1742</v>
      </c>
      <c r="B499" s="88" t="s">
        <v>60</v>
      </c>
      <c r="C499" s="88" t="s">
        <v>372</v>
      </c>
      <c r="D499" s="88" t="s">
        <v>557</v>
      </c>
      <c r="E499" s="88" t="s">
        <v>608</v>
      </c>
      <c r="F499" s="90">
        <v>59.05</v>
      </c>
      <c r="G499" s="90">
        <f>'Stavební rozpočet (SO 13)'!G342</f>
        <v>0</v>
      </c>
      <c r="H499" s="90">
        <f t="shared" si="508"/>
        <v>0</v>
      </c>
      <c r="I499" s="90">
        <f t="shared" si="509"/>
        <v>0</v>
      </c>
      <c r="J499" s="90">
        <f t="shared" si="510"/>
        <v>0</v>
      </c>
      <c r="K499" s="90">
        <v>0.00021</v>
      </c>
      <c r="L499" s="90">
        <f t="shared" si="511"/>
        <v>0.0124005</v>
      </c>
      <c r="M499" s="91" t="s">
        <v>622</v>
      </c>
      <c r="O499" s="90"/>
      <c r="P499" s="90"/>
      <c r="Z499" s="90">
        <f t="shared" si="512"/>
        <v>0</v>
      </c>
      <c r="AB499" s="90">
        <f t="shared" si="513"/>
        <v>0</v>
      </c>
      <c r="AC499" s="90">
        <f t="shared" si="514"/>
        <v>0</v>
      </c>
      <c r="AD499" s="90">
        <f t="shared" si="515"/>
        <v>0</v>
      </c>
      <c r="AE499" s="90">
        <f t="shared" si="516"/>
        <v>0</v>
      </c>
      <c r="AF499" s="90">
        <f t="shared" si="517"/>
        <v>0</v>
      </c>
      <c r="AG499" s="90">
        <f t="shared" si="518"/>
        <v>0</v>
      </c>
      <c r="AH499" s="90">
        <f t="shared" si="519"/>
        <v>0</v>
      </c>
      <c r="AI499" s="154" t="s">
        <v>60</v>
      </c>
      <c r="AJ499" s="90">
        <f t="shared" si="520"/>
        <v>0</v>
      </c>
      <c r="AK499" s="90">
        <f t="shared" si="521"/>
        <v>0</v>
      </c>
      <c r="AL499" s="90">
        <f t="shared" si="522"/>
        <v>0</v>
      </c>
      <c r="AN499" s="90">
        <v>21</v>
      </c>
      <c r="AO499" s="90">
        <f>G499*0.533420079381047</f>
        <v>0</v>
      </c>
      <c r="AP499" s="90">
        <f>G499*(1-0.533420079381047)</f>
        <v>0</v>
      </c>
      <c r="AQ499" s="91" t="s">
        <v>85</v>
      </c>
      <c r="AV499" s="90">
        <f t="shared" si="523"/>
        <v>0</v>
      </c>
      <c r="AW499" s="90">
        <f t="shared" si="524"/>
        <v>0</v>
      </c>
      <c r="AX499" s="90">
        <f t="shared" si="525"/>
        <v>0</v>
      </c>
      <c r="AY499" s="91" t="s">
        <v>647</v>
      </c>
      <c r="AZ499" s="91" t="s">
        <v>1540</v>
      </c>
      <c r="BA499" s="154" t="s">
        <v>1542</v>
      </c>
      <c r="BC499" s="90">
        <f t="shared" si="526"/>
        <v>0</v>
      </c>
      <c r="BD499" s="90">
        <f t="shared" si="527"/>
        <v>0</v>
      </c>
      <c r="BE499" s="90">
        <v>0</v>
      </c>
      <c r="BF499" s="90">
        <f t="shared" si="528"/>
        <v>0.0124005</v>
      </c>
      <c r="BH499" s="90">
        <f t="shared" si="529"/>
        <v>0</v>
      </c>
      <c r="BI499" s="90">
        <f t="shared" si="530"/>
        <v>0</v>
      </c>
      <c r="BJ499" s="90">
        <f t="shared" si="531"/>
        <v>0</v>
      </c>
    </row>
    <row r="500" spans="1:62" ht="12.75">
      <c r="A500" s="88" t="s">
        <v>1743</v>
      </c>
      <c r="B500" s="88" t="s">
        <v>60</v>
      </c>
      <c r="C500" s="88" t="s">
        <v>1108</v>
      </c>
      <c r="D500" s="88" t="s">
        <v>1413</v>
      </c>
      <c r="E500" s="88" t="s">
        <v>609</v>
      </c>
      <c r="F500" s="90">
        <v>9.23</v>
      </c>
      <c r="G500" s="90">
        <f>'Stavební rozpočet (SO 13)'!G343</f>
        <v>0</v>
      </c>
      <c r="H500" s="90">
        <f t="shared" si="508"/>
        <v>0</v>
      </c>
      <c r="I500" s="90">
        <f t="shared" si="509"/>
        <v>0</v>
      </c>
      <c r="J500" s="90">
        <f t="shared" si="510"/>
        <v>0</v>
      </c>
      <c r="K500" s="90">
        <v>0</v>
      </c>
      <c r="L500" s="90">
        <f t="shared" si="511"/>
        <v>0</v>
      </c>
      <c r="M500" s="91" t="s">
        <v>622</v>
      </c>
      <c r="O500" s="90"/>
      <c r="P500" s="90"/>
      <c r="Z500" s="90">
        <f t="shared" si="512"/>
        <v>0</v>
      </c>
      <c r="AB500" s="90">
        <f t="shared" si="513"/>
        <v>0</v>
      </c>
      <c r="AC500" s="90">
        <f t="shared" si="514"/>
        <v>0</v>
      </c>
      <c r="AD500" s="90">
        <f t="shared" si="515"/>
        <v>0</v>
      </c>
      <c r="AE500" s="90">
        <f t="shared" si="516"/>
        <v>0</v>
      </c>
      <c r="AF500" s="90">
        <f t="shared" si="517"/>
        <v>0</v>
      </c>
      <c r="AG500" s="90">
        <f t="shared" si="518"/>
        <v>0</v>
      </c>
      <c r="AH500" s="90">
        <f t="shared" si="519"/>
        <v>0</v>
      </c>
      <c r="AI500" s="154" t="s">
        <v>60</v>
      </c>
      <c r="AJ500" s="90">
        <f t="shared" si="520"/>
        <v>0</v>
      </c>
      <c r="AK500" s="90">
        <f t="shared" si="521"/>
        <v>0</v>
      </c>
      <c r="AL500" s="90">
        <f t="shared" si="522"/>
        <v>0</v>
      </c>
      <c r="AN500" s="90">
        <v>21</v>
      </c>
      <c r="AO500" s="90">
        <f>G500*0</f>
        <v>0</v>
      </c>
      <c r="AP500" s="90">
        <f>G500*(1-0)</f>
        <v>0</v>
      </c>
      <c r="AQ500" s="91" t="s">
        <v>85</v>
      </c>
      <c r="AV500" s="90">
        <f t="shared" si="523"/>
        <v>0</v>
      </c>
      <c r="AW500" s="90">
        <f t="shared" si="524"/>
        <v>0</v>
      </c>
      <c r="AX500" s="90">
        <f t="shared" si="525"/>
        <v>0</v>
      </c>
      <c r="AY500" s="91" t="s">
        <v>647</v>
      </c>
      <c r="AZ500" s="91" t="s">
        <v>1540</v>
      </c>
      <c r="BA500" s="154" t="s">
        <v>1542</v>
      </c>
      <c r="BC500" s="90">
        <f t="shared" si="526"/>
        <v>0</v>
      </c>
      <c r="BD500" s="90">
        <f t="shared" si="527"/>
        <v>0</v>
      </c>
      <c r="BE500" s="90">
        <v>0</v>
      </c>
      <c r="BF500" s="90">
        <f t="shared" si="528"/>
        <v>0</v>
      </c>
      <c r="BH500" s="90">
        <f t="shared" si="529"/>
        <v>0</v>
      </c>
      <c r="BI500" s="90">
        <f t="shared" si="530"/>
        <v>0</v>
      </c>
      <c r="BJ500" s="90">
        <f t="shared" si="531"/>
        <v>0</v>
      </c>
    </row>
    <row r="501" spans="1:62" ht="12.75">
      <c r="A501" s="88" t="s">
        <v>1744</v>
      </c>
      <c r="B501" s="88" t="s">
        <v>60</v>
      </c>
      <c r="C501" s="88" t="s">
        <v>1109</v>
      </c>
      <c r="D501" s="88" t="s">
        <v>1414</v>
      </c>
      <c r="E501" s="88" t="s">
        <v>609</v>
      </c>
      <c r="F501" s="90">
        <v>10.15</v>
      </c>
      <c r="G501" s="90">
        <f>'Stavební rozpočet (SO 13)'!G344</f>
        <v>0</v>
      </c>
      <c r="H501" s="90">
        <f t="shared" si="508"/>
        <v>0</v>
      </c>
      <c r="I501" s="90">
        <f t="shared" si="509"/>
        <v>0</v>
      </c>
      <c r="J501" s="90">
        <f t="shared" si="510"/>
        <v>0</v>
      </c>
      <c r="K501" s="90">
        <v>0.00022</v>
      </c>
      <c r="L501" s="90">
        <f t="shared" si="511"/>
        <v>0.002233</v>
      </c>
      <c r="M501" s="91" t="s">
        <v>622</v>
      </c>
      <c r="O501" s="90"/>
      <c r="P501" s="90"/>
      <c r="Z501" s="90">
        <f t="shared" si="512"/>
        <v>0</v>
      </c>
      <c r="AB501" s="90">
        <f t="shared" si="513"/>
        <v>0</v>
      </c>
      <c r="AC501" s="90">
        <f t="shared" si="514"/>
        <v>0</v>
      </c>
      <c r="AD501" s="90">
        <f t="shared" si="515"/>
        <v>0</v>
      </c>
      <c r="AE501" s="90">
        <f t="shared" si="516"/>
        <v>0</v>
      </c>
      <c r="AF501" s="90">
        <f t="shared" si="517"/>
        <v>0</v>
      </c>
      <c r="AG501" s="90">
        <f t="shared" si="518"/>
        <v>0</v>
      </c>
      <c r="AH501" s="90">
        <f t="shared" si="519"/>
        <v>0</v>
      </c>
      <c r="AI501" s="154" t="s">
        <v>60</v>
      </c>
      <c r="AJ501" s="90">
        <f t="shared" si="520"/>
        <v>0</v>
      </c>
      <c r="AK501" s="90">
        <f t="shared" si="521"/>
        <v>0</v>
      </c>
      <c r="AL501" s="90">
        <f t="shared" si="522"/>
        <v>0</v>
      </c>
      <c r="AN501" s="90">
        <v>21</v>
      </c>
      <c r="AO501" s="90">
        <f>G501*1</f>
        <v>0</v>
      </c>
      <c r="AP501" s="90">
        <f>G501*(1-1)</f>
        <v>0</v>
      </c>
      <c r="AQ501" s="91" t="s">
        <v>85</v>
      </c>
      <c r="AV501" s="90">
        <f t="shared" si="523"/>
        <v>0</v>
      </c>
      <c r="AW501" s="90">
        <f t="shared" si="524"/>
        <v>0</v>
      </c>
      <c r="AX501" s="90">
        <f t="shared" si="525"/>
        <v>0</v>
      </c>
      <c r="AY501" s="91" t="s">
        <v>647</v>
      </c>
      <c r="AZ501" s="91" t="s">
        <v>1540</v>
      </c>
      <c r="BA501" s="154" t="s">
        <v>1542</v>
      </c>
      <c r="BC501" s="90">
        <f t="shared" si="526"/>
        <v>0</v>
      </c>
      <c r="BD501" s="90">
        <f t="shared" si="527"/>
        <v>0</v>
      </c>
      <c r="BE501" s="90">
        <v>0</v>
      </c>
      <c r="BF501" s="90">
        <f t="shared" si="528"/>
        <v>0.002233</v>
      </c>
      <c r="BH501" s="90">
        <f t="shared" si="529"/>
        <v>0</v>
      </c>
      <c r="BI501" s="90">
        <f t="shared" si="530"/>
        <v>0</v>
      </c>
      <c r="BJ501" s="90">
        <f t="shared" si="531"/>
        <v>0</v>
      </c>
    </row>
    <row r="502" spans="1:62" ht="12.75">
      <c r="A502" s="88" t="s">
        <v>1745</v>
      </c>
      <c r="B502" s="88" t="s">
        <v>60</v>
      </c>
      <c r="C502" s="88" t="s">
        <v>373</v>
      </c>
      <c r="D502" s="88" t="s">
        <v>1415</v>
      </c>
      <c r="E502" s="88" t="s">
        <v>609</v>
      </c>
      <c r="F502" s="90">
        <v>24.33</v>
      </c>
      <c r="G502" s="90">
        <f>'Stavební rozpočet (SO 13)'!G345</f>
        <v>0</v>
      </c>
      <c r="H502" s="90">
        <f t="shared" si="508"/>
        <v>0</v>
      </c>
      <c r="I502" s="90">
        <f t="shared" si="509"/>
        <v>0</v>
      </c>
      <c r="J502" s="90">
        <f t="shared" si="510"/>
        <v>0</v>
      </c>
      <c r="K502" s="90">
        <v>0.00032</v>
      </c>
      <c r="L502" s="90">
        <f t="shared" si="511"/>
        <v>0.0077856</v>
      </c>
      <c r="M502" s="91" t="s">
        <v>622</v>
      </c>
      <c r="O502" s="90"/>
      <c r="P502" s="90"/>
      <c r="Z502" s="90">
        <f t="shared" si="512"/>
        <v>0</v>
      </c>
      <c r="AB502" s="90">
        <f t="shared" si="513"/>
        <v>0</v>
      </c>
      <c r="AC502" s="90">
        <f t="shared" si="514"/>
        <v>0</v>
      </c>
      <c r="AD502" s="90">
        <f t="shared" si="515"/>
        <v>0</v>
      </c>
      <c r="AE502" s="90">
        <f t="shared" si="516"/>
        <v>0</v>
      </c>
      <c r="AF502" s="90">
        <f t="shared" si="517"/>
        <v>0</v>
      </c>
      <c r="AG502" s="90">
        <f t="shared" si="518"/>
        <v>0</v>
      </c>
      <c r="AH502" s="90">
        <f t="shared" si="519"/>
        <v>0</v>
      </c>
      <c r="AI502" s="154" t="s">
        <v>60</v>
      </c>
      <c r="AJ502" s="90">
        <f t="shared" si="520"/>
        <v>0</v>
      </c>
      <c r="AK502" s="90">
        <f t="shared" si="521"/>
        <v>0</v>
      </c>
      <c r="AL502" s="90">
        <f t="shared" si="522"/>
        <v>0</v>
      </c>
      <c r="AN502" s="90">
        <v>21</v>
      </c>
      <c r="AO502" s="90">
        <f>G502*0.0855913978494624</f>
        <v>0</v>
      </c>
      <c r="AP502" s="90">
        <f>G502*(1-0.0855913978494624)</f>
        <v>0</v>
      </c>
      <c r="AQ502" s="91" t="s">
        <v>85</v>
      </c>
      <c r="AV502" s="90">
        <f t="shared" si="523"/>
        <v>0</v>
      </c>
      <c r="AW502" s="90">
        <f t="shared" si="524"/>
        <v>0</v>
      </c>
      <c r="AX502" s="90">
        <f t="shared" si="525"/>
        <v>0</v>
      </c>
      <c r="AY502" s="91" t="s">
        <v>647</v>
      </c>
      <c r="AZ502" s="91" t="s">
        <v>1540</v>
      </c>
      <c r="BA502" s="154" t="s">
        <v>1542</v>
      </c>
      <c r="BC502" s="90">
        <f t="shared" si="526"/>
        <v>0</v>
      </c>
      <c r="BD502" s="90">
        <f t="shared" si="527"/>
        <v>0</v>
      </c>
      <c r="BE502" s="90">
        <v>0</v>
      </c>
      <c r="BF502" s="90">
        <f t="shared" si="528"/>
        <v>0.0077856</v>
      </c>
      <c r="BH502" s="90">
        <f t="shared" si="529"/>
        <v>0</v>
      </c>
      <c r="BI502" s="90">
        <f t="shared" si="530"/>
        <v>0</v>
      </c>
      <c r="BJ502" s="90">
        <f t="shared" si="531"/>
        <v>0</v>
      </c>
    </row>
    <row r="503" spans="1:62" ht="12.75">
      <c r="A503" s="88" t="s">
        <v>1746</v>
      </c>
      <c r="B503" s="88" t="s">
        <v>60</v>
      </c>
      <c r="C503" s="88" t="s">
        <v>374</v>
      </c>
      <c r="D503" s="88" t="s">
        <v>559</v>
      </c>
      <c r="E503" s="88" t="s">
        <v>608</v>
      </c>
      <c r="F503" s="90">
        <v>1.86</v>
      </c>
      <c r="G503" s="90">
        <f>'Stavební rozpočet (SO 13)'!G346</f>
        <v>0</v>
      </c>
      <c r="H503" s="90">
        <f t="shared" si="508"/>
        <v>0</v>
      </c>
      <c r="I503" s="90">
        <f t="shared" si="509"/>
        <v>0</v>
      </c>
      <c r="J503" s="90">
        <f t="shared" si="510"/>
        <v>0</v>
      </c>
      <c r="K503" s="90">
        <v>0.0192</v>
      </c>
      <c r="L503" s="90">
        <f t="shared" si="511"/>
        <v>0.035712</v>
      </c>
      <c r="M503" s="91" t="s">
        <v>622</v>
      </c>
      <c r="O503" s="90"/>
      <c r="P503" s="90"/>
      <c r="Z503" s="90">
        <f t="shared" si="512"/>
        <v>0</v>
      </c>
      <c r="AB503" s="90">
        <f t="shared" si="513"/>
        <v>0</v>
      </c>
      <c r="AC503" s="90">
        <f t="shared" si="514"/>
        <v>0</v>
      </c>
      <c r="AD503" s="90">
        <f t="shared" si="515"/>
        <v>0</v>
      </c>
      <c r="AE503" s="90">
        <f t="shared" si="516"/>
        <v>0</v>
      </c>
      <c r="AF503" s="90">
        <f t="shared" si="517"/>
        <v>0</v>
      </c>
      <c r="AG503" s="90">
        <f t="shared" si="518"/>
        <v>0</v>
      </c>
      <c r="AH503" s="90">
        <f t="shared" si="519"/>
        <v>0</v>
      </c>
      <c r="AI503" s="154" t="s">
        <v>60</v>
      </c>
      <c r="AJ503" s="90">
        <f t="shared" si="520"/>
        <v>0</v>
      </c>
      <c r="AK503" s="90">
        <f t="shared" si="521"/>
        <v>0</v>
      </c>
      <c r="AL503" s="90">
        <f t="shared" si="522"/>
        <v>0</v>
      </c>
      <c r="AN503" s="90">
        <v>21</v>
      </c>
      <c r="AO503" s="90">
        <f>G503*1</f>
        <v>0</v>
      </c>
      <c r="AP503" s="90">
        <f>G503*(1-1)</f>
        <v>0</v>
      </c>
      <c r="AQ503" s="91" t="s">
        <v>85</v>
      </c>
      <c r="AV503" s="90">
        <f t="shared" si="523"/>
        <v>0</v>
      </c>
      <c r="AW503" s="90">
        <f t="shared" si="524"/>
        <v>0</v>
      </c>
      <c r="AX503" s="90">
        <f t="shared" si="525"/>
        <v>0</v>
      </c>
      <c r="AY503" s="91" t="s">
        <v>647</v>
      </c>
      <c r="AZ503" s="91" t="s">
        <v>1540</v>
      </c>
      <c r="BA503" s="154" t="s">
        <v>1542</v>
      </c>
      <c r="BC503" s="90">
        <f t="shared" si="526"/>
        <v>0</v>
      </c>
      <c r="BD503" s="90">
        <f t="shared" si="527"/>
        <v>0</v>
      </c>
      <c r="BE503" s="90">
        <v>0</v>
      </c>
      <c r="BF503" s="90">
        <f t="shared" si="528"/>
        <v>0.035712</v>
      </c>
      <c r="BH503" s="90">
        <f t="shared" si="529"/>
        <v>0</v>
      </c>
      <c r="BI503" s="90">
        <f t="shared" si="530"/>
        <v>0</v>
      </c>
      <c r="BJ503" s="90">
        <f t="shared" si="531"/>
        <v>0</v>
      </c>
    </row>
    <row r="504" spans="1:62" ht="12.75">
      <c r="A504" s="88" t="s">
        <v>1747</v>
      </c>
      <c r="B504" s="88" t="s">
        <v>60</v>
      </c>
      <c r="C504" s="88" t="s">
        <v>375</v>
      </c>
      <c r="D504" s="88" t="s">
        <v>560</v>
      </c>
      <c r="E504" s="88" t="s">
        <v>609</v>
      </c>
      <c r="F504" s="90">
        <v>16.22</v>
      </c>
      <c r="G504" s="90">
        <f>'Stavební rozpočet (SO 13)'!G347</f>
        <v>0</v>
      </c>
      <c r="H504" s="90">
        <f t="shared" si="508"/>
        <v>0</v>
      </c>
      <c r="I504" s="90">
        <f t="shared" si="509"/>
        <v>0</v>
      </c>
      <c r="J504" s="90">
        <f t="shared" si="510"/>
        <v>0</v>
      </c>
      <c r="K504" s="90">
        <v>0</v>
      </c>
      <c r="L504" s="90">
        <f t="shared" si="511"/>
        <v>0</v>
      </c>
      <c r="M504" s="91" t="s">
        <v>622</v>
      </c>
      <c r="O504" s="90"/>
      <c r="P504" s="90"/>
      <c r="Z504" s="90">
        <f t="shared" si="512"/>
        <v>0</v>
      </c>
      <c r="AB504" s="90">
        <f t="shared" si="513"/>
        <v>0</v>
      </c>
      <c r="AC504" s="90">
        <f t="shared" si="514"/>
        <v>0</v>
      </c>
      <c r="AD504" s="90">
        <f t="shared" si="515"/>
        <v>0</v>
      </c>
      <c r="AE504" s="90">
        <f t="shared" si="516"/>
        <v>0</v>
      </c>
      <c r="AF504" s="90">
        <f t="shared" si="517"/>
        <v>0</v>
      </c>
      <c r="AG504" s="90">
        <f t="shared" si="518"/>
        <v>0</v>
      </c>
      <c r="AH504" s="90">
        <f t="shared" si="519"/>
        <v>0</v>
      </c>
      <c r="AI504" s="154" t="s">
        <v>60</v>
      </c>
      <c r="AJ504" s="90">
        <f t="shared" si="520"/>
        <v>0</v>
      </c>
      <c r="AK504" s="90">
        <f t="shared" si="521"/>
        <v>0</v>
      </c>
      <c r="AL504" s="90">
        <f t="shared" si="522"/>
        <v>0</v>
      </c>
      <c r="AN504" s="90">
        <v>21</v>
      </c>
      <c r="AO504" s="90">
        <f>G504*0.0743484251367845</f>
        <v>0</v>
      </c>
      <c r="AP504" s="90">
        <f>G504*(1-0.0743484251367845)</f>
        <v>0</v>
      </c>
      <c r="AQ504" s="91" t="s">
        <v>85</v>
      </c>
      <c r="AV504" s="90">
        <f t="shared" si="523"/>
        <v>0</v>
      </c>
      <c r="AW504" s="90">
        <f t="shared" si="524"/>
        <v>0</v>
      </c>
      <c r="AX504" s="90">
        <f t="shared" si="525"/>
        <v>0</v>
      </c>
      <c r="AY504" s="91" t="s">
        <v>647</v>
      </c>
      <c r="AZ504" s="91" t="s">
        <v>1540</v>
      </c>
      <c r="BA504" s="154" t="s">
        <v>1542</v>
      </c>
      <c r="BC504" s="90">
        <f t="shared" si="526"/>
        <v>0</v>
      </c>
      <c r="BD504" s="90">
        <f t="shared" si="527"/>
        <v>0</v>
      </c>
      <c r="BE504" s="90">
        <v>0</v>
      </c>
      <c r="BF504" s="90">
        <f t="shared" si="528"/>
        <v>0</v>
      </c>
      <c r="BH504" s="90">
        <f t="shared" si="529"/>
        <v>0</v>
      </c>
      <c r="BI504" s="90">
        <f t="shared" si="530"/>
        <v>0</v>
      </c>
      <c r="BJ504" s="90">
        <f t="shared" si="531"/>
        <v>0</v>
      </c>
    </row>
    <row r="505" spans="1:62" ht="12.75">
      <c r="A505" s="88" t="s">
        <v>1748</v>
      </c>
      <c r="B505" s="88" t="s">
        <v>60</v>
      </c>
      <c r="C505" s="88" t="s">
        <v>376</v>
      </c>
      <c r="D505" s="88" t="s">
        <v>1416</v>
      </c>
      <c r="E505" s="88" t="s">
        <v>608</v>
      </c>
      <c r="F505" s="90">
        <v>38.76</v>
      </c>
      <c r="G505" s="90">
        <f>'Stavební rozpočet (SO 13)'!G348</f>
        <v>0</v>
      </c>
      <c r="H505" s="90">
        <f t="shared" si="508"/>
        <v>0</v>
      </c>
      <c r="I505" s="90">
        <f t="shared" si="509"/>
        <v>0</v>
      </c>
      <c r="J505" s="90">
        <f t="shared" si="510"/>
        <v>0</v>
      </c>
      <c r="K505" s="90">
        <v>0.00504</v>
      </c>
      <c r="L505" s="90">
        <f t="shared" si="511"/>
        <v>0.1953504</v>
      </c>
      <c r="M505" s="91" t="s">
        <v>622</v>
      </c>
      <c r="O505" s="90"/>
      <c r="P505" s="90"/>
      <c r="Z505" s="90">
        <f t="shared" si="512"/>
        <v>0</v>
      </c>
      <c r="AB505" s="90">
        <f t="shared" si="513"/>
        <v>0</v>
      </c>
      <c r="AC505" s="90">
        <f t="shared" si="514"/>
        <v>0</v>
      </c>
      <c r="AD505" s="90">
        <f t="shared" si="515"/>
        <v>0</v>
      </c>
      <c r="AE505" s="90">
        <f t="shared" si="516"/>
        <v>0</v>
      </c>
      <c r="AF505" s="90">
        <f t="shared" si="517"/>
        <v>0</v>
      </c>
      <c r="AG505" s="90">
        <f t="shared" si="518"/>
        <v>0</v>
      </c>
      <c r="AH505" s="90">
        <f t="shared" si="519"/>
        <v>0</v>
      </c>
      <c r="AI505" s="154" t="s">
        <v>60</v>
      </c>
      <c r="AJ505" s="90">
        <f t="shared" si="520"/>
        <v>0</v>
      </c>
      <c r="AK505" s="90">
        <f t="shared" si="521"/>
        <v>0</v>
      </c>
      <c r="AL505" s="90">
        <f t="shared" si="522"/>
        <v>0</v>
      </c>
      <c r="AN505" s="90">
        <v>21</v>
      </c>
      <c r="AO505" s="90">
        <f>G505*0.1941647597254</f>
        <v>0</v>
      </c>
      <c r="AP505" s="90">
        <f>G505*(1-0.1941647597254)</f>
        <v>0</v>
      </c>
      <c r="AQ505" s="91" t="s">
        <v>85</v>
      </c>
      <c r="AV505" s="90">
        <f t="shared" si="523"/>
        <v>0</v>
      </c>
      <c r="AW505" s="90">
        <f t="shared" si="524"/>
        <v>0</v>
      </c>
      <c r="AX505" s="90">
        <f t="shared" si="525"/>
        <v>0</v>
      </c>
      <c r="AY505" s="91" t="s">
        <v>647</v>
      </c>
      <c r="AZ505" s="91" t="s">
        <v>1540</v>
      </c>
      <c r="BA505" s="154" t="s">
        <v>1542</v>
      </c>
      <c r="BC505" s="90">
        <f t="shared" si="526"/>
        <v>0</v>
      </c>
      <c r="BD505" s="90">
        <f t="shared" si="527"/>
        <v>0</v>
      </c>
      <c r="BE505" s="90">
        <v>0</v>
      </c>
      <c r="BF505" s="90">
        <f t="shared" si="528"/>
        <v>0.1953504</v>
      </c>
      <c r="BH505" s="90">
        <f t="shared" si="529"/>
        <v>0</v>
      </c>
      <c r="BI505" s="90">
        <f t="shared" si="530"/>
        <v>0</v>
      </c>
      <c r="BJ505" s="90">
        <f t="shared" si="531"/>
        <v>0</v>
      </c>
    </row>
    <row r="506" spans="1:62" ht="12.75">
      <c r="A506" s="88" t="s">
        <v>1749</v>
      </c>
      <c r="B506" s="88" t="s">
        <v>60</v>
      </c>
      <c r="C506" s="88" t="s">
        <v>374</v>
      </c>
      <c r="D506" s="88" t="s">
        <v>559</v>
      </c>
      <c r="E506" s="88" t="s">
        <v>608</v>
      </c>
      <c r="F506" s="90">
        <v>40.698</v>
      </c>
      <c r="G506" s="90">
        <f>'Stavební rozpočet (SO 13)'!G350</f>
        <v>0</v>
      </c>
      <c r="H506" s="90">
        <f t="shared" si="508"/>
        <v>0</v>
      </c>
      <c r="I506" s="90">
        <f t="shared" si="509"/>
        <v>0</v>
      </c>
      <c r="J506" s="90">
        <f t="shared" si="510"/>
        <v>0</v>
      </c>
      <c r="K506" s="90">
        <v>0.0192</v>
      </c>
      <c r="L506" s="90">
        <f t="shared" si="511"/>
        <v>0.7814015999999999</v>
      </c>
      <c r="M506" s="91" t="s">
        <v>622</v>
      </c>
      <c r="O506" s="90"/>
      <c r="P506" s="90"/>
      <c r="Z506" s="90">
        <f t="shared" si="512"/>
        <v>0</v>
      </c>
      <c r="AB506" s="90">
        <f t="shared" si="513"/>
        <v>0</v>
      </c>
      <c r="AC506" s="90">
        <f t="shared" si="514"/>
        <v>0</v>
      </c>
      <c r="AD506" s="90">
        <f t="shared" si="515"/>
        <v>0</v>
      </c>
      <c r="AE506" s="90">
        <f t="shared" si="516"/>
        <v>0</v>
      </c>
      <c r="AF506" s="90">
        <f t="shared" si="517"/>
        <v>0</v>
      </c>
      <c r="AG506" s="90">
        <f t="shared" si="518"/>
        <v>0</v>
      </c>
      <c r="AH506" s="90">
        <f t="shared" si="519"/>
        <v>0</v>
      </c>
      <c r="AI506" s="154" t="s">
        <v>60</v>
      </c>
      <c r="AJ506" s="90">
        <f t="shared" si="520"/>
        <v>0</v>
      </c>
      <c r="AK506" s="90">
        <f t="shared" si="521"/>
        <v>0</v>
      </c>
      <c r="AL506" s="90">
        <f t="shared" si="522"/>
        <v>0</v>
      </c>
      <c r="AN506" s="90">
        <v>21</v>
      </c>
      <c r="AO506" s="90">
        <f>G506*1</f>
        <v>0</v>
      </c>
      <c r="AP506" s="90">
        <f>G506*(1-1)</f>
        <v>0</v>
      </c>
      <c r="AQ506" s="91" t="s">
        <v>85</v>
      </c>
      <c r="AV506" s="90">
        <f t="shared" si="523"/>
        <v>0</v>
      </c>
      <c r="AW506" s="90">
        <f t="shared" si="524"/>
        <v>0</v>
      </c>
      <c r="AX506" s="90">
        <f t="shared" si="525"/>
        <v>0</v>
      </c>
      <c r="AY506" s="91" t="s">
        <v>647</v>
      </c>
      <c r="AZ506" s="91" t="s">
        <v>1540</v>
      </c>
      <c r="BA506" s="154" t="s">
        <v>1542</v>
      </c>
      <c r="BC506" s="90">
        <f t="shared" si="526"/>
        <v>0</v>
      </c>
      <c r="BD506" s="90">
        <f t="shared" si="527"/>
        <v>0</v>
      </c>
      <c r="BE506" s="90">
        <v>0</v>
      </c>
      <c r="BF506" s="90">
        <f t="shared" si="528"/>
        <v>0.7814015999999999</v>
      </c>
      <c r="BH506" s="90">
        <f t="shared" si="529"/>
        <v>0</v>
      </c>
      <c r="BI506" s="90">
        <f t="shared" si="530"/>
        <v>0</v>
      </c>
      <c r="BJ506" s="90">
        <f t="shared" si="531"/>
        <v>0</v>
      </c>
    </row>
    <row r="507" spans="1:62" ht="12.75">
      <c r="A507" s="88" t="s">
        <v>1750</v>
      </c>
      <c r="B507" s="88" t="s">
        <v>60</v>
      </c>
      <c r="C507" s="88" t="s">
        <v>1110</v>
      </c>
      <c r="D507" s="88" t="s">
        <v>1417</v>
      </c>
      <c r="E507" s="88" t="s">
        <v>609</v>
      </c>
      <c r="F507" s="90">
        <v>43.3</v>
      </c>
      <c r="G507" s="90">
        <f>'Stavební rozpočet (SO 13)'!G351</f>
        <v>0</v>
      </c>
      <c r="H507" s="90">
        <f t="shared" si="508"/>
        <v>0</v>
      </c>
      <c r="I507" s="90">
        <f t="shared" si="509"/>
        <v>0</v>
      </c>
      <c r="J507" s="90">
        <f t="shared" si="510"/>
        <v>0</v>
      </c>
      <c r="K507" s="90">
        <v>0.00018</v>
      </c>
      <c r="L507" s="90">
        <f t="shared" si="511"/>
        <v>0.007794</v>
      </c>
      <c r="M507" s="91" t="s">
        <v>622</v>
      </c>
      <c r="O507" s="90"/>
      <c r="P507" s="90"/>
      <c r="Z507" s="90">
        <f t="shared" si="512"/>
        <v>0</v>
      </c>
      <c r="AB507" s="90">
        <f t="shared" si="513"/>
        <v>0</v>
      </c>
      <c r="AC507" s="90">
        <f t="shared" si="514"/>
        <v>0</v>
      </c>
      <c r="AD507" s="90">
        <f t="shared" si="515"/>
        <v>0</v>
      </c>
      <c r="AE507" s="90">
        <f t="shared" si="516"/>
        <v>0</v>
      </c>
      <c r="AF507" s="90">
        <f t="shared" si="517"/>
        <v>0</v>
      </c>
      <c r="AG507" s="90">
        <f t="shared" si="518"/>
        <v>0</v>
      </c>
      <c r="AH507" s="90">
        <f t="shared" si="519"/>
        <v>0</v>
      </c>
      <c r="AI507" s="154" t="s">
        <v>60</v>
      </c>
      <c r="AJ507" s="90">
        <f t="shared" si="520"/>
        <v>0</v>
      </c>
      <c r="AK507" s="90">
        <f t="shared" si="521"/>
        <v>0</v>
      </c>
      <c r="AL507" s="90">
        <f t="shared" si="522"/>
        <v>0</v>
      </c>
      <c r="AN507" s="90">
        <v>21</v>
      </c>
      <c r="AO507" s="90">
        <f>G507*0.688992805755396</f>
        <v>0</v>
      </c>
      <c r="AP507" s="90">
        <f>G507*(1-0.688992805755396)</f>
        <v>0</v>
      </c>
      <c r="AQ507" s="91" t="s">
        <v>85</v>
      </c>
      <c r="AV507" s="90">
        <f t="shared" si="523"/>
        <v>0</v>
      </c>
      <c r="AW507" s="90">
        <f t="shared" si="524"/>
        <v>0</v>
      </c>
      <c r="AX507" s="90">
        <f t="shared" si="525"/>
        <v>0</v>
      </c>
      <c r="AY507" s="91" t="s">
        <v>647</v>
      </c>
      <c r="AZ507" s="91" t="s">
        <v>1540</v>
      </c>
      <c r="BA507" s="154" t="s">
        <v>1542</v>
      </c>
      <c r="BC507" s="90">
        <f t="shared" si="526"/>
        <v>0</v>
      </c>
      <c r="BD507" s="90">
        <f t="shared" si="527"/>
        <v>0</v>
      </c>
      <c r="BE507" s="90">
        <v>0</v>
      </c>
      <c r="BF507" s="90">
        <f t="shared" si="528"/>
        <v>0.007794</v>
      </c>
      <c r="BH507" s="90">
        <f t="shared" si="529"/>
        <v>0</v>
      </c>
      <c r="BI507" s="90">
        <f t="shared" si="530"/>
        <v>0</v>
      </c>
      <c r="BJ507" s="90">
        <f t="shared" si="531"/>
        <v>0</v>
      </c>
    </row>
    <row r="508" spans="1:62" ht="12.75">
      <c r="A508" s="88" t="s">
        <v>1751</v>
      </c>
      <c r="B508" s="88" t="s">
        <v>60</v>
      </c>
      <c r="C508" s="88" t="s">
        <v>377</v>
      </c>
      <c r="D508" s="88" t="s">
        <v>563</v>
      </c>
      <c r="E508" s="88" t="s">
        <v>612</v>
      </c>
      <c r="F508" s="90">
        <v>1.04</v>
      </c>
      <c r="G508" s="90">
        <f>'Stavební rozpočet (SO 13)'!G352</f>
        <v>0</v>
      </c>
      <c r="H508" s="90">
        <f t="shared" si="508"/>
        <v>0</v>
      </c>
      <c r="I508" s="90">
        <f t="shared" si="509"/>
        <v>0</v>
      </c>
      <c r="J508" s="90">
        <f t="shared" si="510"/>
        <v>0</v>
      </c>
      <c r="K508" s="90">
        <v>0</v>
      </c>
      <c r="L508" s="90">
        <f t="shared" si="511"/>
        <v>0</v>
      </c>
      <c r="M508" s="91" t="s">
        <v>622</v>
      </c>
      <c r="O508" s="90"/>
      <c r="P508" s="90"/>
      <c r="Z508" s="90">
        <f t="shared" si="512"/>
        <v>0</v>
      </c>
      <c r="AB508" s="90">
        <f t="shared" si="513"/>
        <v>0</v>
      </c>
      <c r="AC508" s="90">
        <f t="shared" si="514"/>
        <v>0</v>
      </c>
      <c r="AD508" s="90">
        <f t="shared" si="515"/>
        <v>0</v>
      </c>
      <c r="AE508" s="90">
        <f t="shared" si="516"/>
        <v>0</v>
      </c>
      <c r="AF508" s="90">
        <f t="shared" si="517"/>
        <v>0</v>
      </c>
      <c r="AG508" s="90">
        <f t="shared" si="518"/>
        <v>0</v>
      </c>
      <c r="AH508" s="90">
        <f t="shared" si="519"/>
        <v>0</v>
      </c>
      <c r="AI508" s="154" t="s">
        <v>60</v>
      </c>
      <c r="AJ508" s="90">
        <f t="shared" si="520"/>
        <v>0</v>
      </c>
      <c r="AK508" s="90">
        <f t="shared" si="521"/>
        <v>0</v>
      </c>
      <c r="AL508" s="90">
        <f t="shared" si="522"/>
        <v>0</v>
      </c>
      <c r="AN508" s="90">
        <v>21</v>
      </c>
      <c r="AO508" s="90">
        <f>G508*0</f>
        <v>0</v>
      </c>
      <c r="AP508" s="90">
        <f>G508*(1-0)</f>
        <v>0</v>
      </c>
      <c r="AQ508" s="91" t="s">
        <v>83</v>
      </c>
      <c r="AV508" s="90">
        <f t="shared" si="523"/>
        <v>0</v>
      </c>
      <c r="AW508" s="90">
        <f t="shared" si="524"/>
        <v>0</v>
      </c>
      <c r="AX508" s="90">
        <f t="shared" si="525"/>
        <v>0</v>
      </c>
      <c r="AY508" s="91" t="s">
        <v>647</v>
      </c>
      <c r="AZ508" s="91" t="s">
        <v>1540</v>
      </c>
      <c r="BA508" s="154" t="s">
        <v>1542</v>
      </c>
      <c r="BC508" s="90">
        <f t="shared" si="526"/>
        <v>0</v>
      </c>
      <c r="BD508" s="90">
        <f t="shared" si="527"/>
        <v>0</v>
      </c>
      <c r="BE508" s="90">
        <v>0</v>
      </c>
      <c r="BF508" s="90">
        <f t="shared" si="528"/>
        <v>0</v>
      </c>
      <c r="BH508" s="90">
        <f t="shared" si="529"/>
        <v>0</v>
      </c>
      <c r="BI508" s="90">
        <f t="shared" si="530"/>
        <v>0</v>
      </c>
      <c r="BJ508" s="90">
        <f t="shared" si="531"/>
        <v>0</v>
      </c>
    </row>
    <row r="509" spans="1:47" ht="12.75">
      <c r="A509" s="159"/>
      <c r="B509" s="160" t="s">
        <v>60</v>
      </c>
      <c r="C509" s="160" t="s">
        <v>1111</v>
      </c>
      <c r="D509" s="160" t="s">
        <v>1418</v>
      </c>
      <c r="E509" s="159" t="s">
        <v>57</v>
      </c>
      <c r="F509" s="159" t="s">
        <v>57</v>
      </c>
      <c r="G509" s="159"/>
      <c r="H509" s="161">
        <f>SUM(H510:H517)</f>
        <v>0</v>
      </c>
      <c r="I509" s="161">
        <f>SUM(I510:I517)</f>
        <v>0</v>
      </c>
      <c r="J509" s="161">
        <f>SUM(J510:J517)</f>
        <v>0</v>
      </c>
      <c r="K509" s="154"/>
      <c r="L509" s="161">
        <f>SUM(L510:L517)</f>
        <v>0.5487033999999998</v>
      </c>
      <c r="M509" s="154"/>
      <c r="O509" s="159"/>
      <c r="P509" s="159"/>
      <c r="AI509" s="154" t="s">
        <v>60</v>
      </c>
      <c r="AS509" s="161">
        <f>SUM(AJ510:AJ517)</f>
        <v>0</v>
      </c>
      <c r="AT509" s="161">
        <f>SUM(AK510:AK517)</f>
        <v>0</v>
      </c>
      <c r="AU509" s="161">
        <f>SUM(AL510:AL517)</f>
        <v>0</v>
      </c>
    </row>
    <row r="510" spans="1:62" ht="12.75">
      <c r="A510" s="88" t="s">
        <v>1752</v>
      </c>
      <c r="B510" s="88" t="s">
        <v>60</v>
      </c>
      <c r="C510" s="88" t="s">
        <v>1112</v>
      </c>
      <c r="D510" s="88" t="s">
        <v>1419</v>
      </c>
      <c r="E510" s="88" t="s">
        <v>608</v>
      </c>
      <c r="F510" s="90">
        <v>151.5</v>
      </c>
      <c r="G510" s="90">
        <f>'Stavební rozpočet (SO 13)'!G354</f>
        <v>0</v>
      </c>
      <c r="H510" s="90">
        <f aca="true" t="shared" si="532" ref="H510:H517">F510*AO510</f>
        <v>0</v>
      </c>
      <c r="I510" s="90">
        <f aca="true" t="shared" si="533" ref="I510:I517">F510*AP510</f>
        <v>0</v>
      </c>
      <c r="J510" s="90">
        <f aca="true" t="shared" si="534" ref="J510:J517">F510*G510</f>
        <v>0</v>
      </c>
      <c r="K510" s="90">
        <v>0</v>
      </c>
      <c r="L510" s="90">
        <f aca="true" t="shared" si="535" ref="L510:L517">F510*K510</f>
        <v>0</v>
      </c>
      <c r="M510" s="91" t="s">
        <v>622</v>
      </c>
      <c r="O510" s="90"/>
      <c r="P510" s="90"/>
      <c r="Z510" s="90">
        <f aca="true" t="shared" si="536" ref="Z510:Z517">IF(AQ510="5",BJ510,0)</f>
        <v>0</v>
      </c>
      <c r="AB510" s="90">
        <f aca="true" t="shared" si="537" ref="AB510:AB517">IF(AQ510="1",BH510,0)</f>
        <v>0</v>
      </c>
      <c r="AC510" s="90">
        <f aca="true" t="shared" si="538" ref="AC510:AC517">IF(AQ510="1",BI510,0)</f>
        <v>0</v>
      </c>
      <c r="AD510" s="90">
        <f aca="true" t="shared" si="539" ref="AD510:AD517">IF(AQ510="7",BH510,0)</f>
        <v>0</v>
      </c>
      <c r="AE510" s="90">
        <f aca="true" t="shared" si="540" ref="AE510:AE517">IF(AQ510="7",BI510,0)</f>
        <v>0</v>
      </c>
      <c r="AF510" s="90">
        <f aca="true" t="shared" si="541" ref="AF510:AF517">IF(AQ510="2",BH510,0)</f>
        <v>0</v>
      </c>
      <c r="AG510" s="90">
        <f aca="true" t="shared" si="542" ref="AG510:AG517">IF(AQ510="2",BI510,0)</f>
        <v>0</v>
      </c>
      <c r="AH510" s="90">
        <f aca="true" t="shared" si="543" ref="AH510:AH517">IF(AQ510="0",BJ510,0)</f>
        <v>0</v>
      </c>
      <c r="AI510" s="154" t="s">
        <v>60</v>
      </c>
      <c r="AJ510" s="90">
        <f aca="true" t="shared" si="544" ref="AJ510:AJ517">IF(AN510=0,J510,0)</f>
        <v>0</v>
      </c>
      <c r="AK510" s="90">
        <f aca="true" t="shared" si="545" ref="AK510:AK517">IF(AN510=15,J510,0)</f>
        <v>0</v>
      </c>
      <c r="AL510" s="90">
        <f aca="true" t="shared" si="546" ref="AL510:AL517">IF(AN510=21,J510,0)</f>
        <v>0</v>
      </c>
      <c r="AN510" s="90">
        <v>21</v>
      </c>
      <c r="AO510" s="90">
        <f>G510*0</f>
        <v>0</v>
      </c>
      <c r="AP510" s="90">
        <f>G510*(1-0)</f>
        <v>0</v>
      </c>
      <c r="AQ510" s="91" t="s">
        <v>85</v>
      </c>
      <c r="AV510" s="90">
        <f aca="true" t="shared" si="547" ref="AV510:AV517">AW510+AX510</f>
        <v>0</v>
      </c>
      <c r="AW510" s="90">
        <f aca="true" t="shared" si="548" ref="AW510:AW517">F510*AO510</f>
        <v>0</v>
      </c>
      <c r="AX510" s="90">
        <f aca="true" t="shared" si="549" ref="AX510:AX517">F510*AP510</f>
        <v>0</v>
      </c>
      <c r="AY510" s="91" t="s">
        <v>1531</v>
      </c>
      <c r="AZ510" s="91" t="s">
        <v>1540</v>
      </c>
      <c r="BA510" s="154" t="s">
        <v>1542</v>
      </c>
      <c r="BC510" s="90">
        <f aca="true" t="shared" si="550" ref="BC510:BC517">AW510+AX510</f>
        <v>0</v>
      </c>
      <c r="BD510" s="90">
        <f aca="true" t="shared" si="551" ref="BD510:BD517">G510/(100-BE510)*100</f>
        <v>0</v>
      </c>
      <c r="BE510" s="90">
        <v>0</v>
      </c>
      <c r="BF510" s="90">
        <f aca="true" t="shared" si="552" ref="BF510:BF517">L510</f>
        <v>0</v>
      </c>
      <c r="BH510" s="90">
        <f aca="true" t="shared" si="553" ref="BH510:BH517">F510*AO510</f>
        <v>0</v>
      </c>
      <c r="BI510" s="90">
        <f aca="true" t="shared" si="554" ref="BI510:BI517">F510*AP510</f>
        <v>0</v>
      </c>
      <c r="BJ510" s="90">
        <f aca="true" t="shared" si="555" ref="BJ510:BJ517">F510*G510</f>
        <v>0</v>
      </c>
    </row>
    <row r="511" spans="1:62" ht="12.75">
      <c r="A511" s="88" t="s">
        <v>1753</v>
      </c>
      <c r="B511" s="88" t="s">
        <v>60</v>
      </c>
      <c r="C511" s="88" t="s">
        <v>1113</v>
      </c>
      <c r="D511" s="88" t="s">
        <v>1420</v>
      </c>
      <c r="E511" s="88" t="s">
        <v>608</v>
      </c>
      <c r="F511" s="90">
        <v>151.5</v>
      </c>
      <c r="G511" s="90">
        <f>'Stavební rozpočet (SO 13)'!G355</f>
        <v>0</v>
      </c>
      <c r="H511" s="90">
        <f t="shared" si="532"/>
        <v>0</v>
      </c>
      <c r="I511" s="90">
        <f t="shared" si="533"/>
        <v>0</v>
      </c>
      <c r="J511" s="90">
        <f t="shared" si="534"/>
        <v>0</v>
      </c>
      <c r="K511" s="90">
        <v>0</v>
      </c>
      <c r="L511" s="90">
        <f t="shared" si="535"/>
        <v>0</v>
      </c>
      <c r="M511" s="91" t="s">
        <v>622</v>
      </c>
      <c r="O511" s="90"/>
      <c r="P511" s="90"/>
      <c r="Z511" s="90">
        <f t="shared" si="536"/>
        <v>0</v>
      </c>
      <c r="AB511" s="90">
        <f t="shared" si="537"/>
        <v>0</v>
      </c>
      <c r="AC511" s="90">
        <f t="shared" si="538"/>
        <v>0</v>
      </c>
      <c r="AD511" s="90">
        <f t="shared" si="539"/>
        <v>0</v>
      </c>
      <c r="AE511" s="90">
        <f t="shared" si="540"/>
        <v>0</v>
      </c>
      <c r="AF511" s="90">
        <f t="shared" si="541"/>
        <v>0</v>
      </c>
      <c r="AG511" s="90">
        <f t="shared" si="542"/>
        <v>0</v>
      </c>
      <c r="AH511" s="90">
        <f t="shared" si="543"/>
        <v>0</v>
      </c>
      <c r="AI511" s="154" t="s">
        <v>60</v>
      </c>
      <c r="AJ511" s="90">
        <f t="shared" si="544"/>
        <v>0</v>
      </c>
      <c r="AK511" s="90">
        <f t="shared" si="545"/>
        <v>0</v>
      </c>
      <c r="AL511" s="90">
        <f t="shared" si="546"/>
        <v>0</v>
      </c>
      <c r="AN511" s="90">
        <v>21</v>
      </c>
      <c r="AO511" s="90">
        <f>G511*0</f>
        <v>0</v>
      </c>
      <c r="AP511" s="90">
        <f>G511*(1-0)</f>
        <v>0</v>
      </c>
      <c r="AQ511" s="91" t="s">
        <v>85</v>
      </c>
      <c r="AV511" s="90">
        <f t="shared" si="547"/>
        <v>0</v>
      </c>
      <c r="AW511" s="90">
        <f t="shared" si="548"/>
        <v>0</v>
      </c>
      <c r="AX511" s="90">
        <f t="shared" si="549"/>
        <v>0</v>
      </c>
      <c r="AY511" s="91" t="s">
        <v>1531</v>
      </c>
      <c r="AZ511" s="91" t="s">
        <v>1540</v>
      </c>
      <c r="BA511" s="154" t="s">
        <v>1542</v>
      </c>
      <c r="BC511" s="90">
        <f t="shared" si="550"/>
        <v>0</v>
      </c>
      <c r="BD511" s="90">
        <f t="shared" si="551"/>
        <v>0</v>
      </c>
      <c r="BE511" s="90">
        <v>0</v>
      </c>
      <c r="BF511" s="90">
        <f t="shared" si="552"/>
        <v>0</v>
      </c>
      <c r="BH511" s="90">
        <f t="shared" si="553"/>
        <v>0</v>
      </c>
      <c r="BI511" s="90">
        <f t="shared" si="554"/>
        <v>0</v>
      </c>
      <c r="BJ511" s="90">
        <f t="shared" si="555"/>
        <v>0</v>
      </c>
    </row>
    <row r="512" spans="1:62" ht="12.75">
      <c r="A512" s="88" t="s">
        <v>1754</v>
      </c>
      <c r="B512" s="88" t="s">
        <v>60</v>
      </c>
      <c r="C512" s="88" t="s">
        <v>1114</v>
      </c>
      <c r="D512" s="88" t="s">
        <v>1421</v>
      </c>
      <c r="E512" s="88" t="s">
        <v>609</v>
      </c>
      <c r="F512" s="90">
        <v>84.38</v>
      </c>
      <c r="G512" s="90">
        <f>'Stavební rozpočet (SO 13)'!G356</f>
        <v>0</v>
      </c>
      <c r="H512" s="90">
        <f t="shared" si="532"/>
        <v>0</v>
      </c>
      <c r="I512" s="90">
        <f t="shared" si="533"/>
        <v>0</v>
      </c>
      <c r="J512" s="90">
        <f t="shared" si="534"/>
        <v>0</v>
      </c>
      <c r="K512" s="90">
        <v>3E-05</v>
      </c>
      <c r="L512" s="90">
        <f t="shared" si="535"/>
        <v>0.0025314</v>
      </c>
      <c r="M512" s="91" t="s">
        <v>622</v>
      </c>
      <c r="O512" s="90"/>
      <c r="P512" s="90"/>
      <c r="Z512" s="90">
        <f t="shared" si="536"/>
        <v>0</v>
      </c>
      <c r="AB512" s="90">
        <f t="shared" si="537"/>
        <v>0</v>
      </c>
      <c r="AC512" s="90">
        <f t="shared" si="538"/>
        <v>0</v>
      </c>
      <c r="AD512" s="90">
        <f t="shared" si="539"/>
        <v>0</v>
      </c>
      <c r="AE512" s="90">
        <f t="shared" si="540"/>
        <v>0</v>
      </c>
      <c r="AF512" s="90">
        <f t="shared" si="541"/>
        <v>0</v>
      </c>
      <c r="AG512" s="90">
        <f t="shared" si="542"/>
        <v>0</v>
      </c>
      <c r="AH512" s="90">
        <f t="shared" si="543"/>
        <v>0</v>
      </c>
      <c r="AI512" s="154" t="s">
        <v>60</v>
      </c>
      <c r="AJ512" s="90">
        <f t="shared" si="544"/>
        <v>0</v>
      </c>
      <c r="AK512" s="90">
        <f t="shared" si="545"/>
        <v>0</v>
      </c>
      <c r="AL512" s="90">
        <f t="shared" si="546"/>
        <v>0</v>
      </c>
      <c r="AN512" s="90">
        <v>21</v>
      </c>
      <c r="AO512" s="90">
        <f>G512*0.138917140951917</f>
        <v>0</v>
      </c>
      <c r="AP512" s="90">
        <f>G512*(1-0.138917140951917)</f>
        <v>0</v>
      </c>
      <c r="AQ512" s="91" t="s">
        <v>85</v>
      </c>
      <c r="AV512" s="90">
        <f t="shared" si="547"/>
        <v>0</v>
      </c>
      <c r="AW512" s="90">
        <f t="shared" si="548"/>
        <v>0</v>
      </c>
      <c r="AX512" s="90">
        <f t="shared" si="549"/>
        <v>0</v>
      </c>
      <c r="AY512" s="91" t="s">
        <v>1531</v>
      </c>
      <c r="AZ512" s="91" t="s">
        <v>1540</v>
      </c>
      <c r="BA512" s="154" t="s">
        <v>1542</v>
      </c>
      <c r="BC512" s="90">
        <f t="shared" si="550"/>
        <v>0</v>
      </c>
      <c r="BD512" s="90">
        <f t="shared" si="551"/>
        <v>0</v>
      </c>
      <c r="BE512" s="90">
        <v>0</v>
      </c>
      <c r="BF512" s="90">
        <f t="shared" si="552"/>
        <v>0.0025314</v>
      </c>
      <c r="BH512" s="90">
        <f t="shared" si="553"/>
        <v>0</v>
      </c>
      <c r="BI512" s="90">
        <f t="shared" si="554"/>
        <v>0</v>
      </c>
      <c r="BJ512" s="90">
        <f t="shared" si="555"/>
        <v>0</v>
      </c>
    </row>
    <row r="513" spans="1:62" ht="12.75">
      <c r="A513" s="88" t="s">
        <v>1755</v>
      </c>
      <c r="B513" s="88" t="s">
        <v>60</v>
      </c>
      <c r="C513" s="88" t="s">
        <v>1115</v>
      </c>
      <c r="D513" s="88" t="s">
        <v>1422</v>
      </c>
      <c r="E513" s="88" t="s">
        <v>609</v>
      </c>
      <c r="F513" s="90">
        <v>97.04</v>
      </c>
      <c r="G513" s="90">
        <f>'Stavební rozpočet (SO 13)'!G357</f>
        <v>0</v>
      </c>
      <c r="H513" s="90">
        <f t="shared" si="532"/>
        <v>0</v>
      </c>
      <c r="I513" s="90">
        <f t="shared" si="533"/>
        <v>0</v>
      </c>
      <c r="J513" s="90">
        <f t="shared" si="534"/>
        <v>0</v>
      </c>
      <c r="K513" s="90">
        <v>0</v>
      </c>
      <c r="L513" s="90">
        <f t="shared" si="535"/>
        <v>0</v>
      </c>
      <c r="M513" s="91" t="s">
        <v>622</v>
      </c>
      <c r="O513" s="90"/>
      <c r="P513" s="90"/>
      <c r="Z513" s="90">
        <f t="shared" si="536"/>
        <v>0</v>
      </c>
      <c r="AB513" s="90">
        <f t="shared" si="537"/>
        <v>0</v>
      </c>
      <c r="AC513" s="90">
        <f t="shared" si="538"/>
        <v>0</v>
      </c>
      <c r="AD513" s="90">
        <f t="shared" si="539"/>
        <v>0</v>
      </c>
      <c r="AE513" s="90">
        <f t="shared" si="540"/>
        <v>0</v>
      </c>
      <c r="AF513" s="90">
        <f t="shared" si="541"/>
        <v>0</v>
      </c>
      <c r="AG513" s="90">
        <f t="shared" si="542"/>
        <v>0</v>
      </c>
      <c r="AH513" s="90">
        <f t="shared" si="543"/>
        <v>0</v>
      </c>
      <c r="AI513" s="154" t="s">
        <v>60</v>
      </c>
      <c r="AJ513" s="90">
        <f t="shared" si="544"/>
        <v>0</v>
      </c>
      <c r="AK513" s="90">
        <f t="shared" si="545"/>
        <v>0</v>
      </c>
      <c r="AL513" s="90">
        <f t="shared" si="546"/>
        <v>0</v>
      </c>
      <c r="AN513" s="90">
        <v>21</v>
      </c>
      <c r="AO513" s="90">
        <f>G513*1</f>
        <v>0</v>
      </c>
      <c r="AP513" s="90">
        <f>G513*(1-1)</f>
        <v>0</v>
      </c>
      <c r="AQ513" s="91" t="s">
        <v>85</v>
      </c>
      <c r="AV513" s="90">
        <f t="shared" si="547"/>
        <v>0</v>
      </c>
      <c r="AW513" s="90">
        <f t="shared" si="548"/>
        <v>0</v>
      </c>
      <c r="AX513" s="90">
        <f t="shared" si="549"/>
        <v>0</v>
      </c>
      <c r="AY513" s="91" t="s">
        <v>1531</v>
      </c>
      <c r="AZ513" s="91" t="s">
        <v>1540</v>
      </c>
      <c r="BA513" s="154" t="s">
        <v>1542</v>
      </c>
      <c r="BC513" s="90">
        <f t="shared" si="550"/>
        <v>0</v>
      </c>
      <c r="BD513" s="90">
        <f t="shared" si="551"/>
        <v>0</v>
      </c>
      <c r="BE513" s="90">
        <v>0</v>
      </c>
      <c r="BF513" s="90">
        <f t="shared" si="552"/>
        <v>0</v>
      </c>
      <c r="BH513" s="90">
        <f t="shared" si="553"/>
        <v>0</v>
      </c>
      <c r="BI513" s="90">
        <f t="shared" si="554"/>
        <v>0</v>
      </c>
      <c r="BJ513" s="90">
        <f t="shared" si="555"/>
        <v>0</v>
      </c>
    </row>
    <row r="514" spans="1:62" ht="12.75">
      <c r="A514" s="88" t="s">
        <v>1756</v>
      </c>
      <c r="B514" s="88" t="s">
        <v>60</v>
      </c>
      <c r="C514" s="88" t="s">
        <v>1116</v>
      </c>
      <c r="D514" s="88" t="s">
        <v>1423</v>
      </c>
      <c r="E514" s="88" t="s">
        <v>608</v>
      </c>
      <c r="F514" s="90">
        <v>151.5</v>
      </c>
      <c r="G514" s="90">
        <f>'Stavební rozpočet (SO 13)'!G358</f>
        <v>0</v>
      </c>
      <c r="H514" s="90">
        <f t="shared" si="532"/>
        <v>0</v>
      </c>
      <c r="I514" s="90">
        <f t="shared" si="533"/>
        <v>0</v>
      </c>
      <c r="J514" s="90">
        <f t="shared" si="534"/>
        <v>0</v>
      </c>
      <c r="K514" s="90">
        <v>0.00025</v>
      </c>
      <c r="L514" s="90">
        <f t="shared" si="535"/>
        <v>0.037875</v>
      </c>
      <c r="M514" s="91" t="s">
        <v>622</v>
      </c>
      <c r="O514" s="90"/>
      <c r="P514" s="90"/>
      <c r="Z514" s="90">
        <f t="shared" si="536"/>
        <v>0</v>
      </c>
      <c r="AB514" s="90">
        <f t="shared" si="537"/>
        <v>0</v>
      </c>
      <c r="AC514" s="90">
        <f t="shared" si="538"/>
        <v>0</v>
      </c>
      <c r="AD514" s="90">
        <f t="shared" si="539"/>
        <v>0</v>
      </c>
      <c r="AE514" s="90">
        <f t="shared" si="540"/>
        <v>0</v>
      </c>
      <c r="AF514" s="90">
        <f t="shared" si="541"/>
        <v>0</v>
      </c>
      <c r="AG514" s="90">
        <f t="shared" si="542"/>
        <v>0</v>
      </c>
      <c r="AH514" s="90">
        <f t="shared" si="543"/>
        <v>0</v>
      </c>
      <c r="AI514" s="154" t="s">
        <v>60</v>
      </c>
      <c r="AJ514" s="90">
        <f t="shared" si="544"/>
        <v>0</v>
      </c>
      <c r="AK514" s="90">
        <f t="shared" si="545"/>
        <v>0</v>
      </c>
      <c r="AL514" s="90">
        <f t="shared" si="546"/>
        <v>0</v>
      </c>
      <c r="AN514" s="90">
        <v>21</v>
      </c>
      <c r="AO514" s="90">
        <f>G514*0.399021406727829</f>
        <v>0</v>
      </c>
      <c r="AP514" s="90">
        <f>G514*(1-0.399021406727829)</f>
        <v>0</v>
      </c>
      <c r="AQ514" s="91" t="s">
        <v>85</v>
      </c>
      <c r="AV514" s="90">
        <f t="shared" si="547"/>
        <v>0</v>
      </c>
      <c r="AW514" s="90">
        <f t="shared" si="548"/>
        <v>0</v>
      </c>
      <c r="AX514" s="90">
        <f t="shared" si="549"/>
        <v>0</v>
      </c>
      <c r="AY514" s="91" t="s">
        <v>1531</v>
      </c>
      <c r="AZ514" s="91" t="s">
        <v>1540</v>
      </c>
      <c r="BA514" s="154" t="s">
        <v>1542</v>
      </c>
      <c r="BC514" s="90">
        <f t="shared" si="550"/>
        <v>0</v>
      </c>
      <c r="BD514" s="90">
        <f t="shared" si="551"/>
        <v>0</v>
      </c>
      <c r="BE514" s="90">
        <v>0</v>
      </c>
      <c r="BF514" s="90">
        <f t="shared" si="552"/>
        <v>0.037875</v>
      </c>
      <c r="BH514" s="90">
        <f t="shared" si="553"/>
        <v>0</v>
      </c>
      <c r="BI514" s="90">
        <f t="shared" si="554"/>
        <v>0</v>
      </c>
      <c r="BJ514" s="90">
        <f t="shared" si="555"/>
        <v>0</v>
      </c>
    </row>
    <row r="515" spans="1:62" ht="12.75">
      <c r="A515" s="88" t="s">
        <v>1757</v>
      </c>
      <c r="B515" s="88" t="s">
        <v>60</v>
      </c>
      <c r="C515" s="88" t="s">
        <v>1117</v>
      </c>
      <c r="D515" s="88" t="s">
        <v>1424</v>
      </c>
      <c r="E515" s="88" t="s">
        <v>608</v>
      </c>
      <c r="F515" s="90">
        <v>174.23</v>
      </c>
      <c r="G515" s="90">
        <f>'Stavební rozpočet (SO 13)'!G359</f>
        <v>0</v>
      </c>
      <c r="H515" s="90">
        <f t="shared" si="532"/>
        <v>0</v>
      </c>
      <c r="I515" s="90">
        <f t="shared" si="533"/>
        <v>0</v>
      </c>
      <c r="J515" s="90">
        <f t="shared" si="534"/>
        <v>0</v>
      </c>
      <c r="K515" s="90">
        <v>0.0029</v>
      </c>
      <c r="L515" s="90">
        <f t="shared" si="535"/>
        <v>0.5052669999999999</v>
      </c>
      <c r="M515" s="91" t="s">
        <v>622</v>
      </c>
      <c r="O515" s="90"/>
      <c r="P515" s="90"/>
      <c r="Z515" s="90">
        <f t="shared" si="536"/>
        <v>0</v>
      </c>
      <c r="AB515" s="90">
        <f t="shared" si="537"/>
        <v>0</v>
      </c>
      <c r="AC515" s="90">
        <f t="shared" si="538"/>
        <v>0</v>
      </c>
      <c r="AD515" s="90">
        <f t="shared" si="539"/>
        <v>0</v>
      </c>
      <c r="AE515" s="90">
        <f t="shared" si="540"/>
        <v>0</v>
      </c>
      <c r="AF515" s="90">
        <f t="shared" si="541"/>
        <v>0</v>
      </c>
      <c r="AG515" s="90">
        <f t="shared" si="542"/>
        <v>0</v>
      </c>
      <c r="AH515" s="90">
        <f t="shared" si="543"/>
        <v>0</v>
      </c>
      <c r="AI515" s="154" t="s">
        <v>60</v>
      </c>
      <c r="AJ515" s="90">
        <f t="shared" si="544"/>
        <v>0</v>
      </c>
      <c r="AK515" s="90">
        <f t="shared" si="545"/>
        <v>0</v>
      </c>
      <c r="AL515" s="90">
        <f t="shared" si="546"/>
        <v>0</v>
      </c>
      <c r="AN515" s="90">
        <v>21</v>
      </c>
      <c r="AO515" s="90">
        <f>G515*1</f>
        <v>0</v>
      </c>
      <c r="AP515" s="90">
        <f>G515*(1-1)</f>
        <v>0</v>
      </c>
      <c r="AQ515" s="91" t="s">
        <v>85</v>
      </c>
      <c r="AV515" s="90">
        <f t="shared" si="547"/>
        <v>0</v>
      </c>
      <c r="AW515" s="90">
        <f t="shared" si="548"/>
        <v>0</v>
      </c>
      <c r="AX515" s="90">
        <f t="shared" si="549"/>
        <v>0</v>
      </c>
      <c r="AY515" s="91" t="s">
        <v>1531</v>
      </c>
      <c r="AZ515" s="91" t="s">
        <v>1540</v>
      </c>
      <c r="BA515" s="154" t="s">
        <v>1542</v>
      </c>
      <c r="BC515" s="90">
        <f t="shared" si="550"/>
        <v>0</v>
      </c>
      <c r="BD515" s="90">
        <f t="shared" si="551"/>
        <v>0</v>
      </c>
      <c r="BE515" s="90">
        <v>0</v>
      </c>
      <c r="BF515" s="90">
        <f t="shared" si="552"/>
        <v>0.5052669999999999</v>
      </c>
      <c r="BH515" s="90">
        <f t="shared" si="553"/>
        <v>0</v>
      </c>
      <c r="BI515" s="90">
        <f t="shared" si="554"/>
        <v>0</v>
      </c>
      <c r="BJ515" s="90">
        <f t="shared" si="555"/>
        <v>0</v>
      </c>
    </row>
    <row r="516" spans="1:62" ht="12.75">
      <c r="A516" s="88" t="s">
        <v>1758</v>
      </c>
      <c r="B516" s="88" t="s">
        <v>60</v>
      </c>
      <c r="C516" s="88" t="s">
        <v>1118</v>
      </c>
      <c r="D516" s="88" t="s">
        <v>1425</v>
      </c>
      <c r="E516" s="88" t="s">
        <v>608</v>
      </c>
      <c r="F516" s="90">
        <v>151.5</v>
      </c>
      <c r="G516" s="90">
        <f>'Stavební rozpočet (SO 13)'!G360</f>
        <v>0</v>
      </c>
      <c r="H516" s="90">
        <f t="shared" si="532"/>
        <v>0</v>
      </c>
      <c r="I516" s="90">
        <f t="shared" si="533"/>
        <v>0</v>
      </c>
      <c r="J516" s="90">
        <f t="shared" si="534"/>
        <v>0</v>
      </c>
      <c r="K516" s="90">
        <v>2E-05</v>
      </c>
      <c r="L516" s="90">
        <f t="shared" si="535"/>
        <v>0.00303</v>
      </c>
      <c r="M516" s="91" t="s">
        <v>622</v>
      </c>
      <c r="O516" s="90"/>
      <c r="P516" s="90"/>
      <c r="Z516" s="90">
        <f t="shared" si="536"/>
        <v>0</v>
      </c>
      <c r="AB516" s="90">
        <f t="shared" si="537"/>
        <v>0</v>
      </c>
      <c r="AC516" s="90">
        <f t="shared" si="538"/>
        <v>0</v>
      </c>
      <c r="AD516" s="90">
        <f t="shared" si="539"/>
        <v>0</v>
      </c>
      <c r="AE516" s="90">
        <f t="shared" si="540"/>
        <v>0</v>
      </c>
      <c r="AF516" s="90">
        <f t="shared" si="541"/>
        <v>0</v>
      </c>
      <c r="AG516" s="90">
        <f t="shared" si="542"/>
        <v>0</v>
      </c>
      <c r="AH516" s="90">
        <f t="shared" si="543"/>
        <v>0</v>
      </c>
      <c r="AI516" s="154" t="s">
        <v>60</v>
      </c>
      <c r="AJ516" s="90">
        <f t="shared" si="544"/>
        <v>0</v>
      </c>
      <c r="AK516" s="90">
        <f t="shared" si="545"/>
        <v>0</v>
      </c>
      <c r="AL516" s="90">
        <f t="shared" si="546"/>
        <v>0</v>
      </c>
      <c r="AN516" s="90">
        <v>21</v>
      </c>
      <c r="AO516" s="90">
        <f>G516*0.0933777032814363</f>
        <v>0</v>
      </c>
      <c r="AP516" s="90">
        <f>G516*(1-0.0933777032814363)</f>
        <v>0</v>
      </c>
      <c r="AQ516" s="91" t="s">
        <v>85</v>
      </c>
      <c r="AV516" s="90">
        <f t="shared" si="547"/>
        <v>0</v>
      </c>
      <c r="AW516" s="90">
        <f t="shared" si="548"/>
        <v>0</v>
      </c>
      <c r="AX516" s="90">
        <f t="shared" si="549"/>
        <v>0</v>
      </c>
      <c r="AY516" s="91" t="s">
        <v>1531</v>
      </c>
      <c r="AZ516" s="91" t="s">
        <v>1540</v>
      </c>
      <c r="BA516" s="154" t="s">
        <v>1542</v>
      </c>
      <c r="BC516" s="90">
        <f t="shared" si="550"/>
        <v>0</v>
      </c>
      <c r="BD516" s="90">
        <f t="shared" si="551"/>
        <v>0</v>
      </c>
      <c r="BE516" s="90">
        <v>0</v>
      </c>
      <c r="BF516" s="90">
        <f t="shared" si="552"/>
        <v>0.00303</v>
      </c>
      <c r="BH516" s="90">
        <f t="shared" si="553"/>
        <v>0</v>
      </c>
      <c r="BI516" s="90">
        <f t="shared" si="554"/>
        <v>0</v>
      </c>
      <c r="BJ516" s="90">
        <f t="shared" si="555"/>
        <v>0</v>
      </c>
    </row>
    <row r="517" spans="1:62" ht="12.75">
      <c r="A517" s="88" t="s">
        <v>1759</v>
      </c>
      <c r="B517" s="88" t="s">
        <v>60</v>
      </c>
      <c r="C517" s="88" t="s">
        <v>1119</v>
      </c>
      <c r="D517" s="88" t="s">
        <v>1426</v>
      </c>
      <c r="E517" s="88" t="s">
        <v>612</v>
      </c>
      <c r="F517" s="90">
        <v>0.55</v>
      </c>
      <c r="G517" s="90">
        <f>'Stavební rozpočet (SO 13)'!G361</f>
        <v>0</v>
      </c>
      <c r="H517" s="90">
        <f t="shared" si="532"/>
        <v>0</v>
      </c>
      <c r="I517" s="90">
        <f t="shared" si="533"/>
        <v>0</v>
      </c>
      <c r="J517" s="90">
        <f t="shared" si="534"/>
        <v>0</v>
      </c>
      <c r="K517" s="90">
        <v>0</v>
      </c>
      <c r="L517" s="90">
        <f t="shared" si="535"/>
        <v>0</v>
      </c>
      <c r="M517" s="91" t="s">
        <v>622</v>
      </c>
      <c r="O517" s="90"/>
      <c r="P517" s="90"/>
      <c r="Z517" s="90">
        <f t="shared" si="536"/>
        <v>0</v>
      </c>
      <c r="AB517" s="90">
        <f t="shared" si="537"/>
        <v>0</v>
      </c>
      <c r="AC517" s="90">
        <f t="shared" si="538"/>
        <v>0</v>
      </c>
      <c r="AD517" s="90">
        <f t="shared" si="539"/>
        <v>0</v>
      </c>
      <c r="AE517" s="90">
        <f t="shared" si="540"/>
        <v>0</v>
      </c>
      <c r="AF517" s="90">
        <f t="shared" si="541"/>
        <v>0</v>
      </c>
      <c r="AG517" s="90">
        <f t="shared" si="542"/>
        <v>0</v>
      </c>
      <c r="AH517" s="90">
        <f t="shared" si="543"/>
        <v>0</v>
      </c>
      <c r="AI517" s="154" t="s">
        <v>60</v>
      </c>
      <c r="AJ517" s="90">
        <f t="shared" si="544"/>
        <v>0</v>
      </c>
      <c r="AK517" s="90">
        <f t="shared" si="545"/>
        <v>0</v>
      </c>
      <c r="AL517" s="90">
        <f t="shared" si="546"/>
        <v>0</v>
      </c>
      <c r="AN517" s="90">
        <v>21</v>
      </c>
      <c r="AO517" s="90">
        <f>G517*0</f>
        <v>0</v>
      </c>
      <c r="AP517" s="90">
        <f>G517*(1-0)</f>
        <v>0</v>
      </c>
      <c r="AQ517" s="91" t="s">
        <v>83</v>
      </c>
      <c r="AV517" s="90">
        <f t="shared" si="547"/>
        <v>0</v>
      </c>
      <c r="AW517" s="90">
        <f t="shared" si="548"/>
        <v>0</v>
      </c>
      <c r="AX517" s="90">
        <f t="shared" si="549"/>
        <v>0</v>
      </c>
      <c r="AY517" s="91" t="s">
        <v>1531</v>
      </c>
      <c r="AZ517" s="91" t="s">
        <v>1540</v>
      </c>
      <c r="BA517" s="154" t="s">
        <v>1542</v>
      </c>
      <c r="BC517" s="90">
        <f t="shared" si="550"/>
        <v>0</v>
      </c>
      <c r="BD517" s="90">
        <f t="shared" si="551"/>
        <v>0</v>
      </c>
      <c r="BE517" s="90">
        <v>0</v>
      </c>
      <c r="BF517" s="90">
        <f t="shared" si="552"/>
        <v>0</v>
      </c>
      <c r="BH517" s="90">
        <f t="shared" si="553"/>
        <v>0</v>
      </c>
      <c r="BI517" s="90">
        <f t="shared" si="554"/>
        <v>0</v>
      </c>
      <c r="BJ517" s="90">
        <f t="shared" si="555"/>
        <v>0</v>
      </c>
    </row>
    <row r="518" spans="1:47" ht="12.75">
      <c r="A518" s="159"/>
      <c r="B518" s="160" t="s">
        <v>60</v>
      </c>
      <c r="C518" s="160" t="s">
        <v>1120</v>
      </c>
      <c r="D518" s="160" t="s">
        <v>1427</v>
      </c>
      <c r="E518" s="159" t="s">
        <v>57</v>
      </c>
      <c r="F518" s="159" t="s">
        <v>57</v>
      </c>
      <c r="G518" s="159"/>
      <c r="H518" s="161">
        <f>SUM(H519:H537)</f>
        <v>0</v>
      </c>
      <c r="I518" s="161">
        <f>SUM(I519:I537)</f>
        <v>0</v>
      </c>
      <c r="J518" s="161">
        <f>SUM(J519:J537)</f>
        <v>0</v>
      </c>
      <c r="K518" s="154"/>
      <c r="L518" s="161">
        <f>SUM(L519:L537)</f>
        <v>1.795678</v>
      </c>
      <c r="M518" s="154"/>
      <c r="O518" s="159"/>
      <c r="P518" s="159"/>
      <c r="AI518" s="154" t="s">
        <v>60</v>
      </c>
      <c r="AS518" s="161">
        <f>SUM(AJ519:AJ537)</f>
        <v>0</v>
      </c>
      <c r="AT518" s="161">
        <f>SUM(AK519:AK537)</f>
        <v>0</v>
      </c>
      <c r="AU518" s="161">
        <f>SUM(AL519:AL537)</f>
        <v>0</v>
      </c>
    </row>
    <row r="519" spans="1:62" ht="12.75">
      <c r="A519" s="88" t="s">
        <v>1760</v>
      </c>
      <c r="B519" s="88" t="s">
        <v>60</v>
      </c>
      <c r="C519" s="88" t="s">
        <v>1121</v>
      </c>
      <c r="D519" s="88" t="s">
        <v>1428</v>
      </c>
      <c r="E519" s="88" t="s">
        <v>608</v>
      </c>
      <c r="F519" s="90">
        <v>96.72</v>
      </c>
      <c r="G519" s="90">
        <f>'Stavební rozpočet (SO 13)'!G363</f>
        <v>0</v>
      </c>
      <c r="H519" s="90">
        <f aca="true" t="shared" si="556" ref="H519:H537">F519*AO519</f>
        <v>0</v>
      </c>
      <c r="I519" s="90">
        <f aca="true" t="shared" si="557" ref="I519:I537">F519*AP519</f>
        <v>0</v>
      </c>
      <c r="J519" s="90">
        <f aca="true" t="shared" si="558" ref="J519:J537">F519*G519</f>
        <v>0</v>
      </c>
      <c r="K519" s="90">
        <v>0.00021</v>
      </c>
      <c r="L519" s="90">
        <f aca="true" t="shared" si="559" ref="L519:L537">F519*K519</f>
        <v>0.0203112</v>
      </c>
      <c r="M519" s="91" t="s">
        <v>622</v>
      </c>
      <c r="O519" s="90"/>
      <c r="P519" s="90"/>
      <c r="Z519" s="90">
        <f aca="true" t="shared" si="560" ref="Z519:Z537">IF(AQ519="5",BJ519,0)</f>
        <v>0</v>
      </c>
      <c r="AB519" s="90">
        <f aca="true" t="shared" si="561" ref="AB519:AB537">IF(AQ519="1",BH519,0)</f>
        <v>0</v>
      </c>
      <c r="AC519" s="90">
        <f aca="true" t="shared" si="562" ref="AC519:AC537">IF(AQ519="1",BI519,0)</f>
        <v>0</v>
      </c>
      <c r="AD519" s="90">
        <f aca="true" t="shared" si="563" ref="AD519:AD537">IF(AQ519="7",BH519,0)</f>
        <v>0</v>
      </c>
      <c r="AE519" s="90">
        <f aca="true" t="shared" si="564" ref="AE519:AE537">IF(AQ519="7",BI519,0)</f>
        <v>0</v>
      </c>
      <c r="AF519" s="90">
        <f aca="true" t="shared" si="565" ref="AF519:AF537">IF(AQ519="2",BH519,0)</f>
        <v>0</v>
      </c>
      <c r="AG519" s="90">
        <f aca="true" t="shared" si="566" ref="AG519:AG537">IF(AQ519="2",BI519,0)</f>
        <v>0</v>
      </c>
      <c r="AH519" s="90">
        <f aca="true" t="shared" si="567" ref="AH519:AH537">IF(AQ519="0",BJ519,0)</f>
        <v>0</v>
      </c>
      <c r="AI519" s="154" t="s">
        <v>60</v>
      </c>
      <c r="AJ519" s="90">
        <f aca="true" t="shared" si="568" ref="AJ519:AJ537">IF(AN519=0,J519,0)</f>
        <v>0</v>
      </c>
      <c r="AK519" s="90">
        <f aca="true" t="shared" si="569" ref="AK519:AK537">IF(AN519=15,J519,0)</f>
        <v>0</v>
      </c>
      <c r="AL519" s="90">
        <f aca="true" t="shared" si="570" ref="AL519:AL537">IF(AN519=21,J519,0)</f>
        <v>0</v>
      </c>
      <c r="AN519" s="90">
        <v>21</v>
      </c>
      <c r="AO519" s="90">
        <f>G519*0.533419971852164</f>
        <v>0</v>
      </c>
      <c r="AP519" s="90">
        <f>G519*(1-0.533419971852164)</f>
        <v>0</v>
      </c>
      <c r="AQ519" s="91" t="s">
        <v>85</v>
      </c>
      <c r="AV519" s="90">
        <f aca="true" t="shared" si="571" ref="AV519:AV537">AW519+AX519</f>
        <v>0</v>
      </c>
      <c r="AW519" s="90">
        <f aca="true" t="shared" si="572" ref="AW519:AW537">F519*AO519</f>
        <v>0</v>
      </c>
      <c r="AX519" s="90">
        <f aca="true" t="shared" si="573" ref="AX519:AX537">F519*AP519</f>
        <v>0</v>
      </c>
      <c r="AY519" s="91" t="s">
        <v>1532</v>
      </c>
      <c r="AZ519" s="91" t="s">
        <v>1541</v>
      </c>
      <c r="BA519" s="154" t="s">
        <v>1542</v>
      </c>
      <c r="BC519" s="90">
        <f aca="true" t="shared" si="574" ref="BC519:BC537">AW519+AX519</f>
        <v>0</v>
      </c>
      <c r="BD519" s="90">
        <f aca="true" t="shared" si="575" ref="BD519:BD537">G519/(100-BE519)*100</f>
        <v>0</v>
      </c>
      <c r="BE519" s="90">
        <v>0</v>
      </c>
      <c r="BF519" s="90">
        <f aca="true" t="shared" si="576" ref="BF519:BF537">L519</f>
        <v>0.0203112</v>
      </c>
      <c r="BH519" s="90">
        <f aca="true" t="shared" si="577" ref="BH519:BH537">F519*AO519</f>
        <v>0</v>
      </c>
      <c r="BI519" s="90">
        <f aca="true" t="shared" si="578" ref="BI519:BI537">F519*AP519</f>
        <v>0</v>
      </c>
      <c r="BJ519" s="90">
        <f aca="true" t="shared" si="579" ref="BJ519:BJ537">F519*G519</f>
        <v>0</v>
      </c>
    </row>
    <row r="520" spans="1:62" ht="12.75">
      <c r="A520" s="88" t="s">
        <v>1761</v>
      </c>
      <c r="B520" s="88" t="s">
        <v>60</v>
      </c>
      <c r="C520" s="88" t="s">
        <v>1122</v>
      </c>
      <c r="D520" s="88" t="s">
        <v>1429</v>
      </c>
      <c r="E520" s="88" t="s">
        <v>609</v>
      </c>
      <c r="F520" s="90">
        <v>57.5</v>
      </c>
      <c r="G520" s="90">
        <f>'Stavební rozpočet (SO 13)'!G364</f>
        <v>0</v>
      </c>
      <c r="H520" s="90">
        <f t="shared" si="556"/>
        <v>0</v>
      </c>
      <c r="I520" s="90">
        <f t="shared" si="557"/>
        <v>0</v>
      </c>
      <c r="J520" s="90">
        <f t="shared" si="558"/>
        <v>0</v>
      </c>
      <c r="K520" s="90">
        <v>0</v>
      </c>
      <c r="L520" s="90">
        <f t="shared" si="559"/>
        <v>0</v>
      </c>
      <c r="M520" s="91" t="s">
        <v>622</v>
      </c>
      <c r="O520" s="90"/>
      <c r="P520" s="90"/>
      <c r="Z520" s="90">
        <f t="shared" si="560"/>
        <v>0</v>
      </c>
      <c r="AB520" s="90">
        <f t="shared" si="561"/>
        <v>0</v>
      </c>
      <c r="AC520" s="90">
        <f t="shared" si="562"/>
        <v>0</v>
      </c>
      <c r="AD520" s="90">
        <f t="shared" si="563"/>
        <v>0</v>
      </c>
      <c r="AE520" s="90">
        <f t="shared" si="564"/>
        <v>0</v>
      </c>
      <c r="AF520" s="90">
        <f t="shared" si="565"/>
        <v>0</v>
      </c>
      <c r="AG520" s="90">
        <f t="shared" si="566"/>
        <v>0</v>
      </c>
      <c r="AH520" s="90">
        <f t="shared" si="567"/>
        <v>0</v>
      </c>
      <c r="AI520" s="154" t="s">
        <v>60</v>
      </c>
      <c r="AJ520" s="90">
        <f t="shared" si="568"/>
        <v>0</v>
      </c>
      <c r="AK520" s="90">
        <f t="shared" si="569"/>
        <v>0</v>
      </c>
      <c r="AL520" s="90">
        <f t="shared" si="570"/>
        <v>0</v>
      </c>
      <c r="AN520" s="90">
        <v>21</v>
      </c>
      <c r="AO520" s="90">
        <f>G520*0.0743483984487449</f>
        <v>0</v>
      </c>
      <c r="AP520" s="90">
        <f>G520*(1-0.0743483984487449)</f>
        <v>0</v>
      </c>
      <c r="AQ520" s="91" t="s">
        <v>85</v>
      </c>
      <c r="AV520" s="90">
        <f t="shared" si="571"/>
        <v>0</v>
      </c>
      <c r="AW520" s="90">
        <f t="shared" si="572"/>
        <v>0</v>
      </c>
      <c r="AX520" s="90">
        <f t="shared" si="573"/>
        <v>0</v>
      </c>
      <c r="AY520" s="91" t="s">
        <v>1532</v>
      </c>
      <c r="AZ520" s="91" t="s">
        <v>1541</v>
      </c>
      <c r="BA520" s="154" t="s">
        <v>1542</v>
      </c>
      <c r="BC520" s="90">
        <f t="shared" si="574"/>
        <v>0</v>
      </c>
      <c r="BD520" s="90">
        <f t="shared" si="575"/>
        <v>0</v>
      </c>
      <c r="BE520" s="90">
        <v>0</v>
      </c>
      <c r="BF520" s="90">
        <f t="shared" si="576"/>
        <v>0</v>
      </c>
      <c r="BH520" s="90">
        <f t="shared" si="577"/>
        <v>0</v>
      </c>
      <c r="BI520" s="90">
        <f t="shared" si="578"/>
        <v>0</v>
      </c>
      <c r="BJ520" s="90">
        <f t="shared" si="579"/>
        <v>0</v>
      </c>
    </row>
    <row r="521" spans="1:62" ht="12.75">
      <c r="A521" s="88" t="s">
        <v>1762</v>
      </c>
      <c r="B521" s="88" t="s">
        <v>60</v>
      </c>
      <c r="C521" s="88" t="s">
        <v>1123</v>
      </c>
      <c r="D521" s="88" t="s">
        <v>1430</v>
      </c>
      <c r="E521" s="88" t="s">
        <v>606</v>
      </c>
      <c r="F521" s="90">
        <v>14</v>
      </c>
      <c r="G521" s="90">
        <f>'Stavební rozpočet (SO 13)'!G365</f>
        <v>0</v>
      </c>
      <c r="H521" s="90">
        <f t="shared" si="556"/>
        <v>0</v>
      </c>
      <c r="I521" s="90">
        <f t="shared" si="557"/>
        <v>0</v>
      </c>
      <c r="J521" s="90">
        <f t="shared" si="558"/>
        <v>0</v>
      </c>
      <c r="K521" s="90">
        <v>0</v>
      </c>
      <c r="L521" s="90">
        <f t="shared" si="559"/>
        <v>0</v>
      </c>
      <c r="M521" s="91" t="s">
        <v>622</v>
      </c>
      <c r="O521" s="90"/>
      <c r="P521" s="90"/>
      <c r="Z521" s="90">
        <f t="shared" si="560"/>
        <v>0</v>
      </c>
      <c r="AB521" s="90">
        <f t="shared" si="561"/>
        <v>0</v>
      </c>
      <c r="AC521" s="90">
        <f t="shared" si="562"/>
        <v>0</v>
      </c>
      <c r="AD521" s="90">
        <f t="shared" si="563"/>
        <v>0</v>
      </c>
      <c r="AE521" s="90">
        <f t="shared" si="564"/>
        <v>0</v>
      </c>
      <c r="AF521" s="90">
        <f t="shared" si="565"/>
        <v>0</v>
      </c>
      <c r="AG521" s="90">
        <f t="shared" si="566"/>
        <v>0</v>
      </c>
      <c r="AH521" s="90">
        <f t="shared" si="567"/>
        <v>0</v>
      </c>
      <c r="AI521" s="154" t="s">
        <v>60</v>
      </c>
      <c r="AJ521" s="90">
        <f t="shared" si="568"/>
        <v>0</v>
      </c>
      <c r="AK521" s="90">
        <f t="shared" si="569"/>
        <v>0</v>
      </c>
      <c r="AL521" s="90">
        <f t="shared" si="570"/>
        <v>0</v>
      </c>
      <c r="AN521" s="90">
        <v>21</v>
      </c>
      <c r="AO521" s="90">
        <f>G521*0.0272972972972973</f>
        <v>0</v>
      </c>
      <c r="AP521" s="90">
        <f>G521*(1-0.0272972972972973)</f>
        <v>0</v>
      </c>
      <c r="AQ521" s="91" t="s">
        <v>85</v>
      </c>
      <c r="AV521" s="90">
        <f t="shared" si="571"/>
        <v>0</v>
      </c>
      <c r="AW521" s="90">
        <f t="shared" si="572"/>
        <v>0</v>
      </c>
      <c r="AX521" s="90">
        <f t="shared" si="573"/>
        <v>0</v>
      </c>
      <c r="AY521" s="91" t="s">
        <v>1532</v>
      </c>
      <c r="AZ521" s="91" t="s">
        <v>1541</v>
      </c>
      <c r="BA521" s="154" t="s">
        <v>1542</v>
      </c>
      <c r="BC521" s="90">
        <f t="shared" si="574"/>
        <v>0</v>
      </c>
      <c r="BD521" s="90">
        <f t="shared" si="575"/>
        <v>0</v>
      </c>
      <c r="BE521" s="90">
        <v>0</v>
      </c>
      <c r="BF521" s="90">
        <f t="shared" si="576"/>
        <v>0</v>
      </c>
      <c r="BH521" s="90">
        <f t="shared" si="577"/>
        <v>0</v>
      </c>
      <c r="BI521" s="90">
        <f t="shared" si="578"/>
        <v>0</v>
      </c>
      <c r="BJ521" s="90">
        <f t="shared" si="579"/>
        <v>0</v>
      </c>
    </row>
    <row r="522" spans="1:62" ht="12.75">
      <c r="A522" s="88" t="s">
        <v>1763</v>
      </c>
      <c r="B522" s="88" t="s">
        <v>60</v>
      </c>
      <c r="C522" s="88" t="s">
        <v>1124</v>
      </c>
      <c r="D522" s="88" t="s">
        <v>1431</v>
      </c>
      <c r="E522" s="88" t="s">
        <v>606</v>
      </c>
      <c r="F522" s="90">
        <v>25</v>
      </c>
      <c r="G522" s="90">
        <f>'Stavební rozpočet (SO 13)'!G366</f>
        <v>0</v>
      </c>
      <c r="H522" s="90">
        <f t="shared" si="556"/>
        <v>0</v>
      </c>
      <c r="I522" s="90">
        <f t="shared" si="557"/>
        <v>0</v>
      </c>
      <c r="J522" s="90">
        <f t="shared" si="558"/>
        <v>0</v>
      </c>
      <c r="K522" s="90">
        <v>0</v>
      </c>
      <c r="L522" s="90">
        <f t="shared" si="559"/>
        <v>0</v>
      </c>
      <c r="M522" s="91" t="s">
        <v>622</v>
      </c>
      <c r="O522" s="90"/>
      <c r="P522" s="90"/>
      <c r="Z522" s="90">
        <f t="shared" si="560"/>
        <v>0</v>
      </c>
      <c r="AB522" s="90">
        <f t="shared" si="561"/>
        <v>0</v>
      </c>
      <c r="AC522" s="90">
        <f t="shared" si="562"/>
        <v>0</v>
      </c>
      <c r="AD522" s="90">
        <f t="shared" si="563"/>
        <v>0</v>
      </c>
      <c r="AE522" s="90">
        <f t="shared" si="564"/>
        <v>0</v>
      </c>
      <c r="AF522" s="90">
        <f t="shared" si="565"/>
        <v>0</v>
      </c>
      <c r="AG522" s="90">
        <f t="shared" si="566"/>
        <v>0</v>
      </c>
      <c r="AH522" s="90">
        <f t="shared" si="567"/>
        <v>0</v>
      </c>
      <c r="AI522" s="154" t="s">
        <v>60</v>
      </c>
      <c r="AJ522" s="90">
        <f t="shared" si="568"/>
        <v>0</v>
      </c>
      <c r="AK522" s="90">
        <f t="shared" si="569"/>
        <v>0</v>
      </c>
      <c r="AL522" s="90">
        <f t="shared" si="570"/>
        <v>0</v>
      </c>
      <c r="AN522" s="90">
        <v>21</v>
      </c>
      <c r="AO522" s="90">
        <f>G522*0.0878362842032651</f>
        <v>0</v>
      </c>
      <c r="AP522" s="90">
        <f>G522*(1-0.0878362842032651)</f>
        <v>0</v>
      </c>
      <c r="AQ522" s="91" t="s">
        <v>85</v>
      </c>
      <c r="AV522" s="90">
        <f t="shared" si="571"/>
        <v>0</v>
      </c>
      <c r="AW522" s="90">
        <f t="shared" si="572"/>
        <v>0</v>
      </c>
      <c r="AX522" s="90">
        <f t="shared" si="573"/>
        <v>0</v>
      </c>
      <c r="AY522" s="91" t="s">
        <v>1532</v>
      </c>
      <c r="AZ522" s="91" t="s">
        <v>1541</v>
      </c>
      <c r="BA522" s="154" t="s">
        <v>1542</v>
      </c>
      <c r="BC522" s="90">
        <f t="shared" si="574"/>
        <v>0</v>
      </c>
      <c r="BD522" s="90">
        <f t="shared" si="575"/>
        <v>0</v>
      </c>
      <c r="BE522" s="90">
        <v>0</v>
      </c>
      <c r="BF522" s="90">
        <f t="shared" si="576"/>
        <v>0</v>
      </c>
      <c r="BH522" s="90">
        <f t="shared" si="577"/>
        <v>0</v>
      </c>
      <c r="BI522" s="90">
        <f t="shared" si="578"/>
        <v>0</v>
      </c>
      <c r="BJ522" s="90">
        <f t="shared" si="579"/>
        <v>0</v>
      </c>
    </row>
    <row r="523" spans="1:62" ht="12.75">
      <c r="A523" s="88" t="s">
        <v>1764</v>
      </c>
      <c r="B523" s="88" t="s">
        <v>60</v>
      </c>
      <c r="C523" s="88" t="s">
        <v>1125</v>
      </c>
      <c r="D523" s="88" t="s">
        <v>1432</v>
      </c>
      <c r="E523" s="88" t="s">
        <v>609</v>
      </c>
      <c r="F523" s="90">
        <v>46.4</v>
      </c>
      <c r="G523" s="90">
        <f>'Stavební rozpočet (SO 13)'!G367</f>
        <v>0</v>
      </c>
      <c r="H523" s="90">
        <f t="shared" si="556"/>
        <v>0</v>
      </c>
      <c r="I523" s="90">
        <f t="shared" si="557"/>
        <v>0</v>
      </c>
      <c r="J523" s="90">
        <f t="shared" si="558"/>
        <v>0</v>
      </c>
      <c r="K523" s="90">
        <v>0</v>
      </c>
      <c r="L523" s="90">
        <f t="shared" si="559"/>
        <v>0</v>
      </c>
      <c r="M523" s="91" t="s">
        <v>622</v>
      </c>
      <c r="O523" s="90"/>
      <c r="P523" s="90"/>
      <c r="Z523" s="90">
        <f t="shared" si="560"/>
        <v>0</v>
      </c>
      <c r="AB523" s="90">
        <f t="shared" si="561"/>
        <v>0</v>
      </c>
      <c r="AC523" s="90">
        <f t="shared" si="562"/>
        <v>0</v>
      </c>
      <c r="AD523" s="90">
        <f t="shared" si="563"/>
        <v>0</v>
      </c>
      <c r="AE523" s="90">
        <f t="shared" si="564"/>
        <v>0</v>
      </c>
      <c r="AF523" s="90">
        <f t="shared" si="565"/>
        <v>0</v>
      </c>
      <c r="AG523" s="90">
        <f t="shared" si="566"/>
        <v>0</v>
      </c>
      <c r="AH523" s="90">
        <f t="shared" si="567"/>
        <v>0</v>
      </c>
      <c r="AI523" s="154" t="s">
        <v>60</v>
      </c>
      <c r="AJ523" s="90">
        <f t="shared" si="568"/>
        <v>0</v>
      </c>
      <c r="AK523" s="90">
        <f t="shared" si="569"/>
        <v>0</v>
      </c>
      <c r="AL523" s="90">
        <f t="shared" si="570"/>
        <v>0</v>
      </c>
      <c r="AN523" s="90">
        <v>21</v>
      </c>
      <c r="AO523" s="90">
        <f>G523*0</f>
        <v>0</v>
      </c>
      <c r="AP523" s="90">
        <f>G523*(1-0)</f>
        <v>0</v>
      </c>
      <c r="AQ523" s="91" t="s">
        <v>85</v>
      </c>
      <c r="AV523" s="90">
        <f t="shared" si="571"/>
        <v>0</v>
      </c>
      <c r="AW523" s="90">
        <f t="shared" si="572"/>
        <v>0</v>
      </c>
      <c r="AX523" s="90">
        <f t="shared" si="573"/>
        <v>0</v>
      </c>
      <c r="AY523" s="91" t="s">
        <v>1532</v>
      </c>
      <c r="AZ523" s="91" t="s">
        <v>1541</v>
      </c>
      <c r="BA523" s="154" t="s">
        <v>1542</v>
      </c>
      <c r="BC523" s="90">
        <f t="shared" si="574"/>
        <v>0</v>
      </c>
      <c r="BD523" s="90">
        <f t="shared" si="575"/>
        <v>0</v>
      </c>
      <c r="BE523" s="90">
        <v>0</v>
      </c>
      <c r="BF523" s="90">
        <f t="shared" si="576"/>
        <v>0</v>
      </c>
      <c r="BH523" s="90">
        <f t="shared" si="577"/>
        <v>0</v>
      </c>
      <c r="BI523" s="90">
        <f t="shared" si="578"/>
        <v>0</v>
      </c>
      <c r="BJ523" s="90">
        <f t="shared" si="579"/>
        <v>0</v>
      </c>
    </row>
    <row r="524" spans="1:62" ht="12.75">
      <c r="A524" s="88" t="s">
        <v>1765</v>
      </c>
      <c r="B524" s="88" t="s">
        <v>60</v>
      </c>
      <c r="C524" s="88" t="s">
        <v>1126</v>
      </c>
      <c r="D524" s="88" t="s">
        <v>1433</v>
      </c>
      <c r="E524" s="88" t="s">
        <v>609</v>
      </c>
      <c r="F524" s="90">
        <v>48.72</v>
      </c>
      <c r="G524" s="90">
        <f>'Stavební rozpočet (SO 13)'!G368</f>
        <v>0</v>
      </c>
      <c r="H524" s="90">
        <f t="shared" si="556"/>
        <v>0</v>
      </c>
      <c r="I524" s="90">
        <f t="shared" si="557"/>
        <v>0</v>
      </c>
      <c r="J524" s="90">
        <f t="shared" si="558"/>
        <v>0</v>
      </c>
      <c r="K524" s="90">
        <v>0.00129</v>
      </c>
      <c r="L524" s="90">
        <f t="shared" si="559"/>
        <v>0.0628488</v>
      </c>
      <c r="M524" s="91" t="s">
        <v>622</v>
      </c>
      <c r="O524" s="90"/>
      <c r="P524" s="90"/>
      <c r="Z524" s="90">
        <f t="shared" si="560"/>
        <v>0</v>
      </c>
      <c r="AB524" s="90">
        <f t="shared" si="561"/>
        <v>0</v>
      </c>
      <c r="AC524" s="90">
        <f t="shared" si="562"/>
        <v>0</v>
      </c>
      <c r="AD524" s="90">
        <f t="shared" si="563"/>
        <v>0</v>
      </c>
      <c r="AE524" s="90">
        <f t="shared" si="564"/>
        <v>0</v>
      </c>
      <c r="AF524" s="90">
        <f t="shared" si="565"/>
        <v>0</v>
      </c>
      <c r="AG524" s="90">
        <f t="shared" si="566"/>
        <v>0</v>
      </c>
      <c r="AH524" s="90">
        <f t="shared" si="567"/>
        <v>0</v>
      </c>
      <c r="AI524" s="154" t="s">
        <v>60</v>
      </c>
      <c r="AJ524" s="90">
        <f t="shared" si="568"/>
        <v>0</v>
      </c>
      <c r="AK524" s="90">
        <f t="shared" si="569"/>
        <v>0</v>
      </c>
      <c r="AL524" s="90">
        <f t="shared" si="570"/>
        <v>0</v>
      </c>
      <c r="AN524" s="90">
        <v>21</v>
      </c>
      <c r="AO524" s="90">
        <f>G524*1</f>
        <v>0</v>
      </c>
      <c r="AP524" s="90">
        <f>G524*(1-1)</f>
        <v>0</v>
      </c>
      <c r="AQ524" s="91" t="s">
        <v>85</v>
      </c>
      <c r="AV524" s="90">
        <f t="shared" si="571"/>
        <v>0</v>
      </c>
      <c r="AW524" s="90">
        <f t="shared" si="572"/>
        <v>0</v>
      </c>
      <c r="AX524" s="90">
        <f t="shared" si="573"/>
        <v>0</v>
      </c>
      <c r="AY524" s="91" t="s">
        <v>1532</v>
      </c>
      <c r="AZ524" s="91" t="s">
        <v>1541</v>
      </c>
      <c r="BA524" s="154" t="s">
        <v>1542</v>
      </c>
      <c r="BC524" s="90">
        <f t="shared" si="574"/>
        <v>0</v>
      </c>
      <c r="BD524" s="90">
        <f t="shared" si="575"/>
        <v>0</v>
      </c>
      <c r="BE524" s="90">
        <v>0</v>
      </c>
      <c r="BF524" s="90">
        <f t="shared" si="576"/>
        <v>0.0628488</v>
      </c>
      <c r="BH524" s="90">
        <f t="shared" si="577"/>
        <v>0</v>
      </c>
      <c r="BI524" s="90">
        <f t="shared" si="578"/>
        <v>0</v>
      </c>
      <c r="BJ524" s="90">
        <f t="shared" si="579"/>
        <v>0</v>
      </c>
    </row>
    <row r="525" spans="1:62" ht="12.75">
      <c r="A525" s="88" t="s">
        <v>1766</v>
      </c>
      <c r="B525" s="88" t="s">
        <v>60</v>
      </c>
      <c r="C525" s="88" t="s">
        <v>1127</v>
      </c>
      <c r="D525" s="88" t="s">
        <v>1434</v>
      </c>
      <c r="E525" s="88" t="s">
        <v>609</v>
      </c>
      <c r="F525" s="90">
        <v>3.4</v>
      </c>
      <c r="G525" s="90">
        <f>'Stavební rozpočet (SO 13)'!G369</f>
        <v>0</v>
      </c>
      <c r="H525" s="90">
        <f t="shared" si="556"/>
        <v>0</v>
      </c>
      <c r="I525" s="90">
        <f t="shared" si="557"/>
        <v>0</v>
      </c>
      <c r="J525" s="90">
        <f t="shared" si="558"/>
        <v>0</v>
      </c>
      <c r="K525" s="90">
        <v>0</v>
      </c>
      <c r="L525" s="90">
        <f t="shared" si="559"/>
        <v>0</v>
      </c>
      <c r="M525" s="91" t="s">
        <v>622</v>
      </c>
      <c r="O525" s="90"/>
      <c r="P525" s="90"/>
      <c r="Z525" s="90">
        <f t="shared" si="560"/>
        <v>0</v>
      </c>
      <c r="AB525" s="90">
        <f t="shared" si="561"/>
        <v>0</v>
      </c>
      <c r="AC525" s="90">
        <f t="shared" si="562"/>
        <v>0</v>
      </c>
      <c r="AD525" s="90">
        <f t="shared" si="563"/>
        <v>0</v>
      </c>
      <c r="AE525" s="90">
        <f t="shared" si="564"/>
        <v>0</v>
      </c>
      <c r="AF525" s="90">
        <f t="shared" si="565"/>
        <v>0</v>
      </c>
      <c r="AG525" s="90">
        <f t="shared" si="566"/>
        <v>0</v>
      </c>
      <c r="AH525" s="90">
        <f t="shared" si="567"/>
        <v>0</v>
      </c>
      <c r="AI525" s="154" t="s">
        <v>60</v>
      </c>
      <c r="AJ525" s="90">
        <f t="shared" si="568"/>
        <v>0</v>
      </c>
      <c r="AK525" s="90">
        <f t="shared" si="569"/>
        <v>0</v>
      </c>
      <c r="AL525" s="90">
        <f t="shared" si="570"/>
        <v>0</v>
      </c>
      <c r="AN525" s="90">
        <v>21</v>
      </c>
      <c r="AO525" s="90">
        <f>G525*0</f>
        <v>0</v>
      </c>
      <c r="AP525" s="90">
        <f>G525*(1-0)</f>
        <v>0</v>
      </c>
      <c r="AQ525" s="91" t="s">
        <v>85</v>
      </c>
      <c r="AV525" s="90">
        <f t="shared" si="571"/>
        <v>0</v>
      </c>
      <c r="AW525" s="90">
        <f t="shared" si="572"/>
        <v>0</v>
      </c>
      <c r="AX525" s="90">
        <f t="shared" si="573"/>
        <v>0</v>
      </c>
      <c r="AY525" s="91" t="s">
        <v>1532</v>
      </c>
      <c r="AZ525" s="91" t="s">
        <v>1541</v>
      </c>
      <c r="BA525" s="154" t="s">
        <v>1542</v>
      </c>
      <c r="BC525" s="90">
        <f t="shared" si="574"/>
        <v>0</v>
      </c>
      <c r="BD525" s="90">
        <f t="shared" si="575"/>
        <v>0</v>
      </c>
      <c r="BE525" s="90">
        <v>0</v>
      </c>
      <c r="BF525" s="90">
        <f t="shared" si="576"/>
        <v>0</v>
      </c>
      <c r="BH525" s="90">
        <f t="shared" si="577"/>
        <v>0</v>
      </c>
      <c r="BI525" s="90">
        <f t="shared" si="578"/>
        <v>0</v>
      </c>
      <c r="BJ525" s="90">
        <f t="shared" si="579"/>
        <v>0</v>
      </c>
    </row>
    <row r="526" spans="1:62" ht="12.75">
      <c r="A526" s="88" t="s">
        <v>1767</v>
      </c>
      <c r="B526" s="88" t="s">
        <v>60</v>
      </c>
      <c r="C526" s="88" t="s">
        <v>1128</v>
      </c>
      <c r="D526" s="88" t="s">
        <v>1435</v>
      </c>
      <c r="E526" s="88" t="s">
        <v>608</v>
      </c>
      <c r="F526" s="90">
        <v>0.43</v>
      </c>
      <c r="G526" s="90">
        <f>'Stavební rozpočet (SO 13)'!G370</f>
        <v>0</v>
      </c>
      <c r="H526" s="90">
        <f t="shared" si="556"/>
        <v>0</v>
      </c>
      <c r="I526" s="90">
        <f t="shared" si="557"/>
        <v>0</v>
      </c>
      <c r="J526" s="90">
        <f t="shared" si="558"/>
        <v>0</v>
      </c>
      <c r="K526" s="90">
        <v>0.0122</v>
      </c>
      <c r="L526" s="90">
        <f t="shared" si="559"/>
        <v>0.005246000000000001</v>
      </c>
      <c r="M526" s="91" t="s">
        <v>622</v>
      </c>
      <c r="O526" s="90"/>
      <c r="P526" s="90"/>
      <c r="Z526" s="90">
        <f t="shared" si="560"/>
        <v>0</v>
      </c>
      <c r="AB526" s="90">
        <f t="shared" si="561"/>
        <v>0</v>
      </c>
      <c r="AC526" s="90">
        <f t="shared" si="562"/>
        <v>0</v>
      </c>
      <c r="AD526" s="90">
        <f t="shared" si="563"/>
        <v>0</v>
      </c>
      <c r="AE526" s="90">
        <f t="shared" si="564"/>
        <v>0</v>
      </c>
      <c r="AF526" s="90">
        <f t="shared" si="565"/>
        <v>0</v>
      </c>
      <c r="AG526" s="90">
        <f t="shared" si="566"/>
        <v>0</v>
      </c>
      <c r="AH526" s="90">
        <f t="shared" si="567"/>
        <v>0</v>
      </c>
      <c r="AI526" s="154" t="s">
        <v>60</v>
      </c>
      <c r="AJ526" s="90">
        <f t="shared" si="568"/>
        <v>0</v>
      </c>
      <c r="AK526" s="90">
        <f t="shared" si="569"/>
        <v>0</v>
      </c>
      <c r="AL526" s="90">
        <f t="shared" si="570"/>
        <v>0</v>
      </c>
      <c r="AN526" s="90">
        <v>21</v>
      </c>
      <c r="AO526" s="90">
        <f>G526*1</f>
        <v>0</v>
      </c>
      <c r="AP526" s="90">
        <f>G526*(1-1)</f>
        <v>0</v>
      </c>
      <c r="AQ526" s="91" t="s">
        <v>85</v>
      </c>
      <c r="AV526" s="90">
        <f t="shared" si="571"/>
        <v>0</v>
      </c>
      <c r="AW526" s="90">
        <f t="shared" si="572"/>
        <v>0</v>
      </c>
      <c r="AX526" s="90">
        <f t="shared" si="573"/>
        <v>0</v>
      </c>
      <c r="AY526" s="91" t="s">
        <v>1532</v>
      </c>
      <c r="AZ526" s="91" t="s">
        <v>1541</v>
      </c>
      <c r="BA526" s="154" t="s">
        <v>1542</v>
      </c>
      <c r="BC526" s="90">
        <f t="shared" si="574"/>
        <v>0</v>
      </c>
      <c r="BD526" s="90">
        <f t="shared" si="575"/>
        <v>0</v>
      </c>
      <c r="BE526" s="90">
        <v>0</v>
      </c>
      <c r="BF526" s="90">
        <f t="shared" si="576"/>
        <v>0.005246000000000001</v>
      </c>
      <c r="BH526" s="90">
        <f t="shared" si="577"/>
        <v>0</v>
      </c>
      <c r="BI526" s="90">
        <f t="shared" si="578"/>
        <v>0</v>
      </c>
      <c r="BJ526" s="90">
        <f t="shared" si="579"/>
        <v>0</v>
      </c>
    </row>
    <row r="527" spans="1:62" ht="12.75">
      <c r="A527" s="88" t="s">
        <v>1768</v>
      </c>
      <c r="B527" s="88" t="s">
        <v>60</v>
      </c>
      <c r="C527" s="88" t="s">
        <v>1129</v>
      </c>
      <c r="D527" s="88" t="s">
        <v>1436</v>
      </c>
      <c r="E527" s="88" t="s">
        <v>609</v>
      </c>
      <c r="F527" s="90">
        <v>7.7</v>
      </c>
      <c r="G527" s="90">
        <f>'Stavební rozpočet (SO 13)'!G371</f>
        <v>0</v>
      </c>
      <c r="H527" s="90">
        <f t="shared" si="556"/>
        <v>0</v>
      </c>
      <c r="I527" s="90">
        <f t="shared" si="557"/>
        <v>0</v>
      </c>
      <c r="J527" s="90">
        <f t="shared" si="558"/>
        <v>0</v>
      </c>
      <c r="K527" s="90">
        <v>0</v>
      </c>
      <c r="L527" s="90">
        <f t="shared" si="559"/>
        <v>0</v>
      </c>
      <c r="M527" s="91" t="s">
        <v>622</v>
      </c>
      <c r="O527" s="90"/>
      <c r="P527" s="90"/>
      <c r="Z527" s="90">
        <f t="shared" si="560"/>
        <v>0</v>
      </c>
      <c r="AB527" s="90">
        <f t="shared" si="561"/>
        <v>0</v>
      </c>
      <c r="AC527" s="90">
        <f t="shared" si="562"/>
        <v>0</v>
      </c>
      <c r="AD527" s="90">
        <f t="shared" si="563"/>
        <v>0</v>
      </c>
      <c r="AE527" s="90">
        <f t="shared" si="564"/>
        <v>0</v>
      </c>
      <c r="AF527" s="90">
        <f t="shared" si="565"/>
        <v>0</v>
      </c>
      <c r="AG527" s="90">
        <f t="shared" si="566"/>
        <v>0</v>
      </c>
      <c r="AH527" s="90">
        <f t="shared" si="567"/>
        <v>0</v>
      </c>
      <c r="AI527" s="154" t="s">
        <v>60</v>
      </c>
      <c r="AJ527" s="90">
        <f t="shared" si="568"/>
        <v>0</v>
      </c>
      <c r="AK527" s="90">
        <f t="shared" si="569"/>
        <v>0</v>
      </c>
      <c r="AL527" s="90">
        <f t="shared" si="570"/>
        <v>0</v>
      </c>
      <c r="AN527" s="90">
        <v>21</v>
      </c>
      <c r="AO527" s="90">
        <f>G527*0</f>
        <v>0</v>
      </c>
      <c r="AP527" s="90">
        <f>G527*(1-0)</f>
        <v>0</v>
      </c>
      <c r="AQ527" s="91" t="s">
        <v>85</v>
      </c>
      <c r="AV527" s="90">
        <f t="shared" si="571"/>
        <v>0</v>
      </c>
      <c r="AW527" s="90">
        <f t="shared" si="572"/>
        <v>0</v>
      </c>
      <c r="AX527" s="90">
        <f t="shared" si="573"/>
        <v>0</v>
      </c>
      <c r="AY527" s="91" t="s">
        <v>1532</v>
      </c>
      <c r="AZ527" s="91" t="s">
        <v>1541</v>
      </c>
      <c r="BA527" s="154" t="s">
        <v>1542</v>
      </c>
      <c r="BC527" s="90">
        <f t="shared" si="574"/>
        <v>0</v>
      </c>
      <c r="BD527" s="90">
        <f t="shared" si="575"/>
        <v>0</v>
      </c>
      <c r="BE527" s="90">
        <v>0</v>
      </c>
      <c r="BF527" s="90">
        <f t="shared" si="576"/>
        <v>0</v>
      </c>
      <c r="BH527" s="90">
        <f t="shared" si="577"/>
        <v>0</v>
      </c>
      <c r="BI527" s="90">
        <f t="shared" si="578"/>
        <v>0</v>
      </c>
      <c r="BJ527" s="90">
        <f t="shared" si="579"/>
        <v>0</v>
      </c>
    </row>
    <row r="528" spans="1:62" ht="12.75">
      <c r="A528" s="88" t="s">
        <v>1769</v>
      </c>
      <c r="B528" s="88" t="s">
        <v>60</v>
      </c>
      <c r="C528" s="88" t="s">
        <v>1128</v>
      </c>
      <c r="D528" s="88" t="s">
        <v>1435</v>
      </c>
      <c r="E528" s="88" t="s">
        <v>608</v>
      </c>
      <c r="F528" s="90">
        <v>1.62</v>
      </c>
      <c r="G528" s="90">
        <f>'Stavební rozpočet (SO 13)'!G372</f>
        <v>0</v>
      </c>
      <c r="H528" s="90">
        <f t="shared" si="556"/>
        <v>0</v>
      </c>
      <c r="I528" s="90">
        <f t="shared" si="557"/>
        <v>0</v>
      </c>
      <c r="J528" s="90">
        <f t="shared" si="558"/>
        <v>0</v>
      </c>
      <c r="K528" s="90">
        <v>0.0122</v>
      </c>
      <c r="L528" s="90">
        <f t="shared" si="559"/>
        <v>0.019764000000000004</v>
      </c>
      <c r="M528" s="91" t="s">
        <v>622</v>
      </c>
      <c r="O528" s="90"/>
      <c r="P528" s="90"/>
      <c r="Z528" s="90">
        <f t="shared" si="560"/>
        <v>0</v>
      </c>
      <c r="AB528" s="90">
        <f t="shared" si="561"/>
        <v>0</v>
      </c>
      <c r="AC528" s="90">
        <f t="shared" si="562"/>
        <v>0</v>
      </c>
      <c r="AD528" s="90">
        <f t="shared" si="563"/>
        <v>0</v>
      </c>
      <c r="AE528" s="90">
        <f t="shared" si="564"/>
        <v>0</v>
      </c>
      <c r="AF528" s="90">
        <f t="shared" si="565"/>
        <v>0</v>
      </c>
      <c r="AG528" s="90">
        <f t="shared" si="566"/>
        <v>0</v>
      </c>
      <c r="AH528" s="90">
        <f t="shared" si="567"/>
        <v>0</v>
      </c>
      <c r="AI528" s="154" t="s">
        <v>60</v>
      </c>
      <c r="AJ528" s="90">
        <f t="shared" si="568"/>
        <v>0</v>
      </c>
      <c r="AK528" s="90">
        <f t="shared" si="569"/>
        <v>0</v>
      </c>
      <c r="AL528" s="90">
        <f t="shared" si="570"/>
        <v>0</v>
      </c>
      <c r="AN528" s="90">
        <v>21</v>
      </c>
      <c r="AO528" s="90">
        <f>G528*1</f>
        <v>0</v>
      </c>
      <c r="AP528" s="90">
        <f>G528*(1-1)</f>
        <v>0</v>
      </c>
      <c r="AQ528" s="91" t="s">
        <v>85</v>
      </c>
      <c r="AV528" s="90">
        <f t="shared" si="571"/>
        <v>0</v>
      </c>
      <c r="AW528" s="90">
        <f t="shared" si="572"/>
        <v>0</v>
      </c>
      <c r="AX528" s="90">
        <f t="shared" si="573"/>
        <v>0</v>
      </c>
      <c r="AY528" s="91" t="s">
        <v>1532</v>
      </c>
      <c r="AZ528" s="91" t="s">
        <v>1541</v>
      </c>
      <c r="BA528" s="154" t="s">
        <v>1542</v>
      </c>
      <c r="BC528" s="90">
        <f t="shared" si="574"/>
        <v>0</v>
      </c>
      <c r="BD528" s="90">
        <f t="shared" si="575"/>
        <v>0</v>
      </c>
      <c r="BE528" s="90">
        <v>0</v>
      </c>
      <c r="BF528" s="90">
        <f t="shared" si="576"/>
        <v>0.019764000000000004</v>
      </c>
      <c r="BH528" s="90">
        <f t="shared" si="577"/>
        <v>0</v>
      </c>
      <c r="BI528" s="90">
        <f t="shared" si="578"/>
        <v>0</v>
      </c>
      <c r="BJ528" s="90">
        <f t="shared" si="579"/>
        <v>0</v>
      </c>
    </row>
    <row r="529" spans="1:62" ht="12.75">
      <c r="A529" s="88" t="s">
        <v>1770</v>
      </c>
      <c r="B529" s="88" t="s">
        <v>60</v>
      </c>
      <c r="C529" s="88" t="s">
        <v>1130</v>
      </c>
      <c r="D529" s="88" t="s">
        <v>1437</v>
      </c>
      <c r="E529" s="88" t="s">
        <v>608</v>
      </c>
      <c r="F529" s="90">
        <v>94.84</v>
      </c>
      <c r="G529" s="90">
        <f>'Stavební rozpočet (SO 13)'!G373</f>
        <v>0</v>
      </c>
      <c r="H529" s="90">
        <f t="shared" si="556"/>
        <v>0</v>
      </c>
      <c r="I529" s="90">
        <f t="shared" si="557"/>
        <v>0</v>
      </c>
      <c r="J529" s="90">
        <f t="shared" si="558"/>
        <v>0</v>
      </c>
      <c r="K529" s="90">
        <v>0.00487</v>
      </c>
      <c r="L529" s="90">
        <f t="shared" si="559"/>
        <v>0.4618708</v>
      </c>
      <c r="M529" s="91" t="s">
        <v>622</v>
      </c>
      <c r="O529" s="90"/>
      <c r="P529" s="90"/>
      <c r="Z529" s="90">
        <f t="shared" si="560"/>
        <v>0</v>
      </c>
      <c r="AB529" s="90">
        <f t="shared" si="561"/>
        <v>0</v>
      </c>
      <c r="AC529" s="90">
        <f t="shared" si="562"/>
        <v>0</v>
      </c>
      <c r="AD529" s="90">
        <f t="shared" si="563"/>
        <v>0</v>
      </c>
      <c r="AE529" s="90">
        <f t="shared" si="564"/>
        <v>0</v>
      </c>
      <c r="AF529" s="90">
        <f t="shared" si="565"/>
        <v>0</v>
      </c>
      <c r="AG529" s="90">
        <f t="shared" si="566"/>
        <v>0</v>
      </c>
      <c r="AH529" s="90">
        <f t="shared" si="567"/>
        <v>0</v>
      </c>
      <c r="AI529" s="154" t="s">
        <v>60</v>
      </c>
      <c r="AJ529" s="90">
        <f t="shared" si="568"/>
        <v>0</v>
      </c>
      <c r="AK529" s="90">
        <f t="shared" si="569"/>
        <v>0</v>
      </c>
      <c r="AL529" s="90">
        <f t="shared" si="570"/>
        <v>0</v>
      </c>
      <c r="AN529" s="90">
        <v>21</v>
      </c>
      <c r="AO529" s="90">
        <f>G529*0.143831454029162</f>
        <v>0</v>
      </c>
      <c r="AP529" s="90">
        <f>G529*(1-0.143831454029162)</f>
        <v>0</v>
      </c>
      <c r="AQ529" s="91" t="s">
        <v>85</v>
      </c>
      <c r="AV529" s="90">
        <f t="shared" si="571"/>
        <v>0</v>
      </c>
      <c r="AW529" s="90">
        <f t="shared" si="572"/>
        <v>0</v>
      </c>
      <c r="AX529" s="90">
        <f t="shared" si="573"/>
        <v>0</v>
      </c>
      <c r="AY529" s="91" t="s">
        <v>1532</v>
      </c>
      <c r="AZ529" s="91" t="s">
        <v>1541</v>
      </c>
      <c r="BA529" s="154" t="s">
        <v>1542</v>
      </c>
      <c r="BC529" s="90">
        <f t="shared" si="574"/>
        <v>0</v>
      </c>
      <c r="BD529" s="90">
        <f t="shared" si="575"/>
        <v>0</v>
      </c>
      <c r="BE529" s="90">
        <v>0</v>
      </c>
      <c r="BF529" s="90">
        <f t="shared" si="576"/>
        <v>0.4618708</v>
      </c>
      <c r="BH529" s="90">
        <f t="shared" si="577"/>
        <v>0</v>
      </c>
      <c r="BI529" s="90">
        <f t="shared" si="578"/>
        <v>0</v>
      </c>
      <c r="BJ529" s="90">
        <f t="shared" si="579"/>
        <v>0</v>
      </c>
    </row>
    <row r="530" spans="1:62" ht="12.75">
      <c r="A530" s="88" t="s">
        <v>1771</v>
      </c>
      <c r="B530" s="88" t="s">
        <v>60</v>
      </c>
      <c r="C530" s="88" t="s">
        <v>1128</v>
      </c>
      <c r="D530" s="88" t="s">
        <v>1435</v>
      </c>
      <c r="E530" s="88" t="s">
        <v>608</v>
      </c>
      <c r="F530" s="90">
        <v>99.59</v>
      </c>
      <c r="G530" s="90">
        <f>'Stavební rozpočet (SO 13)'!G374</f>
        <v>0</v>
      </c>
      <c r="H530" s="90">
        <f t="shared" si="556"/>
        <v>0</v>
      </c>
      <c r="I530" s="90">
        <f t="shared" si="557"/>
        <v>0</v>
      </c>
      <c r="J530" s="90">
        <f t="shared" si="558"/>
        <v>0</v>
      </c>
      <c r="K530" s="90">
        <v>0.0122</v>
      </c>
      <c r="L530" s="90">
        <f t="shared" si="559"/>
        <v>1.214998</v>
      </c>
      <c r="M530" s="91" t="s">
        <v>622</v>
      </c>
      <c r="O530" s="90"/>
      <c r="P530" s="90"/>
      <c r="Z530" s="90">
        <f t="shared" si="560"/>
        <v>0</v>
      </c>
      <c r="AB530" s="90">
        <f t="shared" si="561"/>
        <v>0</v>
      </c>
      <c r="AC530" s="90">
        <f t="shared" si="562"/>
        <v>0</v>
      </c>
      <c r="AD530" s="90">
        <f t="shared" si="563"/>
        <v>0</v>
      </c>
      <c r="AE530" s="90">
        <f t="shared" si="564"/>
        <v>0</v>
      </c>
      <c r="AF530" s="90">
        <f t="shared" si="565"/>
        <v>0</v>
      </c>
      <c r="AG530" s="90">
        <f t="shared" si="566"/>
        <v>0</v>
      </c>
      <c r="AH530" s="90">
        <f t="shared" si="567"/>
        <v>0</v>
      </c>
      <c r="AI530" s="154" t="s">
        <v>60</v>
      </c>
      <c r="AJ530" s="90">
        <f t="shared" si="568"/>
        <v>0</v>
      </c>
      <c r="AK530" s="90">
        <f t="shared" si="569"/>
        <v>0</v>
      </c>
      <c r="AL530" s="90">
        <f t="shared" si="570"/>
        <v>0</v>
      </c>
      <c r="AN530" s="90">
        <v>21</v>
      </c>
      <c r="AO530" s="90">
        <f>G530*1</f>
        <v>0</v>
      </c>
      <c r="AP530" s="90">
        <f>G530*(1-1)</f>
        <v>0</v>
      </c>
      <c r="AQ530" s="91" t="s">
        <v>85</v>
      </c>
      <c r="AV530" s="90">
        <f t="shared" si="571"/>
        <v>0</v>
      </c>
      <c r="AW530" s="90">
        <f t="shared" si="572"/>
        <v>0</v>
      </c>
      <c r="AX530" s="90">
        <f t="shared" si="573"/>
        <v>0</v>
      </c>
      <c r="AY530" s="91" t="s">
        <v>1532</v>
      </c>
      <c r="AZ530" s="91" t="s">
        <v>1541</v>
      </c>
      <c r="BA530" s="154" t="s">
        <v>1542</v>
      </c>
      <c r="BC530" s="90">
        <f t="shared" si="574"/>
        <v>0</v>
      </c>
      <c r="BD530" s="90">
        <f t="shared" si="575"/>
        <v>0</v>
      </c>
      <c r="BE530" s="90">
        <v>0</v>
      </c>
      <c r="BF530" s="90">
        <f t="shared" si="576"/>
        <v>1.214998</v>
      </c>
      <c r="BH530" s="90">
        <f t="shared" si="577"/>
        <v>0</v>
      </c>
      <c r="BI530" s="90">
        <f t="shared" si="578"/>
        <v>0</v>
      </c>
      <c r="BJ530" s="90">
        <f t="shared" si="579"/>
        <v>0</v>
      </c>
    </row>
    <row r="531" spans="1:62" ht="12.75">
      <c r="A531" s="88" t="s">
        <v>1772</v>
      </c>
      <c r="B531" s="88" t="s">
        <v>60</v>
      </c>
      <c r="C531" s="88" t="s">
        <v>1131</v>
      </c>
      <c r="D531" s="88" t="s">
        <v>1438</v>
      </c>
      <c r="E531" s="88" t="s">
        <v>608</v>
      </c>
      <c r="F531" s="90">
        <v>96.72</v>
      </c>
      <c r="G531" s="90">
        <f>'Stavební rozpočet (SO 13)'!G375</f>
        <v>0</v>
      </c>
      <c r="H531" s="90">
        <f t="shared" si="556"/>
        <v>0</v>
      </c>
      <c r="I531" s="90">
        <f t="shared" si="557"/>
        <v>0</v>
      </c>
      <c r="J531" s="90">
        <f t="shared" si="558"/>
        <v>0</v>
      </c>
      <c r="K531" s="90">
        <v>0.00011</v>
      </c>
      <c r="L531" s="90">
        <f t="shared" si="559"/>
        <v>0.0106392</v>
      </c>
      <c r="M531" s="91" t="s">
        <v>622</v>
      </c>
      <c r="O531" s="90"/>
      <c r="P531" s="90"/>
      <c r="Z531" s="90">
        <f t="shared" si="560"/>
        <v>0</v>
      </c>
      <c r="AB531" s="90">
        <f t="shared" si="561"/>
        <v>0</v>
      </c>
      <c r="AC531" s="90">
        <f t="shared" si="562"/>
        <v>0</v>
      </c>
      <c r="AD531" s="90">
        <f t="shared" si="563"/>
        <v>0</v>
      </c>
      <c r="AE531" s="90">
        <f t="shared" si="564"/>
        <v>0</v>
      </c>
      <c r="AF531" s="90">
        <f t="shared" si="565"/>
        <v>0</v>
      </c>
      <c r="AG531" s="90">
        <f t="shared" si="566"/>
        <v>0</v>
      </c>
      <c r="AH531" s="90">
        <f t="shared" si="567"/>
        <v>0</v>
      </c>
      <c r="AI531" s="154" t="s">
        <v>60</v>
      </c>
      <c r="AJ531" s="90">
        <f t="shared" si="568"/>
        <v>0</v>
      </c>
      <c r="AK531" s="90">
        <f t="shared" si="569"/>
        <v>0</v>
      </c>
      <c r="AL531" s="90">
        <f t="shared" si="570"/>
        <v>0</v>
      </c>
      <c r="AN531" s="90">
        <v>21</v>
      </c>
      <c r="AO531" s="90">
        <f>G531*1.00000071536683</f>
        <v>0</v>
      </c>
      <c r="AP531" s="90">
        <f>G531*(1-1.00000071536683)</f>
        <v>0</v>
      </c>
      <c r="AQ531" s="91" t="s">
        <v>85</v>
      </c>
      <c r="AV531" s="90">
        <f t="shared" si="571"/>
        <v>0</v>
      </c>
      <c r="AW531" s="90">
        <f t="shared" si="572"/>
        <v>0</v>
      </c>
      <c r="AX531" s="90">
        <f t="shared" si="573"/>
        <v>0</v>
      </c>
      <c r="AY531" s="91" t="s">
        <v>1532</v>
      </c>
      <c r="AZ531" s="91" t="s">
        <v>1541</v>
      </c>
      <c r="BA531" s="154" t="s">
        <v>1542</v>
      </c>
      <c r="BC531" s="90">
        <f t="shared" si="574"/>
        <v>0</v>
      </c>
      <c r="BD531" s="90">
        <f t="shared" si="575"/>
        <v>0</v>
      </c>
      <c r="BE531" s="90">
        <v>0</v>
      </c>
      <c r="BF531" s="90">
        <f t="shared" si="576"/>
        <v>0.0106392</v>
      </c>
      <c r="BH531" s="90">
        <f t="shared" si="577"/>
        <v>0</v>
      </c>
      <c r="BI531" s="90">
        <f t="shared" si="578"/>
        <v>0</v>
      </c>
      <c r="BJ531" s="90">
        <f t="shared" si="579"/>
        <v>0</v>
      </c>
    </row>
    <row r="532" spans="1:62" ht="12.75">
      <c r="A532" s="88" t="s">
        <v>1773</v>
      </c>
      <c r="B532" s="88" t="s">
        <v>60</v>
      </c>
      <c r="C532" s="88" t="s">
        <v>1132</v>
      </c>
      <c r="D532" s="88" t="s">
        <v>1439</v>
      </c>
      <c r="E532" s="88" t="s">
        <v>608</v>
      </c>
      <c r="F532" s="90">
        <v>94.84</v>
      </c>
      <c r="G532" s="90">
        <f>'Stavební rozpočet (SO 13)'!G376</f>
        <v>0</v>
      </c>
      <c r="H532" s="90">
        <f t="shared" si="556"/>
        <v>0</v>
      </c>
      <c r="I532" s="90">
        <f t="shared" si="557"/>
        <v>0</v>
      </c>
      <c r="J532" s="90">
        <f t="shared" si="558"/>
        <v>0</v>
      </c>
      <c r="K532" s="90">
        <v>0</v>
      </c>
      <c r="L532" s="90">
        <f t="shared" si="559"/>
        <v>0</v>
      </c>
      <c r="M532" s="91" t="s">
        <v>622</v>
      </c>
      <c r="O532" s="90"/>
      <c r="P532" s="90"/>
      <c r="Z532" s="90">
        <f t="shared" si="560"/>
        <v>0</v>
      </c>
      <c r="AB532" s="90">
        <f t="shared" si="561"/>
        <v>0</v>
      </c>
      <c r="AC532" s="90">
        <f t="shared" si="562"/>
        <v>0</v>
      </c>
      <c r="AD532" s="90">
        <f t="shared" si="563"/>
        <v>0</v>
      </c>
      <c r="AE532" s="90">
        <f t="shared" si="564"/>
        <v>0</v>
      </c>
      <c r="AF532" s="90">
        <f t="shared" si="565"/>
        <v>0</v>
      </c>
      <c r="AG532" s="90">
        <f t="shared" si="566"/>
        <v>0</v>
      </c>
      <c r="AH532" s="90">
        <f t="shared" si="567"/>
        <v>0</v>
      </c>
      <c r="AI532" s="154" t="s">
        <v>60</v>
      </c>
      <c r="AJ532" s="90">
        <f t="shared" si="568"/>
        <v>0</v>
      </c>
      <c r="AK532" s="90">
        <f t="shared" si="569"/>
        <v>0</v>
      </c>
      <c r="AL532" s="90">
        <f t="shared" si="570"/>
        <v>0</v>
      </c>
      <c r="AN532" s="90">
        <v>21</v>
      </c>
      <c r="AO532" s="90">
        <f>G532*0</f>
        <v>0</v>
      </c>
      <c r="AP532" s="90">
        <f>G532*(1-0)</f>
        <v>0</v>
      </c>
      <c r="AQ532" s="91" t="s">
        <v>85</v>
      </c>
      <c r="AV532" s="90">
        <f t="shared" si="571"/>
        <v>0</v>
      </c>
      <c r="AW532" s="90">
        <f t="shared" si="572"/>
        <v>0</v>
      </c>
      <c r="AX532" s="90">
        <f t="shared" si="573"/>
        <v>0</v>
      </c>
      <c r="AY532" s="91" t="s">
        <v>1532</v>
      </c>
      <c r="AZ532" s="91" t="s">
        <v>1541</v>
      </c>
      <c r="BA532" s="154" t="s">
        <v>1542</v>
      </c>
      <c r="BC532" s="90">
        <f t="shared" si="574"/>
        <v>0</v>
      </c>
      <c r="BD532" s="90">
        <f t="shared" si="575"/>
        <v>0</v>
      </c>
      <c r="BE532" s="90">
        <v>0</v>
      </c>
      <c r="BF532" s="90">
        <f t="shared" si="576"/>
        <v>0</v>
      </c>
      <c r="BH532" s="90">
        <f t="shared" si="577"/>
        <v>0</v>
      </c>
      <c r="BI532" s="90">
        <f t="shared" si="578"/>
        <v>0</v>
      </c>
      <c r="BJ532" s="90">
        <f t="shared" si="579"/>
        <v>0</v>
      </c>
    </row>
    <row r="533" spans="1:62" ht="12.75">
      <c r="A533" s="88" t="s">
        <v>1774</v>
      </c>
      <c r="B533" s="88" t="s">
        <v>60</v>
      </c>
      <c r="C533" s="88" t="s">
        <v>1133</v>
      </c>
      <c r="D533" s="88" t="s">
        <v>1440</v>
      </c>
      <c r="E533" s="88" t="s">
        <v>609</v>
      </c>
      <c r="F533" s="90">
        <v>187.8</v>
      </c>
      <c r="G533" s="90">
        <f>'Stavební rozpočet (SO 13)'!G377</f>
        <v>0</v>
      </c>
      <c r="H533" s="90">
        <f t="shared" si="556"/>
        <v>0</v>
      </c>
      <c r="I533" s="90">
        <f t="shared" si="557"/>
        <v>0</v>
      </c>
      <c r="J533" s="90">
        <f t="shared" si="558"/>
        <v>0</v>
      </c>
      <c r="K533" s="90">
        <v>0</v>
      </c>
      <c r="L533" s="90">
        <f t="shared" si="559"/>
        <v>0</v>
      </c>
      <c r="M533" s="91" t="s">
        <v>622</v>
      </c>
      <c r="O533" s="90"/>
      <c r="P533" s="90"/>
      <c r="Z533" s="90">
        <f t="shared" si="560"/>
        <v>0</v>
      </c>
      <c r="AB533" s="90">
        <f t="shared" si="561"/>
        <v>0</v>
      </c>
      <c r="AC533" s="90">
        <f t="shared" si="562"/>
        <v>0</v>
      </c>
      <c r="AD533" s="90">
        <f t="shared" si="563"/>
        <v>0</v>
      </c>
      <c r="AE533" s="90">
        <f t="shared" si="564"/>
        <v>0</v>
      </c>
      <c r="AF533" s="90">
        <f t="shared" si="565"/>
        <v>0</v>
      </c>
      <c r="AG533" s="90">
        <f t="shared" si="566"/>
        <v>0</v>
      </c>
      <c r="AH533" s="90">
        <f t="shared" si="567"/>
        <v>0</v>
      </c>
      <c r="AI533" s="154" t="s">
        <v>60</v>
      </c>
      <c r="AJ533" s="90">
        <f t="shared" si="568"/>
        <v>0</v>
      </c>
      <c r="AK533" s="90">
        <f t="shared" si="569"/>
        <v>0</v>
      </c>
      <c r="AL533" s="90">
        <f t="shared" si="570"/>
        <v>0</v>
      </c>
      <c r="AN533" s="90">
        <v>21</v>
      </c>
      <c r="AO533" s="90">
        <f>G533*0</f>
        <v>0</v>
      </c>
      <c r="AP533" s="90">
        <f>G533*(1-0)</f>
        <v>0</v>
      </c>
      <c r="AQ533" s="91" t="s">
        <v>85</v>
      </c>
      <c r="AV533" s="90">
        <f t="shared" si="571"/>
        <v>0</v>
      </c>
      <c r="AW533" s="90">
        <f t="shared" si="572"/>
        <v>0</v>
      </c>
      <c r="AX533" s="90">
        <f t="shared" si="573"/>
        <v>0</v>
      </c>
      <c r="AY533" s="91" t="s">
        <v>1532</v>
      </c>
      <c r="AZ533" s="91" t="s">
        <v>1541</v>
      </c>
      <c r="BA533" s="154" t="s">
        <v>1542</v>
      </c>
      <c r="BC533" s="90">
        <f t="shared" si="574"/>
        <v>0</v>
      </c>
      <c r="BD533" s="90">
        <f t="shared" si="575"/>
        <v>0</v>
      </c>
      <c r="BE533" s="90">
        <v>0</v>
      </c>
      <c r="BF533" s="90">
        <f t="shared" si="576"/>
        <v>0</v>
      </c>
      <c r="BH533" s="90">
        <f t="shared" si="577"/>
        <v>0</v>
      </c>
      <c r="BI533" s="90">
        <f t="shared" si="578"/>
        <v>0</v>
      </c>
      <c r="BJ533" s="90">
        <f t="shared" si="579"/>
        <v>0</v>
      </c>
    </row>
    <row r="534" spans="1:62" ht="12.75">
      <c r="A534" s="88" t="s">
        <v>1775</v>
      </c>
      <c r="B534" s="88" t="s">
        <v>60</v>
      </c>
      <c r="C534" s="88" t="s">
        <v>1134</v>
      </c>
      <c r="D534" s="88" t="s">
        <v>1441</v>
      </c>
      <c r="E534" s="88" t="s">
        <v>609</v>
      </c>
      <c r="F534" s="90">
        <v>99.44</v>
      </c>
      <c r="G534" s="90">
        <f>'Stavební rozpočet (SO 13)'!G378</f>
        <v>0</v>
      </c>
      <c r="H534" s="90">
        <f t="shared" si="556"/>
        <v>0</v>
      </c>
      <c r="I534" s="90">
        <f t="shared" si="557"/>
        <v>0</v>
      </c>
      <c r="J534" s="90">
        <f t="shared" si="558"/>
        <v>0</v>
      </c>
      <c r="K534" s="90">
        <v>0</v>
      </c>
      <c r="L534" s="90">
        <f t="shared" si="559"/>
        <v>0</v>
      </c>
      <c r="M534" s="91" t="s">
        <v>622</v>
      </c>
      <c r="O534" s="90"/>
      <c r="P534" s="90"/>
      <c r="Z534" s="90">
        <f t="shared" si="560"/>
        <v>0</v>
      </c>
      <c r="AB534" s="90">
        <f t="shared" si="561"/>
        <v>0</v>
      </c>
      <c r="AC534" s="90">
        <f t="shared" si="562"/>
        <v>0</v>
      </c>
      <c r="AD534" s="90">
        <f t="shared" si="563"/>
        <v>0</v>
      </c>
      <c r="AE534" s="90">
        <f t="shared" si="564"/>
        <v>0</v>
      </c>
      <c r="AF534" s="90">
        <f t="shared" si="565"/>
        <v>0</v>
      </c>
      <c r="AG534" s="90">
        <f t="shared" si="566"/>
        <v>0</v>
      </c>
      <c r="AH534" s="90">
        <f t="shared" si="567"/>
        <v>0</v>
      </c>
      <c r="AI534" s="154" t="s">
        <v>60</v>
      </c>
      <c r="AJ534" s="90">
        <f t="shared" si="568"/>
        <v>0</v>
      </c>
      <c r="AK534" s="90">
        <f t="shared" si="569"/>
        <v>0</v>
      </c>
      <c r="AL534" s="90">
        <f t="shared" si="570"/>
        <v>0</v>
      </c>
      <c r="AN534" s="90">
        <v>21</v>
      </c>
      <c r="AO534" s="90">
        <f>G534*1</f>
        <v>0</v>
      </c>
      <c r="AP534" s="90">
        <f>G534*(1-1)</f>
        <v>0</v>
      </c>
      <c r="AQ534" s="91" t="s">
        <v>85</v>
      </c>
      <c r="AV534" s="90">
        <f t="shared" si="571"/>
        <v>0</v>
      </c>
      <c r="AW534" s="90">
        <f t="shared" si="572"/>
        <v>0</v>
      </c>
      <c r="AX534" s="90">
        <f t="shared" si="573"/>
        <v>0</v>
      </c>
      <c r="AY534" s="91" t="s">
        <v>1532</v>
      </c>
      <c r="AZ534" s="91" t="s">
        <v>1541</v>
      </c>
      <c r="BA534" s="154" t="s">
        <v>1542</v>
      </c>
      <c r="BC534" s="90">
        <f t="shared" si="574"/>
        <v>0</v>
      </c>
      <c r="BD534" s="90">
        <f t="shared" si="575"/>
        <v>0</v>
      </c>
      <c r="BE534" s="90">
        <v>0</v>
      </c>
      <c r="BF534" s="90">
        <f t="shared" si="576"/>
        <v>0</v>
      </c>
      <c r="BH534" s="90">
        <f t="shared" si="577"/>
        <v>0</v>
      </c>
      <c r="BI534" s="90">
        <f t="shared" si="578"/>
        <v>0</v>
      </c>
      <c r="BJ534" s="90">
        <f t="shared" si="579"/>
        <v>0</v>
      </c>
    </row>
    <row r="535" spans="1:62" ht="12.75">
      <c r="A535" s="88" t="s">
        <v>1776</v>
      </c>
      <c r="B535" s="88" t="s">
        <v>60</v>
      </c>
      <c r="C535" s="88" t="s">
        <v>1135</v>
      </c>
      <c r="D535" s="88" t="s">
        <v>1442</v>
      </c>
      <c r="E535" s="88" t="s">
        <v>609</v>
      </c>
      <c r="F535" s="90">
        <v>19.03</v>
      </c>
      <c r="G535" s="90">
        <f>'Stavební rozpočet (SO 13)'!G379</f>
        <v>0</v>
      </c>
      <c r="H535" s="90">
        <f t="shared" si="556"/>
        <v>0</v>
      </c>
      <c r="I535" s="90">
        <f t="shared" si="557"/>
        <v>0</v>
      </c>
      <c r="J535" s="90">
        <f t="shared" si="558"/>
        <v>0</v>
      </c>
      <c r="K535" s="90">
        <v>0</v>
      </c>
      <c r="L535" s="90">
        <f t="shared" si="559"/>
        <v>0</v>
      </c>
      <c r="M535" s="91" t="s">
        <v>622</v>
      </c>
      <c r="O535" s="90"/>
      <c r="P535" s="90"/>
      <c r="Z535" s="90">
        <f t="shared" si="560"/>
        <v>0</v>
      </c>
      <c r="AB535" s="90">
        <f t="shared" si="561"/>
        <v>0</v>
      </c>
      <c r="AC535" s="90">
        <f t="shared" si="562"/>
        <v>0</v>
      </c>
      <c r="AD535" s="90">
        <f t="shared" si="563"/>
        <v>0</v>
      </c>
      <c r="AE535" s="90">
        <f t="shared" si="564"/>
        <v>0</v>
      </c>
      <c r="AF535" s="90">
        <f t="shared" si="565"/>
        <v>0</v>
      </c>
      <c r="AG535" s="90">
        <f t="shared" si="566"/>
        <v>0</v>
      </c>
      <c r="AH535" s="90">
        <f t="shared" si="567"/>
        <v>0</v>
      </c>
      <c r="AI535" s="154" t="s">
        <v>60</v>
      </c>
      <c r="AJ535" s="90">
        <f t="shared" si="568"/>
        <v>0</v>
      </c>
      <c r="AK535" s="90">
        <f t="shared" si="569"/>
        <v>0</v>
      </c>
      <c r="AL535" s="90">
        <f t="shared" si="570"/>
        <v>0</v>
      </c>
      <c r="AN535" s="90">
        <v>21</v>
      </c>
      <c r="AO535" s="90">
        <f>G535*1</f>
        <v>0</v>
      </c>
      <c r="AP535" s="90">
        <f>G535*(1-1)</f>
        <v>0</v>
      </c>
      <c r="AQ535" s="91" t="s">
        <v>85</v>
      </c>
      <c r="AV535" s="90">
        <f t="shared" si="571"/>
        <v>0</v>
      </c>
      <c r="AW535" s="90">
        <f t="shared" si="572"/>
        <v>0</v>
      </c>
      <c r="AX535" s="90">
        <f t="shared" si="573"/>
        <v>0</v>
      </c>
      <c r="AY535" s="91" t="s">
        <v>1532</v>
      </c>
      <c r="AZ535" s="91" t="s">
        <v>1541</v>
      </c>
      <c r="BA535" s="154" t="s">
        <v>1542</v>
      </c>
      <c r="BC535" s="90">
        <f t="shared" si="574"/>
        <v>0</v>
      </c>
      <c r="BD535" s="90">
        <f t="shared" si="575"/>
        <v>0</v>
      </c>
      <c r="BE535" s="90">
        <v>0</v>
      </c>
      <c r="BF535" s="90">
        <f t="shared" si="576"/>
        <v>0</v>
      </c>
      <c r="BH535" s="90">
        <f t="shared" si="577"/>
        <v>0</v>
      </c>
      <c r="BI535" s="90">
        <f t="shared" si="578"/>
        <v>0</v>
      </c>
      <c r="BJ535" s="90">
        <f t="shared" si="579"/>
        <v>0</v>
      </c>
    </row>
    <row r="536" spans="1:62" ht="12.75">
      <c r="A536" s="88" t="s">
        <v>1777</v>
      </c>
      <c r="B536" s="88" t="s">
        <v>60</v>
      </c>
      <c r="C536" s="88" t="s">
        <v>1136</v>
      </c>
      <c r="D536" s="88" t="s">
        <v>1443</v>
      </c>
      <c r="E536" s="88" t="s">
        <v>609</v>
      </c>
      <c r="F536" s="90">
        <v>88.11</v>
      </c>
      <c r="G536" s="90">
        <f>'Stavební rozpočet (SO 13)'!G380</f>
        <v>0</v>
      </c>
      <c r="H536" s="90">
        <f t="shared" si="556"/>
        <v>0</v>
      </c>
      <c r="I536" s="90">
        <f t="shared" si="557"/>
        <v>0</v>
      </c>
      <c r="J536" s="90">
        <f t="shared" si="558"/>
        <v>0</v>
      </c>
      <c r="K536" s="90">
        <v>0</v>
      </c>
      <c r="L536" s="90">
        <f t="shared" si="559"/>
        <v>0</v>
      </c>
      <c r="M536" s="91" t="s">
        <v>622</v>
      </c>
      <c r="O536" s="90"/>
      <c r="P536" s="90"/>
      <c r="Z536" s="90">
        <f t="shared" si="560"/>
        <v>0</v>
      </c>
      <c r="AB536" s="90">
        <f t="shared" si="561"/>
        <v>0</v>
      </c>
      <c r="AC536" s="90">
        <f t="shared" si="562"/>
        <v>0</v>
      </c>
      <c r="AD536" s="90">
        <f t="shared" si="563"/>
        <v>0</v>
      </c>
      <c r="AE536" s="90">
        <f t="shared" si="564"/>
        <v>0</v>
      </c>
      <c r="AF536" s="90">
        <f t="shared" si="565"/>
        <v>0</v>
      </c>
      <c r="AG536" s="90">
        <f t="shared" si="566"/>
        <v>0</v>
      </c>
      <c r="AH536" s="90">
        <f t="shared" si="567"/>
        <v>0</v>
      </c>
      <c r="AI536" s="154" t="s">
        <v>60</v>
      </c>
      <c r="AJ536" s="90">
        <f t="shared" si="568"/>
        <v>0</v>
      </c>
      <c r="AK536" s="90">
        <f t="shared" si="569"/>
        <v>0</v>
      </c>
      <c r="AL536" s="90">
        <f t="shared" si="570"/>
        <v>0</v>
      </c>
      <c r="AN536" s="90">
        <v>21</v>
      </c>
      <c r="AO536" s="90">
        <f>G536*1</f>
        <v>0</v>
      </c>
      <c r="AP536" s="90">
        <f>G536*(1-1)</f>
        <v>0</v>
      </c>
      <c r="AQ536" s="91" t="s">
        <v>85</v>
      </c>
      <c r="AV536" s="90">
        <f t="shared" si="571"/>
        <v>0</v>
      </c>
      <c r="AW536" s="90">
        <f t="shared" si="572"/>
        <v>0</v>
      </c>
      <c r="AX536" s="90">
        <f t="shared" si="573"/>
        <v>0</v>
      </c>
      <c r="AY536" s="91" t="s">
        <v>1532</v>
      </c>
      <c r="AZ536" s="91" t="s">
        <v>1541</v>
      </c>
      <c r="BA536" s="154" t="s">
        <v>1542</v>
      </c>
      <c r="BC536" s="90">
        <f t="shared" si="574"/>
        <v>0</v>
      </c>
      <c r="BD536" s="90">
        <f t="shared" si="575"/>
        <v>0</v>
      </c>
      <c r="BE536" s="90">
        <v>0</v>
      </c>
      <c r="BF536" s="90">
        <f t="shared" si="576"/>
        <v>0</v>
      </c>
      <c r="BH536" s="90">
        <f t="shared" si="577"/>
        <v>0</v>
      </c>
      <c r="BI536" s="90">
        <f t="shared" si="578"/>
        <v>0</v>
      </c>
      <c r="BJ536" s="90">
        <f t="shared" si="579"/>
        <v>0</v>
      </c>
    </row>
    <row r="537" spans="1:62" ht="12.75">
      <c r="A537" s="88" t="s">
        <v>1778</v>
      </c>
      <c r="B537" s="88" t="s">
        <v>60</v>
      </c>
      <c r="C537" s="88" t="s">
        <v>1137</v>
      </c>
      <c r="D537" s="88" t="s">
        <v>1444</v>
      </c>
      <c r="E537" s="88" t="s">
        <v>612</v>
      </c>
      <c r="F537" s="90">
        <v>1.8</v>
      </c>
      <c r="G537" s="90">
        <f>'Stavební rozpočet (SO 13)'!G381</f>
        <v>0</v>
      </c>
      <c r="H537" s="90">
        <f t="shared" si="556"/>
        <v>0</v>
      </c>
      <c r="I537" s="90">
        <f t="shared" si="557"/>
        <v>0</v>
      </c>
      <c r="J537" s="90">
        <f t="shared" si="558"/>
        <v>0</v>
      </c>
      <c r="K537" s="90">
        <v>0</v>
      </c>
      <c r="L537" s="90">
        <f t="shared" si="559"/>
        <v>0</v>
      </c>
      <c r="M537" s="91" t="s">
        <v>622</v>
      </c>
      <c r="O537" s="90"/>
      <c r="P537" s="90"/>
      <c r="Z537" s="90">
        <f t="shared" si="560"/>
        <v>0</v>
      </c>
      <c r="AB537" s="90">
        <f t="shared" si="561"/>
        <v>0</v>
      </c>
      <c r="AC537" s="90">
        <f t="shared" si="562"/>
        <v>0</v>
      </c>
      <c r="AD537" s="90">
        <f t="shared" si="563"/>
        <v>0</v>
      </c>
      <c r="AE537" s="90">
        <f t="shared" si="564"/>
        <v>0</v>
      </c>
      <c r="AF537" s="90">
        <f t="shared" si="565"/>
        <v>0</v>
      </c>
      <c r="AG537" s="90">
        <f t="shared" si="566"/>
        <v>0</v>
      </c>
      <c r="AH537" s="90">
        <f t="shared" si="567"/>
        <v>0</v>
      </c>
      <c r="AI537" s="154" t="s">
        <v>60</v>
      </c>
      <c r="AJ537" s="90">
        <f t="shared" si="568"/>
        <v>0</v>
      </c>
      <c r="AK537" s="90">
        <f t="shared" si="569"/>
        <v>0</v>
      </c>
      <c r="AL537" s="90">
        <f t="shared" si="570"/>
        <v>0</v>
      </c>
      <c r="AN537" s="90">
        <v>21</v>
      </c>
      <c r="AO537" s="90">
        <f>G537*0</f>
        <v>0</v>
      </c>
      <c r="AP537" s="90">
        <f>G537*(1-0)</f>
        <v>0</v>
      </c>
      <c r="AQ537" s="91" t="s">
        <v>83</v>
      </c>
      <c r="AV537" s="90">
        <f t="shared" si="571"/>
        <v>0</v>
      </c>
      <c r="AW537" s="90">
        <f t="shared" si="572"/>
        <v>0</v>
      </c>
      <c r="AX537" s="90">
        <f t="shared" si="573"/>
        <v>0</v>
      </c>
      <c r="AY537" s="91" t="s">
        <v>1532</v>
      </c>
      <c r="AZ537" s="91" t="s">
        <v>1541</v>
      </c>
      <c r="BA537" s="154" t="s">
        <v>1542</v>
      </c>
      <c r="BC537" s="90">
        <f t="shared" si="574"/>
        <v>0</v>
      </c>
      <c r="BD537" s="90">
        <f t="shared" si="575"/>
        <v>0</v>
      </c>
      <c r="BE537" s="90">
        <v>0</v>
      </c>
      <c r="BF537" s="90">
        <f t="shared" si="576"/>
        <v>0</v>
      </c>
      <c r="BH537" s="90">
        <f t="shared" si="577"/>
        <v>0</v>
      </c>
      <c r="BI537" s="90">
        <f t="shared" si="578"/>
        <v>0</v>
      </c>
      <c r="BJ537" s="90">
        <f t="shared" si="579"/>
        <v>0</v>
      </c>
    </row>
    <row r="538" spans="1:47" ht="12.75">
      <c r="A538" s="159"/>
      <c r="B538" s="160" t="s">
        <v>60</v>
      </c>
      <c r="C538" s="160" t="s">
        <v>378</v>
      </c>
      <c r="D538" s="160" t="s">
        <v>564</v>
      </c>
      <c r="E538" s="159" t="s">
        <v>57</v>
      </c>
      <c r="F538" s="159" t="s">
        <v>57</v>
      </c>
      <c r="G538" s="159"/>
      <c r="H538" s="161">
        <f>SUM(H539:H542)</f>
        <v>0</v>
      </c>
      <c r="I538" s="161">
        <f>SUM(I539:I542)</f>
        <v>0</v>
      </c>
      <c r="J538" s="161">
        <f>SUM(J539:J542)</f>
        <v>0</v>
      </c>
      <c r="K538" s="154"/>
      <c r="L538" s="161">
        <f>SUM(L539:L542)</f>
        <v>0.2054244</v>
      </c>
      <c r="M538" s="154"/>
      <c r="O538" s="159"/>
      <c r="P538" s="159"/>
      <c r="AI538" s="154" t="s">
        <v>60</v>
      </c>
      <c r="AS538" s="161">
        <f>SUM(AJ539:AJ542)</f>
        <v>0</v>
      </c>
      <c r="AT538" s="161">
        <f>SUM(AK539:AK542)</f>
        <v>0</v>
      </c>
      <c r="AU538" s="161">
        <f>SUM(AL539:AL542)</f>
        <v>0</v>
      </c>
    </row>
    <row r="539" spans="1:62" ht="12.75">
      <c r="A539" s="88" t="s">
        <v>1779</v>
      </c>
      <c r="B539" s="88" t="s">
        <v>60</v>
      </c>
      <c r="C539" s="88" t="s">
        <v>379</v>
      </c>
      <c r="D539" s="88" t="s">
        <v>565</v>
      </c>
      <c r="E539" s="88" t="s">
        <v>608</v>
      </c>
      <c r="F539" s="90">
        <v>405.91</v>
      </c>
      <c r="G539" s="90">
        <f>'Stavební rozpočet (SO 13)'!G383</f>
        <v>0</v>
      </c>
      <c r="H539" s="90">
        <f>F539*AO539</f>
        <v>0</v>
      </c>
      <c r="I539" s="90">
        <f>F539*AP539</f>
        <v>0</v>
      </c>
      <c r="J539" s="90">
        <f>F539*G539</f>
        <v>0</v>
      </c>
      <c r="K539" s="90">
        <v>0.0002</v>
      </c>
      <c r="L539" s="90">
        <f>F539*K539</f>
        <v>0.081182</v>
      </c>
      <c r="M539" s="91" t="s">
        <v>622</v>
      </c>
      <c r="O539" s="90"/>
      <c r="P539" s="90"/>
      <c r="Z539" s="90">
        <f>IF(AQ539="5",BJ539,0)</f>
        <v>0</v>
      </c>
      <c r="AB539" s="90">
        <f>IF(AQ539="1",BH539,0)</f>
        <v>0</v>
      </c>
      <c r="AC539" s="90">
        <f>IF(AQ539="1",BI539,0)</f>
        <v>0</v>
      </c>
      <c r="AD539" s="90">
        <f>IF(AQ539="7",BH539,0)</f>
        <v>0</v>
      </c>
      <c r="AE539" s="90">
        <f>IF(AQ539="7",BI539,0)</f>
        <v>0</v>
      </c>
      <c r="AF539" s="90">
        <f>IF(AQ539="2",BH539,0)</f>
        <v>0</v>
      </c>
      <c r="AG539" s="90">
        <f>IF(AQ539="2",BI539,0)</f>
        <v>0</v>
      </c>
      <c r="AH539" s="90">
        <f>IF(AQ539="0",BJ539,0)</f>
        <v>0</v>
      </c>
      <c r="AI539" s="154" t="s">
        <v>60</v>
      </c>
      <c r="AJ539" s="90">
        <f>IF(AN539=0,J539,0)</f>
        <v>0</v>
      </c>
      <c r="AK539" s="90">
        <f>IF(AN539=15,J539,0)</f>
        <v>0</v>
      </c>
      <c r="AL539" s="90">
        <f>IF(AN539=21,J539,0)</f>
        <v>0</v>
      </c>
      <c r="AN539" s="90">
        <v>21</v>
      </c>
      <c r="AO539" s="90">
        <f>G539*0.453623255598255</f>
        <v>0</v>
      </c>
      <c r="AP539" s="90">
        <f>G539*(1-0.453623255598255)</f>
        <v>0</v>
      </c>
      <c r="AQ539" s="91" t="s">
        <v>85</v>
      </c>
      <c r="AV539" s="90">
        <f>AW539+AX539</f>
        <v>0</v>
      </c>
      <c r="AW539" s="90">
        <f>F539*AO539</f>
        <v>0</v>
      </c>
      <c r="AX539" s="90">
        <f>F539*AP539</f>
        <v>0</v>
      </c>
      <c r="AY539" s="91" t="s">
        <v>648</v>
      </c>
      <c r="AZ539" s="91" t="s">
        <v>1541</v>
      </c>
      <c r="BA539" s="154" t="s">
        <v>1542</v>
      </c>
      <c r="BC539" s="90">
        <f>AW539+AX539</f>
        <v>0</v>
      </c>
      <c r="BD539" s="90">
        <f>G539/(100-BE539)*100</f>
        <v>0</v>
      </c>
      <c r="BE539" s="90">
        <v>0</v>
      </c>
      <c r="BF539" s="90">
        <f>L539</f>
        <v>0.081182</v>
      </c>
      <c r="BH539" s="90">
        <f>F539*AO539</f>
        <v>0</v>
      </c>
      <c r="BI539" s="90">
        <f>F539*AP539</f>
        <v>0</v>
      </c>
      <c r="BJ539" s="90">
        <f>F539*G539</f>
        <v>0</v>
      </c>
    </row>
    <row r="540" spans="1:62" ht="12.75">
      <c r="A540" s="88" t="s">
        <v>1780</v>
      </c>
      <c r="B540" s="88" t="s">
        <v>60</v>
      </c>
      <c r="C540" s="88" t="s">
        <v>380</v>
      </c>
      <c r="D540" s="88" t="s">
        <v>566</v>
      </c>
      <c r="E540" s="88" t="s">
        <v>608</v>
      </c>
      <c r="F540" s="90">
        <v>38.32</v>
      </c>
      <c r="G540" s="90">
        <f>'Stavební rozpočet (SO 13)'!G384</f>
        <v>0</v>
      </c>
      <c r="H540" s="90">
        <f>F540*AO540</f>
        <v>0</v>
      </c>
      <c r="I540" s="90">
        <f>F540*AP540</f>
        <v>0</v>
      </c>
      <c r="J540" s="90">
        <f>F540*G540</f>
        <v>0</v>
      </c>
      <c r="K540" s="90">
        <v>0.0004</v>
      </c>
      <c r="L540" s="90">
        <f>F540*K540</f>
        <v>0.015328000000000001</v>
      </c>
      <c r="M540" s="91" t="s">
        <v>622</v>
      </c>
      <c r="O540" s="90"/>
      <c r="P540" s="90"/>
      <c r="Z540" s="90">
        <f>IF(AQ540="5",BJ540,0)</f>
        <v>0</v>
      </c>
      <c r="AB540" s="90">
        <f>IF(AQ540="1",BH540,0)</f>
        <v>0</v>
      </c>
      <c r="AC540" s="90">
        <f>IF(AQ540="1",BI540,0)</f>
        <v>0</v>
      </c>
      <c r="AD540" s="90">
        <f>IF(AQ540="7",BH540,0)</f>
        <v>0</v>
      </c>
      <c r="AE540" s="90">
        <f>IF(AQ540="7",BI540,0)</f>
        <v>0</v>
      </c>
      <c r="AF540" s="90">
        <f>IF(AQ540="2",BH540,0)</f>
        <v>0</v>
      </c>
      <c r="AG540" s="90">
        <f>IF(AQ540="2",BI540,0)</f>
        <v>0</v>
      </c>
      <c r="AH540" s="90">
        <f>IF(AQ540="0",BJ540,0)</f>
        <v>0</v>
      </c>
      <c r="AI540" s="154" t="s">
        <v>60</v>
      </c>
      <c r="AJ540" s="90">
        <f>IF(AN540=0,J540,0)</f>
        <v>0</v>
      </c>
      <c r="AK540" s="90">
        <f>IF(AN540=15,J540,0)</f>
        <v>0</v>
      </c>
      <c r="AL540" s="90">
        <f>IF(AN540=21,J540,0)</f>
        <v>0</v>
      </c>
      <c r="AN540" s="90">
        <v>21</v>
      </c>
      <c r="AO540" s="90">
        <f>G540*0.476667118116628</f>
        <v>0</v>
      </c>
      <c r="AP540" s="90">
        <f>G540*(1-0.476667118116628)</f>
        <v>0</v>
      </c>
      <c r="AQ540" s="91" t="s">
        <v>85</v>
      </c>
      <c r="AV540" s="90">
        <f>AW540+AX540</f>
        <v>0</v>
      </c>
      <c r="AW540" s="90">
        <f>F540*AO540</f>
        <v>0</v>
      </c>
      <c r="AX540" s="90">
        <f>F540*AP540</f>
        <v>0</v>
      </c>
      <c r="AY540" s="91" t="s">
        <v>648</v>
      </c>
      <c r="AZ540" s="91" t="s">
        <v>1541</v>
      </c>
      <c r="BA540" s="154" t="s">
        <v>1542</v>
      </c>
      <c r="BC540" s="90">
        <f>AW540+AX540</f>
        <v>0</v>
      </c>
      <c r="BD540" s="90">
        <f>G540/(100-BE540)*100</f>
        <v>0</v>
      </c>
      <c r="BE540" s="90">
        <v>0</v>
      </c>
      <c r="BF540" s="90">
        <f>L540</f>
        <v>0.015328000000000001</v>
      </c>
      <c r="BH540" s="90">
        <f>F540*AO540</f>
        <v>0</v>
      </c>
      <c r="BI540" s="90">
        <f>F540*AP540</f>
        <v>0</v>
      </c>
      <c r="BJ540" s="90">
        <f>F540*G540</f>
        <v>0</v>
      </c>
    </row>
    <row r="541" spans="1:62" ht="12.75">
      <c r="A541" s="88" t="s">
        <v>1781</v>
      </c>
      <c r="B541" s="88" t="s">
        <v>60</v>
      </c>
      <c r="C541" s="88" t="s">
        <v>381</v>
      </c>
      <c r="D541" s="88" t="s">
        <v>567</v>
      </c>
      <c r="E541" s="88" t="s">
        <v>608</v>
      </c>
      <c r="F541" s="90">
        <v>405.91</v>
      </c>
      <c r="G541" s="90">
        <f>'Stavební rozpočet (SO 13)'!G385</f>
        <v>0</v>
      </c>
      <c r="H541" s="90">
        <f>F541*AO541</f>
        <v>0</v>
      </c>
      <c r="I541" s="90">
        <f>F541*AP541</f>
        <v>0</v>
      </c>
      <c r="J541" s="90">
        <f>F541*G541</f>
        <v>0</v>
      </c>
      <c r="K541" s="90">
        <v>0.00024</v>
      </c>
      <c r="L541" s="90">
        <f>F541*K541</f>
        <v>0.0974184</v>
      </c>
      <c r="M541" s="91" t="s">
        <v>622</v>
      </c>
      <c r="O541" s="90"/>
      <c r="P541" s="90"/>
      <c r="Z541" s="90">
        <f>IF(AQ541="5",BJ541,0)</f>
        <v>0</v>
      </c>
      <c r="AB541" s="90">
        <f>IF(AQ541="1",BH541,0)</f>
        <v>0</v>
      </c>
      <c r="AC541" s="90">
        <f>IF(AQ541="1",BI541,0)</f>
        <v>0</v>
      </c>
      <c r="AD541" s="90">
        <f>IF(AQ541="7",BH541,0)</f>
        <v>0</v>
      </c>
      <c r="AE541" s="90">
        <f>IF(AQ541="7",BI541,0)</f>
        <v>0</v>
      </c>
      <c r="AF541" s="90">
        <f>IF(AQ541="2",BH541,0)</f>
        <v>0</v>
      </c>
      <c r="AG541" s="90">
        <f>IF(AQ541="2",BI541,0)</f>
        <v>0</v>
      </c>
      <c r="AH541" s="90">
        <f>IF(AQ541="0",BJ541,0)</f>
        <v>0</v>
      </c>
      <c r="AI541" s="154" t="s">
        <v>60</v>
      </c>
      <c r="AJ541" s="90">
        <f>IF(AN541=0,J541,0)</f>
        <v>0</v>
      </c>
      <c r="AK541" s="90">
        <f>IF(AN541=15,J541,0)</f>
        <v>0</v>
      </c>
      <c r="AL541" s="90">
        <f>IF(AN541=21,J541,0)</f>
        <v>0</v>
      </c>
      <c r="AN541" s="90">
        <v>21</v>
      </c>
      <c r="AO541" s="90">
        <f>G541*0.200631575921448</f>
        <v>0</v>
      </c>
      <c r="AP541" s="90">
        <f>G541*(1-0.200631575921448)</f>
        <v>0</v>
      </c>
      <c r="AQ541" s="91" t="s">
        <v>85</v>
      </c>
      <c r="AV541" s="90">
        <f>AW541+AX541</f>
        <v>0</v>
      </c>
      <c r="AW541" s="90">
        <f>F541*AO541</f>
        <v>0</v>
      </c>
      <c r="AX541" s="90">
        <f>F541*AP541</f>
        <v>0</v>
      </c>
      <c r="AY541" s="91" t="s">
        <v>648</v>
      </c>
      <c r="AZ541" s="91" t="s">
        <v>1541</v>
      </c>
      <c r="BA541" s="154" t="s">
        <v>1542</v>
      </c>
      <c r="BC541" s="90">
        <f>AW541+AX541</f>
        <v>0</v>
      </c>
      <c r="BD541" s="90">
        <f>G541/(100-BE541)*100</f>
        <v>0</v>
      </c>
      <c r="BE541" s="90">
        <v>0</v>
      </c>
      <c r="BF541" s="90">
        <f>L541</f>
        <v>0.0974184</v>
      </c>
      <c r="BH541" s="90">
        <f>F541*AO541</f>
        <v>0</v>
      </c>
      <c r="BI541" s="90">
        <f>F541*AP541</f>
        <v>0</v>
      </c>
      <c r="BJ541" s="90">
        <f>F541*G541</f>
        <v>0</v>
      </c>
    </row>
    <row r="542" spans="1:62" ht="12.75">
      <c r="A542" s="88" t="s">
        <v>1782</v>
      </c>
      <c r="B542" s="88" t="s">
        <v>60</v>
      </c>
      <c r="C542" s="88" t="s">
        <v>382</v>
      </c>
      <c r="D542" s="88" t="s">
        <v>568</v>
      </c>
      <c r="E542" s="88" t="s">
        <v>608</v>
      </c>
      <c r="F542" s="90">
        <v>38.32</v>
      </c>
      <c r="G542" s="90">
        <f>'Stavební rozpočet (SO 13)'!G386</f>
        <v>0</v>
      </c>
      <c r="H542" s="90">
        <f>F542*AO542</f>
        <v>0</v>
      </c>
      <c r="I542" s="90">
        <f>F542*AP542</f>
        <v>0</v>
      </c>
      <c r="J542" s="90">
        <f>F542*G542</f>
        <v>0</v>
      </c>
      <c r="K542" s="90">
        <v>0.0003</v>
      </c>
      <c r="L542" s="90">
        <f>F542*K542</f>
        <v>0.011496</v>
      </c>
      <c r="M542" s="91" t="s">
        <v>622</v>
      </c>
      <c r="O542" s="90"/>
      <c r="P542" s="90"/>
      <c r="Z542" s="90">
        <f>IF(AQ542="5",BJ542,0)</f>
        <v>0</v>
      </c>
      <c r="AB542" s="90">
        <f>IF(AQ542="1",BH542,0)</f>
        <v>0</v>
      </c>
      <c r="AC542" s="90">
        <f>IF(AQ542="1",BI542,0)</f>
        <v>0</v>
      </c>
      <c r="AD542" s="90">
        <f>IF(AQ542="7",BH542,0)</f>
        <v>0</v>
      </c>
      <c r="AE542" s="90">
        <f>IF(AQ542="7",BI542,0)</f>
        <v>0</v>
      </c>
      <c r="AF542" s="90">
        <f>IF(AQ542="2",BH542,0)</f>
        <v>0</v>
      </c>
      <c r="AG542" s="90">
        <f>IF(AQ542="2",BI542,0)</f>
        <v>0</v>
      </c>
      <c r="AH542" s="90">
        <f>IF(AQ542="0",BJ542,0)</f>
        <v>0</v>
      </c>
      <c r="AI542" s="154" t="s">
        <v>60</v>
      </c>
      <c r="AJ542" s="90">
        <f>IF(AN542=0,J542,0)</f>
        <v>0</v>
      </c>
      <c r="AK542" s="90">
        <f>IF(AN542=15,J542,0)</f>
        <v>0</v>
      </c>
      <c r="AL542" s="90">
        <f>IF(AN542=21,J542,0)</f>
        <v>0</v>
      </c>
      <c r="AN542" s="90">
        <v>21</v>
      </c>
      <c r="AO542" s="90">
        <f>G542*0.290457934336525</f>
        <v>0</v>
      </c>
      <c r="AP542" s="90">
        <f>G542*(1-0.290457934336525)</f>
        <v>0</v>
      </c>
      <c r="AQ542" s="91" t="s">
        <v>85</v>
      </c>
      <c r="AV542" s="90">
        <f>AW542+AX542</f>
        <v>0</v>
      </c>
      <c r="AW542" s="90">
        <f>F542*AO542</f>
        <v>0</v>
      </c>
      <c r="AX542" s="90">
        <f>F542*AP542</f>
        <v>0</v>
      </c>
      <c r="AY542" s="91" t="s">
        <v>648</v>
      </c>
      <c r="AZ542" s="91" t="s">
        <v>1541</v>
      </c>
      <c r="BA542" s="154" t="s">
        <v>1542</v>
      </c>
      <c r="BC542" s="90">
        <f>AW542+AX542</f>
        <v>0</v>
      </c>
      <c r="BD542" s="90">
        <f>G542/(100-BE542)*100</f>
        <v>0</v>
      </c>
      <c r="BE542" s="90">
        <v>0</v>
      </c>
      <c r="BF542" s="90">
        <f>L542</f>
        <v>0.011496</v>
      </c>
      <c r="BH542" s="90">
        <f>F542*AO542</f>
        <v>0</v>
      </c>
      <c r="BI542" s="90">
        <f>F542*AP542</f>
        <v>0</v>
      </c>
      <c r="BJ542" s="90">
        <f>F542*G542</f>
        <v>0</v>
      </c>
    </row>
    <row r="543" spans="1:47" ht="12.75">
      <c r="A543" s="159"/>
      <c r="B543" s="160" t="s">
        <v>60</v>
      </c>
      <c r="C543" s="160" t="s">
        <v>383</v>
      </c>
      <c r="D543" s="160" t="s">
        <v>569</v>
      </c>
      <c r="E543" s="159" t="s">
        <v>57</v>
      </c>
      <c r="F543" s="159" t="s">
        <v>57</v>
      </c>
      <c r="G543" s="159"/>
      <c r="H543" s="161">
        <f>SUM(H544:H667)</f>
        <v>0</v>
      </c>
      <c r="I543" s="161">
        <f>SUM(I544:I667)</f>
        <v>0</v>
      </c>
      <c r="J543" s="161">
        <f>SUM(J544:J667)</f>
        <v>0</v>
      </c>
      <c r="K543" s="154"/>
      <c r="L543" s="161">
        <f>SUM(L544:L667)</f>
        <v>0</v>
      </c>
      <c r="M543" s="154"/>
      <c r="O543" s="159"/>
      <c r="P543" s="159"/>
      <c r="AI543" s="154" t="s">
        <v>60</v>
      </c>
      <c r="AS543" s="161">
        <f>SUM(AJ544:AJ667)</f>
        <v>0</v>
      </c>
      <c r="AT543" s="161">
        <f>SUM(AK544:AK667)</f>
        <v>0</v>
      </c>
      <c r="AU543" s="161">
        <f>SUM(AL544:AL667)</f>
        <v>0</v>
      </c>
    </row>
    <row r="544" spans="1:62" ht="12.75">
      <c r="A544" s="88" t="s">
        <v>1783</v>
      </c>
      <c r="B544" s="88" t="s">
        <v>60</v>
      </c>
      <c r="C544" s="88" t="s">
        <v>384</v>
      </c>
      <c r="D544" s="88" t="s">
        <v>570</v>
      </c>
      <c r="E544" s="88" t="s">
        <v>606</v>
      </c>
      <c r="F544" s="90">
        <v>36</v>
      </c>
      <c r="G544" s="90">
        <f>'Stavební rozpočet (SO 13)'!G388</f>
        <v>0</v>
      </c>
      <c r="H544" s="90">
        <f aca="true" t="shared" si="580" ref="H544:H575">F544*AO544</f>
        <v>0</v>
      </c>
      <c r="I544" s="90">
        <f aca="true" t="shared" si="581" ref="I544:I575">F544*AP544</f>
        <v>0</v>
      </c>
      <c r="J544" s="90">
        <f aca="true" t="shared" si="582" ref="J544:J575">F544*G544</f>
        <v>0</v>
      </c>
      <c r="K544" s="90">
        <v>0</v>
      </c>
      <c r="L544" s="90">
        <f aca="true" t="shared" si="583" ref="L544:L575">F544*K544</f>
        <v>0</v>
      </c>
      <c r="M544" s="91" t="s">
        <v>622</v>
      </c>
      <c r="O544" s="90"/>
      <c r="P544" s="90"/>
      <c r="Z544" s="90">
        <f aca="true" t="shared" si="584" ref="Z544:Z575">IF(AQ544="5",BJ544,0)</f>
        <v>0</v>
      </c>
      <c r="AB544" s="90">
        <f aca="true" t="shared" si="585" ref="AB544:AB575">IF(AQ544="1",BH544,0)</f>
        <v>0</v>
      </c>
      <c r="AC544" s="90">
        <f aca="true" t="shared" si="586" ref="AC544:AC575">IF(AQ544="1",BI544,0)</f>
        <v>0</v>
      </c>
      <c r="AD544" s="90">
        <f aca="true" t="shared" si="587" ref="AD544:AD575">IF(AQ544="7",BH544,0)</f>
        <v>0</v>
      </c>
      <c r="AE544" s="90">
        <f aca="true" t="shared" si="588" ref="AE544:AE575">IF(AQ544="7",BI544,0)</f>
        <v>0</v>
      </c>
      <c r="AF544" s="90">
        <f aca="true" t="shared" si="589" ref="AF544:AF575">IF(AQ544="2",BH544,0)</f>
        <v>0</v>
      </c>
      <c r="AG544" s="90">
        <f aca="true" t="shared" si="590" ref="AG544:AG575">IF(AQ544="2",BI544,0)</f>
        <v>0</v>
      </c>
      <c r="AH544" s="90">
        <f aca="true" t="shared" si="591" ref="AH544:AH575">IF(AQ544="0",BJ544,0)</f>
        <v>0</v>
      </c>
      <c r="AI544" s="154" t="s">
        <v>60</v>
      </c>
      <c r="AJ544" s="90">
        <f aca="true" t="shared" si="592" ref="AJ544:AJ575">IF(AN544=0,J544,0)</f>
        <v>0</v>
      </c>
      <c r="AK544" s="90">
        <f aca="true" t="shared" si="593" ref="AK544:AK575">IF(AN544=15,J544,0)</f>
        <v>0</v>
      </c>
      <c r="AL544" s="90">
        <f aca="true" t="shared" si="594" ref="AL544:AL575">IF(AN544=21,J544,0)</f>
        <v>0</v>
      </c>
      <c r="AN544" s="90">
        <v>21</v>
      </c>
      <c r="AO544" s="90">
        <f aca="true" t="shared" si="595" ref="AO544:AO575">G544*0</f>
        <v>0</v>
      </c>
      <c r="AP544" s="90">
        <f aca="true" t="shared" si="596" ref="AP544:AP575">G544*(1-0)</f>
        <v>0</v>
      </c>
      <c r="AQ544" s="91" t="s">
        <v>79</v>
      </c>
      <c r="AV544" s="90">
        <f aca="true" t="shared" si="597" ref="AV544:AV575">AW544+AX544</f>
        <v>0</v>
      </c>
      <c r="AW544" s="90">
        <f aca="true" t="shared" si="598" ref="AW544:AW575">F544*AO544</f>
        <v>0</v>
      </c>
      <c r="AX544" s="90">
        <f aca="true" t="shared" si="599" ref="AX544:AX575">F544*AP544</f>
        <v>0</v>
      </c>
      <c r="AY544" s="91" t="s">
        <v>649</v>
      </c>
      <c r="AZ544" s="91" t="s">
        <v>1536</v>
      </c>
      <c r="BA544" s="154" t="s">
        <v>1542</v>
      </c>
      <c r="BC544" s="90">
        <f aca="true" t="shared" si="600" ref="BC544:BC575">AW544+AX544</f>
        <v>0</v>
      </c>
      <c r="BD544" s="90">
        <f aca="true" t="shared" si="601" ref="BD544:BD575">G544/(100-BE544)*100</f>
        <v>0</v>
      </c>
      <c r="BE544" s="90">
        <v>0</v>
      </c>
      <c r="BF544" s="90">
        <f aca="true" t="shared" si="602" ref="BF544:BF575">L544</f>
        <v>0</v>
      </c>
      <c r="BH544" s="90">
        <f aca="true" t="shared" si="603" ref="BH544:BH575">F544*AO544</f>
        <v>0</v>
      </c>
      <c r="BI544" s="90">
        <f aca="true" t="shared" si="604" ref="BI544:BI575">F544*AP544</f>
        <v>0</v>
      </c>
      <c r="BJ544" s="90">
        <f aca="true" t="shared" si="605" ref="BJ544:BJ575">F544*G544</f>
        <v>0</v>
      </c>
    </row>
    <row r="545" spans="1:62" ht="12.75">
      <c r="A545" s="88" t="s">
        <v>1784</v>
      </c>
      <c r="B545" s="88" t="s">
        <v>60</v>
      </c>
      <c r="C545" s="88" t="s">
        <v>385</v>
      </c>
      <c r="D545" s="88" t="s">
        <v>571</v>
      </c>
      <c r="E545" s="88" t="s">
        <v>606</v>
      </c>
      <c r="F545" s="90">
        <v>45</v>
      </c>
      <c r="G545" s="90">
        <f>'Stavební rozpočet (SO 13)'!G389</f>
        <v>0</v>
      </c>
      <c r="H545" s="90">
        <f t="shared" si="580"/>
        <v>0</v>
      </c>
      <c r="I545" s="90">
        <f t="shared" si="581"/>
        <v>0</v>
      </c>
      <c r="J545" s="90">
        <f t="shared" si="582"/>
        <v>0</v>
      </c>
      <c r="K545" s="90">
        <v>0</v>
      </c>
      <c r="L545" s="90">
        <f t="shared" si="583"/>
        <v>0</v>
      </c>
      <c r="M545" s="91" t="s">
        <v>622</v>
      </c>
      <c r="O545" s="90"/>
      <c r="P545" s="90"/>
      <c r="Z545" s="90">
        <f t="shared" si="584"/>
        <v>0</v>
      </c>
      <c r="AB545" s="90">
        <f t="shared" si="585"/>
        <v>0</v>
      </c>
      <c r="AC545" s="90">
        <f t="shared" si="586"/>
        <v>0</v>
      </c>
      <c r="AD545" s="90">
        <f t="shared" si="587"/>
        <v>0</v>
      </c>
      <c r="AE545" s="90">
        <f t="shared" si="588"/>
        <v>0</v>
      </c>
      <c r="AF545" s="90">
        <f t="shared" si="589"/>
        <v>0</v>
      </c>
      <c r="AG545" s="90">
        <f t="shared" si="590"/>
        <v>0</v>
      </c>
      <c r="AH545" s="90">
        <f t="shared" si="591"/>
        <v>0</v>
      </c>
      <c r="AI545" s="154" t="s">
        <v>60</v>
      </c>
      <c r="AJ545" s="90">
        <f t="shared" si="592"/>
        <v>0</v>
      </c>
      <c r="AK545" s="90">
        <f t="shared" si="593"/>
        <v>0</v>
      </c>
      <c r="AL545" s="90">
        <f t="shared" si="594"/>
        <v>0</v>
      </c>
      <c r="AN545" s="90">
        <v>21</v>
      </c>
      <c r="AO545" s="90">
        <f t="shared" si="595"/>
        <v>0</v>
      </c>
      <c r="AP545" s="90">
        <f t="shared" si="596"/>
        <v>0</v>
      </c>
      <c r="AQ545" s="91" t="s">
        <v>79</v>
      </c>
      <c r="AV545" s="90">
        <f t="shared" si="597"/>
        <v>0</v>
      </c>
      <c r="AW545" s="90">
        <f t="shared" si="598"/>
        <v>0</v>
      </c>
      <c r="AX545" s="90">
        <f t="shared" si="599"/>
        <v>0</v>
      </c>
      <c r="AY545" s="91" t="s">
        <v>649</v>
      </c>
      <c r="AZ545" s="91" t="s">
        <v>1536</v>
      </c>
      <c r="BA545" s="154" t="s">
        <v>1542</v>
      </c>
      <c r="BC545" s="90">
        <f t="shared" si="600"/>
        <v>0</v>
      </c>
      <c r="BD545" s="90">
        <f t="shared" si="601"/>
        <v>0</v>
      </c>
      <c r="BE545" s="90">
        <v>0</v>
      </c>
      <c r="BF545" s="90">
        <f t="shared" si="602"/>
        <v>0</v>
      </c>
      <c r="BH545" s="90">
        <f t="shared" si="603"/>
        <v>0</v>
      </c>
      <c r="BI545" s="90">
        <f t="shared" si="604"/>
        <v>0</v>
      </c>
      <c r="BJ545" s="90">
        <f t="shared" si="605"/>
        <v>0</v>
      </c>
    </row>
    <row r="546" spans="1:62" ht="12.75">
      <c r="A546" s="88" t="s">
        <v>1785</v>
      </c>
      <c r="B546" s="88" t="s">
        <v>60</v>
      </c>
      <c r="C546" s="88" t="s">
        <v>386</v>
      </c>
      <c r="D546" s="88" t="s">
        <v>572</v>
      </c>
      <c r="E546" s="88" t="s">
        <v>609</v>
      </c>
      <c r="F546" s="90">
        <v>250</v>
      </c>
      <c r="G546" s="90">
        <f>'Stavební rozpočet (SO 13)'!G390</f>
        <v>0</v>
      </c>
      <c r="H546" s="90">
        <f t="shared" si="580"/>
        <v>0</v>
      </c>
      <c r="I546" s="90">
        <f t="shared" si="581"/>
        <v>0</v>
      </c>
      <c r="J546" s="90">
        <f t="shared" si="582"/>
        <v>0</v>
      </c>
      <c r="K546" s="90">
        <v>0</v>
      </c>
      <c r="L546" s="90">
        <f t="shared" si="583"/>
        <v>0</v>
      </c>
      <c r="M546" s="91" t="s">
        <v>622</v>
      </c>
      <c r="O546" s="90"/>
      <c r="P546" s="90"/>
      <c r="Z546" s="90">
        <f t="shared" si="584"/>
        <v>0</v>
      </c>
      <c r="AB546" s="90">
        <f t="shared" si="585"/>
        <v>0</v>
      </c>
      <c r="AC546" s="90">
        <f t="shared" si="586"/>
        <v>0</v>
      </c>
      <c r="AD546" s="90">
        <f t="shared" si="587"/>
        <v>0</v>
      </c>
      <c r="AE546" s="90">
        <f t="shared" si="588"/>
        <v>0</v>
      </c>
      <c r="AF546" s="90">
        <f t="shared" si="589"/>
        <v>0</v>
      </c>
      <c r="AG546" s="90">
        <f t="shared" si="590"/>
        <v>0</v>
      </c>
      <c r="AH546" s="90">
        <f t="shared" si="591"/>
        <v>0</v>
      </c>
      <c r="AI546" s="154" t="s">
        <v>60</v>
      </c>
      <c r="AJ546" s="90">
        <f t="shared" si="592"/>
        <v>0</v>
      </c>
      <c r="AK546" s="90">
        <f t="shared" si="593"/>
        <v>0</v>
      </c>
      <c r="AL546" s="90">
        <f t="shared" si="594"/>
        <v>0</v>
      </c>
      <c r="AN546" s="90">
        <v>21</v>
      </c>
      <c r="AO546" s="90">
        <f t="shared" si="595"/>
        <v>0</v>
      </c>
      <c r="AP546" s="90">
        <f t="shared" si="596"/>
        <v>0</v>
      </c>
      <c r="AQ546" s="91" t="s">
        <v>79</v>
      </c>
      <c r="AV546" s="90">
        <f t="shared" si="597"/>
        <v>0</v>
      </c>
      <c r="AW546" s="90">
        <f t="shared" si="598"/>
        <v>0</v>
      </c>
      <c r="AX546" s="90">
        <f t="shared" si="599"/>
        <v>0</v>
      </c>
      <c r="AY546" s="91" t="s">
        <v>649</v>
      </c>
      <c r="AZ546" s="91" t="s">
        <v>1536</v>
      </c>
      <c r="BA546" s="154" t="s">
        <v>1542</v>
      </c>
      <c r="BC546" s="90">
        <f t="shared" si="600"/>
        <v>0</v>
      </c>
      <c r="BD546" s="90">
        <f t="shared" si="601"/>
        <v>0</v>
      </c>
      <c r="BE546" s="90">
        <v>0</v>
      </c>
      <c r="BF546" s="90">
        <f t="shared" si="602"/>
        <v>0</v>
      </c>
      <c r="BH546" s="90">
        <f t="shared" si="603"/>
        <v>0</v>
      </c>
      <c r="BI546" s="90">
        <f t="shared" si="604"/>
        <v>0</v>
      </c>
      <c r="BJ546" s="90">
        <f t="shared" si="605"/>
        <v>0</v>
      </c>
    </row>
    <row r="547" spans="1:62" ht="12.75">
      <c r="A547" s="88" t="s">
        <v>1786</v>
      </c>
      <c r="B547" s="88" t="s">
        <v>60</v>
      </c>
      <c r="C547" s="88" t="s">
        <v>387</v>
      </c>
      <c r="D547" s="88" t="s">
        <v>573</v>
      </c>
      <c r="E547" s="88" t="s">
        <v>609</v>
      </c>
      <c r="F547" s="90">
        <v>40</v>
      </c>
      <c r="G547" s="90">
        <f>'Stavební rozpočet (SO 13)'!G391</f>
        <v>0</v>
      </c>
      <c r="H547" s="90">
        <f t="shared" si="580"/>
        <v>0</v>
      </c>
      <c r="I547" s="90">
        <f t="shared" si="581"/>
        <v>0</v>
      </c>
      <c r="J547" s="90">
        <f t="shared" si="582"/>
        <v>0</v>
      </c>
      <c r="K547" s="90">
        <v>0</v>
      </c>
      <c r="L547" s="90">
        <f t="shared" si="583"/>
        <v>0</v>
      </c>
      <c r="M547" s="91" t="s">
        <v>622</v>
      </c>
      <c r="O547" s="90"/>
      <c r="P547" s="90"/>
      <c r="Z547" s="90">
        <f t="shared" si="584"/>
        <v>0</v>
      </c>
      <c r="AB547" s="90">
        <f t="shared" si="585"/>
        <v>0</v>
      </c>
      <c r="AC547" s="90">
        <f t="shared" si="586"/>
        <v>0</v>
      </c>
      <c r="AD547" s="90">
        <f t="shared" si="587"/>
        <v>0</v>
      </c>
      <c r="AE547" s="90">
        <f t="shared" si="588"/>
        <v>0</v>
      </c>
      <c r="AF547" s="90">
        <f t="shared" si="589"/>
        <v>0</v>
      </c>
      <c r="AG547" s="90">
        <f t="shared" si="590"/>
        <v>0</v>
      </c>
      <c r="AH547" s="90">
        <f t="shared" si="591"/>
        <v>0</v>
      </c>
      <c r="AI547" s="154" t="s">
        <v>60</v>
      </c>
      <c r="AJ547" s="90">
        <f t="shared" si="592"/>
        <v>0</v>
      </c>
      <c r="AK547" s="90">
        <f t="shared" si="593"/>
        <v>0</v>
      </c>
      <c r="AL547" s="90">
        <f t="shared" si="594"/>
        <v>0</v>
      </c>
      <c r="AN547" s="90">
        <v>21</v>
      </c>
      <c r="AO547" s="90">
        <f t="shared" si="595"/>
        <v>0</v>
      </c>
      <c r="AP547" s="90">
        <f t="shared" si="596"/>
        <v>0</v>
      </c>
      <c r="AQ547" s="91" t="s">
        <v>79</v>
      </c>
      <c r="AV547" s="90">
        <f t="shared" si="597"/>
        <v>0</v>
      </c>
      <c r="AW547" s="90">
        <f t="shared" si="598"/>
        <v>0</v>
      </c>
      <c r="AX547" s="90">
        <f t="shared" si="599"/>
        <v>0</v>
      </c>
      <c r="AY547" s="91" t="s">
        <v>649</v>
      </c>
      <c r="AZ547" s="91" t="s">
        <v>1536</v>
      </c>
      <c r="BA547" s="154" t="s">
        <v>1542</v>
      </c>
      <c r="BC547" s="90">
        <f t="shared" si="600"/>
        <v>0</v>
      </c>
      <c r="BD547" s="90">
        <f t="shared" si="601"/>
        <v>0</v>
      </c>
      <c r="BE547" s="90">
        <v>0</v>
      </c>
      <c r="BF547" s="90">
        <f t="shared" si="602"/>
        <v>0</v>
      </c>
      <c r="BH547" s="90">
        <f t="shared" si="603"/>
        <v>0</v>
      </c>
      <c r="BI547" s="90">
        <f t="shared" si="604"/>
        <v>0</v>
      </c>
      <c r="BJ547" s="90">
        <f t="shared" si="605"/>
        <v>0</v>
      </c>
    </row>
    <row r="548" spans="1:62" ht="12.75">
      <c r="A548" s="88" t="s">
        <v>1787</v>
      </c>
      <c r="B548" s="88" t="s">
        <v>60</v>
      </c>
      <c r="C548" s="88" t="s">
        <v>388</v>
      </c>
      <c r="D548" s="88" t="s">
        <v>1445</v>
      </c>
      <c r="E548" s="88" t="s">
        <v>606</v>
      </c>
      <c r="F548" s="90">
        <v>1</v>
      </c>
      <c r="G548" s="90">
        <f>'Stavební rozpočet (SO 13)'!G392</f>
        <v>0</v>
      </c>
      <c r="H548" s="90">
        <f t="shared" si="580"/>
        <v>0</v>
      </c>
      <c r="I548" s="90">
        <f t="shared" si="581"/>
        <v>0</v>
      </c>
      <c r="J548" s="90">
        <f t="shared" si="582"/>
        <v>0</v>
      </c>
      <c r="K548" s="90">
        <v>0</v>
      </c>
      <c r="L548" s="90">
        <f t="shared" si="583"/>
        <v>0</v>
      </c>
      <c r="M548" s="91" t="s">
        <v>622</v>
      </c>
      <c r="O548" s="90"/>
      <c r="P548" s="90"/>
      <c r="Z548" s="90">
        <f t="shared" si="584"/>
        <v>0</v>
      </c>
      <c r="AB548" s="90">
        <f t="shared" si="585"/>
        <v>0</v>
      </c>
      <c r="AC548" s="90">
        <f t="shared" si="586"/>
        <v>0</v>
      </c>
      <c r="AD548" s="90">
        <f t="shared" si="587"/>
        <v>0</v>
      </c>
      <c r="AE548" s="90">
        <f t="shared" si="588"/>
        <v>0</v>
      </c>
      <c r="AF548" s="90">
        <f t="shared" si="589"/>
        <v>0</v>
      </c>
      <c r="AG548" s="90">
        <f t="shared" si="590"/>
        <v>0</v>
      </c>
      <c r="AH548" s="90">
        <f t="shared" si="591"/>
        <v>0</v>
      </c>
      <c r="AI548" s="154" t="s">
        <v>60</v>
      </c>
      <c r="AJ548" s="90">
        <f t="shared" si="592"/>
        <v>0</v>
      </c>
      <c r="AK548" s="90">
        <f t="shared" si="593"/>
        <v>0</v>
      </c>
      <c r="AL548" s="90">
        <f t="shared" si="594"/>
        <v>0</v>
      </c>
      <c r="AN548" s="90">
        <v>21</v>
      </c>
      <c r="AO548" s="90">
        <f t="shared" si="595"/>
        <v>0</v>
      </c>
      <c r="AP548" s="90">
        <f t="shared" si="596"/>
        <v>0</v>
      </c>
      <c r="AQ548" s="91" t="s">
        <v>79</v>
      </c>
      <c r="AV548" s="90">
        <f t="shared" si="597"/>
        <v>0</v>
      </c>
      <c r="AW548" s="90">
        <f t="shared" si="598"/>
        <v>0</v>
      </c>
      <c r="AX548" s="90">
        <f t="shared" si="599"/>
        <v>0</v>
      </c>
      <c r="AY548" s="91" t="s">
        <v>649</v>
      </c>
      <c r="AZ548" s="91" t="s">
        <v>1536</v>
      </c>
      <c r="BA548" s="154" t="s">
        <v>1542</v>
      </c>
      <c r="BC548" s="90">
        <f t="shared" si="600"/>
        <v>0</v>
      </c>
      <c r="BD548" s="90">
        <f t="shared" si="601"/>
        <v>0</v>
      </c>
      <c r="BE548" s="90">
        <v>0</v>
      </c>
      <c r="BF548" s="90">
        <f t="shared" si="602"/>
        <v>0</v>
      </c>
      <c r="BH548" s="90">
        <f t="shared" si="603"/>
        <v>0</v>
      </c>
      <c r="BI548" s="90">
        <f t="shared" si="604"/>
        <v>0</v>
      </c>
      <c r="BJ548" s="90">
        <f t="shared" si="605"/>
        <v>0</v>
      </c>
    </row>
    <row r="549" spans="1:62" ht="12.75">
      <c r="A549" s="88" t="s">
        <v>1788</v>
      </c>
      <c r="B549" s="88" t="s">
        <v>60</v>
      </c>
      <c r="C549" s="88" t="s">
        <v>1138</v>
      </c>
      <c r="D549" s="88" t="s">
        <v>1446</v>
      </c>
      <c r="E549" s="88" t="s">
        <v>606</v>
      </c>
      <c r="F549" s="90">
        <v>2</v>
      </c>
      <c r="G549" s="90">
        <f>'Stavební rozpočet (SO 13)'!G393</f>
        <v>0</v>
      </c>
      <c r="H549" s="90">
        <f t="shared" si="580"/>
        <v>0</v>
      </c>
      <c r="I549" s="90">
        <f t="shared" si="581"/>
        <v>0</v>
      </c>
      <c r="J549" s="90">
        <f t="shared" si="582"/>
        <v>0</v>
      </c>
      <c r="K549" s="90">
        <v>0</v>
      </c>
      <c r="L549" s="90">
        <f t="shared" si="583"/>
        <v>0</v>
      </c>
      <c r="M549" s="91" t="s">
        <v>622</v>
      </c>
      <c r="O549" s="90"/>
      <c r="P549" s="90"/>
      <c r="Z549" s="90">
        <f t="shared" si="584"/>
        <v>0</v>
      </c>
      <c r="AB549" s="90">
        <f t="shared" si="585"/>
        <v>0</v>
      </c>
      <c r="AC549" s="90">
        <f t="shared" si="586"/>
        <v>0</v>
      </c>
      <c r="AD549" s="90">
        <f t="shared" si="587"/>
        <v>0</v>
      </c>
      <c r="AE549" s="90">
        <f t="shared" si="588"/>
        <v>0</v>
      </c>
      <c r="AF549" s="90">
        <f t="shared" si="589"/>
        <v>0</v>
      </c>
      <c r="AG549" s="90">
        <f t="shared" si="590"/>
        <v>0</v>
      </c>
      <c r="AH549" s="90">
        <f t="shared" si="591"/>
        <v>0</v>
      </c>
      <c r="AI549" s="154" t="s">
        <v>60</v>
      </c>
      <c r="AJ549" s="90">
        <f t="shared" si="592"/>
        <v>0</v>
      </c>
      <c r="AK549" s="90">
        <f t="shared" si="593"/>
        <v>0</v>
      </c>
      <c r="AL549" s="90">
        <f t="shared" si="594"/>
        <v>0</v>
      </c>
      <c r="AN549" s="90">
        <v>21</v>
      </c>
      <c r="AO549" s="90">
        <f t="shared" si="595"/>
        <v>0</v>
      </c>
      <c r="AP549" s="90">
        <f t="shared" si="596"/>
        <v>0</v>
      </c>
      <c r="AQ549" s="91" t="s">
        <v>79</v>
      </c>
      <c r="AV549" s="90">
        <f t="shared" si="597"/>
        <v>0</v>
      </c>
      <c r="AW549" s="90">
        <f t="shared" si="598"/>
        <v>0</v>
      </c>
      <c r="AX549" s="90">
        <f t="shared" si="599"/>
        <v>0</v>
      </c>
      <c r="AY549" s="91" t="s">
        <v>649</v>
      </c>
      <c r="AZ549" s="91" t="s">
        <v>1536</v>
      </c>
      <c r="BA549" s="154" t="s">
        <v>1542</v>
      </c>
      <c r="BC549" s="90">
        <f t="shared" si="600"/>
        <v>0</v>
      </c>
      <c r="BD549" s="90">
        <f t="shared" si="601"/>
        <v>0</v>
      </c>
      <c r="BE549" s="90">
        <v>0</v>
      </c>
      <c r="BF549" s="90">
        <f t="shared" si="602"/>
        <v>0</v>
      </c>
      <c r="BH549" s="90">
        <f t="shared" si="603"/>
        <v>0</v>
      </c>
      <c r="BI549" s="90">
        <f t="shared" si="604"/>
        <v>0</v>
      </c>
      <c r="BJ549" s="90">
        <f t="shared" si="605"/>
        <v>0</v>
      </c>
    </row>
    <row r="550" spans="1:62" ht="12.75">
      <c r="A550" s="88" t="s">
        <v>1789</v>
      </c>
      <c r="B550" s="88" t="s">
        <v>60</v>
      </c>
      <c r="C550" s="88" t="s">
        <v>1139</v>
      </c>
      <c r="D550" s="88" t="s">
        <v>1447</v>
      </c>
      <c r="E550" s="88" t="s">
        <v>606</v>
      </c>
      <c r="F550" s="90">
        <v>1</v>
      </c>
      <c r="G550" s="90">
        <f>'Stavební rozpočet (SO 13)'!G394</f>
        <v>0</v>
      </c>
      <c r="H550" s="90">
        <f t="shared" si="580"/>
        <v>0</v>
      </c>
      <c r="I550" s="90">
        <f t="shared" si="581"/>
        <v>0</v>
      </c>
      <c r="J550" s="90">
        <f t="shared" si="582"/>
        <v>0</v>
      </c>
      <c r="K550" s="90">
        <v>0</v>
      </c>
      <c r="L550" s="90">
        <f t="shared" si="583"/>
        <v>0</v>
      </c>
      <c r="M550" s="91" t="s">
        <v>622</v>
      </c>
      <c r="O550" s="90"/>
      <c r="P550" s="90"/>
      <c r="Z550" s="90">
        <f t="shared" si="584"/>
        <v>0</v>
      </c>
      <c r="AB550" s="90">
        <f t="shared" si="585"/>
        <v>0</v>
      </c>
      <c r="AC550" s="90">
        <f t="shared" si="586"/>
        <v>0</v>
      </c>
      <c r="AD550" s="90">
        <f t="shared" si="587"/>
        <v>0</v>
      </c>
      <c r="AE550" s="90">
        <f t="shared" si="588"/>
        <v>0</v>
      </c>
      <c r="AF550" s="90">
        <f t="shared" si="589"/>
        <v>0</v>
      </c>
      <c r="AG550" s="90">
        <f t="shared" si="590"/>
        <v>0</v>
      </c>
      <c r="AH550" s="90">
        <f t="shared" si="591"/>
        <v>0</v>
      </c>
      <c r="AI550" s="154" t="s">
        <v>60</v>
      </c>
      <c r="AJ550" s="90">
        <f t="shared" si="592"/>
        <v>0</v>
      </c>
      <c r="AK550" s="90">
        <f t="shared" si="593"/>
        <v>0</v>
      </c>
      <c r="AL550" s="90">
        <f t="shared" si="594"/>
        <v>0</v>
      </c>
      <c r="AN550" s="90">
        <v>21</v>
      </c>
      <c r="AO550" s="90">
        <f t="shared" si="595"/>
        <v>0</v>
      </c>
      <c r="AP550" s="90">
        <f t="shared" si="596"/>
        <v>0</v>
      </c>
      <c r="AQ550" s="91" t="s">
        <v>79</v>
      </c>
      <c r="AV550" s="90">
        <f t="shared" si="597"/>
        <v>0</v>
      </c>
      <c r="AW550" s="90">
        <f t="shared" si="598"/>
        <v>0</v>
      </c>
      <c r="AX550" s="90">
        <f t="shared" si="599"/>
        <v>0</v>
      </c>
      <c r="AY550" s="91" t="s">
        <v>649</v>
      </c>
      <c r="AZ550" s="91" t="s">
        <v>1536</v>
      </c>
      <c r="BA550" s="154" t="s">
        <v>1542</v>
      </c>
      <c r="BC550" s="90">
        <f t="shared" si="600"/>
        <v>0</v>
      </c>
      <c r="BD550" s="90">
        <f t="shared" si="601"/>
        <v>0</v>
      </c>
      <c r="BE550" s="90">
        <v>0</v>
      </c>
      <c r="BF550" s="90">
        <f t="shared" si="602"/>
        <v>0</v>
      </c>
      <c r="BH550" s="90">
        <f t="shared" si="603"/>
        <v>0</v>
      </c>
      <c r="BI550" s="90">
        <f t="shared" si="604"/>
        <v>0</v>
      </c>
      <c r="BJ550" s="90">
        <f t="shared" si="605"/>
        <v>0</v>
      </c>
    </row>
    <row r="551" spans="1:62" ht="12.75">
      <c r="A551" s="88" t="s">
        <v>1790</v>
      </c>
      <c r="B551" s="88" t="s">
        <v>60</v>
      </c>
      <c r="C551" s="88" t="s">
        <v>1140</v>
      </c>
      <c r="D551" s="88" t="s">
        <v>1448</v>
      </c>
      <c r="E551" s="88" t="s">
        <v>606</v>
      </c>
      <c r="F551" s="90">
        <v>0</v>
      </c>
      <c r="G551" s="90">
        <f>'Stavební rozpočet (SO 13)'!G395</f>
        <v>0</v>
      </c>
      <c r="H551" s="90">
        <f t="shared" si="580"/>
        <v>0</v>
      </c>
      <c r="I551" s="90">
        <f t="shared" si="581"/>
        <v>0</v>
      </c>
      <c r="J551" s="90">
        <f t="shared" si="582"/>
        <v>0</v>
      </c>
      <c r="K551" s="90">
        <v>0</v>
      </c>
      <c r="L551" s="90">
        <f t="shared" si="583"/>
        <v>0</v>
      </c>
      <c r="M551" s="91" t="s">
        <v>622</v>
      </c>
      <c r="O551" s="90"/>
      <c r="P551" s="90"/>
      <c r="Z551" s="90">
        <f t="shared" si="584"/>
        <v>0</v>
      </c>
      <c r="AB551" s="90">
        <f t="shared" si="585"/>
        <v>0</v>
      </c>
      <c r="AC551" s="90">
        <f t="shared" si="586"/>
        <v>0</v>
      </c>
      <c r="AD551" s="90">
        <f t="shared" si="587"/>
        <v>0</v>
      </c>
      <c r="AE551" s="90">
        <f t="shared" si="588"/>
        <v>0</v>
      </c>
      <c r="AF551" s="90">
        <f t="shared" si="589"/>
        <v>0</v>
      </c>
      <c r="AG551" s="90">
        <f t="shared" si="590"/>
        <v>0</v>
      </c>
      <c r="AH551" s="90">
        <f t="shared" si="591"/>
        <v>0</v>
      </c>
      <c r="AI551" s="154" t="s">
        <v>60</v>
      </c>
      <c r="AJ551" s="90">
        <f t="shared" si="592"/>
        <v>0</v>
      </c>
      <c r="AK551" s="90">
        <f t="shared" si="593"/>
        <v>0</v>
      </c>
      <c r="AL551" s="90">
        <f t="shared" si="594"/>
        <v>0</v>
      </c>
      <c r="AN551" s="90">
        <v>21</v>
      </c>
      <c r="AO551" s="90">
        <f t="shared" si="595"/>
        <v>0</v>
      </c>
      <c r="AP551" s="90">
        <f t="shared" si="596"/>
        <v>0</v>
      </c>
      <c r="AQ551" s="91" t="s">
        <v>79</v>
      </c>
      <c r="AV551" s="90">
        <f t="shared" si="597"/>
        <v>0</v>
      </c>
      <c r="AW551" s="90">
        <f t="shared" si="598"/>
        <v>0</v>
      </c>
      <c r="AX551" s="90">
        <f t="shared" si="599"/>
        <v>0</v>
      </c>
      <c r="AY551" s="91" t="s">
        <v>649</v>
      </c>
      <c r="AZ551" s="91" t="s">
        <v>1536</v>
      </c>
      <c r="BA551" s="154" t="s">
        <v>1542</v>
      </c>
      <c r="BC551" s="90">
        <f t="shared" si="600"/>
        <v>0</v>
      </c>
      <c r="BD551" s="90">
        <f t="shared" si="601"/>
        <v>0</v>
      </c>
      <c r="BE551" s="90">
        <v>0</v>
      </c>
      <c r="BF551" s="90">
        <f t="shared" si="602"/>
        <v>0</v>
      </c>
      <c r="BH551" s="90">
        <f t="shared" si="603"/>
        <v>0</v>
      </c>
      <c r="BI551" s="90">
        <f t="shared" si="604"/>
        <v>0</v>
      </c>
      <c r="BJ551" s="90">
        <f t="shared" si="605"/>
        <v>0</v>
      </c>
    </row>
    <row r="552" spans="1:62" ht="12.75">
      <c r="A552" s="88" t="s">
        <v>1791</v>
      </c>
      <c r="B552" s="88" t="s">
        <v>60</v>
      </c>
      <c r="C552" s="88" t="s">
        <v>1141</v>
      </c>
      <c r="D552" s="88" t="s">
        <v>1449</v>
      </c>
      <c r="E552" s="88" t="s">
        <v>606</v>
      </c>
      <c r="F552" s="90">
        <v>1</v>
      </c>
      <c r="G552" s="90">
        <f>'Stavební rozpočet (SO 13)'!G396</f>
        <v>0</v>
      </c>
      <c r="H552" s="90">
        <f t="shared" si="580"/>
        <v>0</v>
      </c>
      <c r="I552" s="90">
        <f t="shared" si="581"/>
        <v>0</v>
      </c>
      <c r="J552" s="90">
        <f t="shared" si="582"/>
        <v>0</v>
      </c>
      <c r="K552" s="90">
        <v>0</v>
      </c>
      <c r="L552" s="90">
        <f t="shared" si="583"/>
        <v>0</v>
      </c>
      <c r="M552" s="91" t="s">
        <v>622</v>
      </c>
      <c r="O552" s="90"/>
      <c r="P552" s="90"/>
      <c r="Z552" s="90">
        <f t="shared" si="584"/>
        <v>0</v>
      </c>
      <c r="AB552" s="90">
        <f t="shared" si="585"/>
        <v>0</v>
      </c>
      <c r="AC552" s="90">
        <f t="shared" si="586"/>
        <v>0</v>
      </c>
      <c r="AD552" s="90">
        <f t="shared" si="587"/>
        <v>0</v>
      </c>
      <c r="AE552" s="90">
        <f t="shared" si="588"/>
        <v>0</v>
      </c>
      <c r="AF552" s="90">
        <f t="shared" si="589"/>
        <v>0</v>
      </c>
      <c r="AG552" s="90">
        <f t="shared" si="590"/>
        <v>0</v>
      </c>
      <c r="AH552" s="90">
        <f t="shared" si="591"/>
        <v>0</v>
      </c>
      <c r="AI552" s="154" t="s">
        <v>60</v>
      </c>
      <c r="AJ552" s="90">
        <f t="shared" si="592"/>
        <v>0</v>
      </c>
      <c r="AK552" s="90">
        <f t="shared" si="593"/>
        <v>0</v>
      </c>
      <c r="AL552" s="90">
        <f t="shared" si="594"/>
        <v>0</v>
      </c>
      <c r="AN552" s="90">
        <v>21</v>
      </c>
      <c r="AO552" s="90">
        <f t="shared" si="595"/>
        <v>0</v>
      </c>
      <c r="AP552" s="90">
        <f t="shared" si="596"/>
        <v>0</v>
      </c>
      <c r="AQ552" s="91" t="s">
        <v>79</v>
      </c>
      <c r="AV552" s="90">
        <f t="shared" si="597"/>
        <v>0</v>
      </c>
      <c r="AW552" s="90">
        <f t="shared" si="598"/>
        <v>0</v>
      </c>
      <c r="AX552" s="90">
        <f t="shared" si="599"/>
        <v>0</v>
      </c>
      <c r="AY552" s="91" t="s">
        <v>649</v>
      </c>
      <c r="AZ552" s="91" t="s">
        <v>1536</v>
      </c>
      <c r="BA552" s="154" t="s">
        <v>1542</v>
      </c>
      <c r="BC552" s="90">
        <f t="shared" si="600"/>
        <v>0</v>
      </c>
      <c r="BD552" s="90">
        <f t="shared" si="601"/>
        <v>0</v>
      </c>
      <c r="BE552" s="90">
        <v>0</v>
      </c>
      <c r="BF552" s="90">
        <f t="shared" si="602"/>
        <v>0</v>
      </c>
      <c r="BH552" s="90">
        <f t="shared" si="603"/>
        <v>0</v>
      </c>
      <c r="BI552" s="90">
        <f t="shared" si="604"/>
        <v>0</v>
      </c>
      <c r="BJ552" s="90">
        <f t="shared" si="605"/>
        <v>0</v>
      </c>
    </row>
    <row r="553" spans="1:62" ht="12.75">
      <c r="A553" s="88" t="s">
        <v>1792</v>
      </c>
      <c r="B553" s="88" t="s">
        <v>60</v>
      </c>
      <c r="C553" s="88" t="s">
        <v>389</v>
      </c>
      <c r="D553" s="88" t="s">
        <v>575</v>
      </c>
      <c r="E553" s="88" t="s">
        <v>611</v>
      </c>
      <c r="F553" s="90">
        <v>4</v>
      </c>
      <c r="G553" s="90">
        <f>'Stavební rozpočet (SO 13)'!G397</f>
        <v>0</v>
      </c>
      <c r="H553" s="90">
        <f t="shared" si="580"/>
        <v>0</v>
      </c>
      <c r="I553" s="90">
        <f t="shared" si="581"/>
        <v>0</v>
      </c>
      <c r="J553" s="90">
        <f t="shared" si="582"/>
        <v>0</v>
      </c>
      <c r="K553" s="90">
        <v>0</v>
      </c>
      <c r="L553" s="90">
        <f t="shared" si="583"/>
        <v>0</v>
      </c>
      <c r="M553" s="91" t="s">
        <v>622</v>
      </c>
      <c r="O553" s="90"/>
      <c r="P553" s="90"/>
      <c r="Z553" s="90">
        <f t="shared" si="584"/>
        <v>0</v>
      </c>
      <c r="AB553" s="90">
        <f t="shared" si="585"/>
        <v>0</v>
      </c>
      <c r="AC553" s="90">
        <f t="shared" si="586"/>
        <v>0</v>
      </c>
      <c r="AD553" s="90">
        <f t="shared" si="587"/>
        <v>0</v>
      </c>
      <c r="AE553" s="90">
        <f t="shared" si="588"/>
        <v>0</v>
      </c>
      <c r="AF553" s="90">
        <f t="shared" si="589"/>
        <v>0</v>
      </c>
      <c r="AG553" s="90">
        <f t="shared" si="590"/>
        <v>0</v>
      </c>
      <c r="AH553" s="90">
        <f t="shared" si="591"/>
        <v>0</v>
      </c>
      <c r="AI553" s="154" t="s">
        <v>60</v>
      </c>
      <c r="AJ553" s="90">
        <f t="shared" si="592"/>
        <v>0</v>
      </c>
      <c r="AK553" s="90">
        <f t="shared" si="593"/>
        <v>0</v>
      </c>
      <c r="AL553" s="90">
        <f t="shared" si="594"/>
        <v>0</v>
      </c>
      <c r="AN553" s="90">
        <v>21</v>
      </c>
      <c r="AO553" s="90">
        <f t="shared" si="595"/>
        <v>0</v>
      </c>
      <c r="AP553" s="90">
        <f t="shared" si="596"/>
        <v>0</v>
      </c>
      <c r="AQ553" s="91" t="s">
        <v>79</v>
      </c>
      <c r="AV553" s="90">
        <f t="shared" si="597"/>
        <v>0</v>
      </c>
      <c r="AW553" s="90">
        <f t="shared" si="598"/>
        <v>0</v>
      </c>
      <c r="AX553" s="90">
        <f t="shared" si="599"/>
        <v>0</v>
      </c>
      <c r="AY553" s="91" t="s">
        <v>649</v>
      </c>
      <c r="AZ553" s="91" t="s">
        <v>1536</v>
      </c>
      <c r="BA553" s="154" t="s">
        <v>1542</v>
      </c>
      <c r="BC553" s="90">
        <f t="shared" si="600"/>
        <v>0</v>
      </c>
      <c r="BD553" s="90">
        <f t="shared" si="601"/>
        <v>0</v>
      </c>
      <c r="BE553" s="90">
        <v>0</v>
      </c>
      <c r="BF553" s="90">
        <f t="shared" si="602"/>
        <v>0</v>
      </c>
      <c r="BH553" s="90">
        <f t="shared" si="603"/>
        <v>0</v>
      </c>
      <c r="BI553" s="90">
        <f t="shared" si="604"/>
        <v>0</v>
      </c>
      <c r="BJ553" s="90">
        <f t="shared" si="605"/>
        <v>0</v>
      </c>
    </row>
    <row r="554" spans="1:62" ht="12.75">
      <c r="A554" s="88" t="s">
        <v>1793</v>
      </c>
      <c r="B554" s="88" t="s">
        <v>60</v>
      </c>
      <c r="C554" s="88" t="s">
        <v>1142</v>
      </c>
      <c r="D554" s="88" t="s">
        <v>1450</v>
      </c>
      <c r="E554" s="88" t="s">
        <v>613</v>
      </c>
      <c r="F554" s="90">
        <v>0</v>
      </c>
      <c r="G554" s="90">
        <f>'Stavební rozpočet (SO 13)'!G398</f>
        <v>0</v>
      </c>
      <c r="H554" s="90">
        <f t="shared" si="580"/>
        <v>0</v>
      </c>
      <c r="I554" s="90">
        <f t="shared" si="581"/>
        <v>0</v>
      </c>
      <c r="J554" s="90">
        <f t="shared" si="582"/>
        <v>0</v>
      </c>
      <c r="K554" s="90">
        <v>0</v>
      </c>
      <c r="L554" s="90">
        <f t="shared" si="583"/>
        <v>0</v>
      </c>
      <c r="M554" s="91" t="s">
        <v>622</v>
      </c>
      <c r="O554" s="90"/>
      <c r="P554" s="90"/>
      <c r="Z554" s="90">
        <f t="shared" si="584"/>
        <v>0</v>
      </c>
      <c r="AB554" s="90">
        <f t="shared" si="585"/>
        <v>0</v>
      </c>
      <c r="AC554" s="90">
        <f t="shared" si="586"/>
        <v>0</v>
      </c>
      <c r="AD554" s="90">
        <f t="shared" si="587"/>
        <v>0</v>
      </c>
      <c r="AE554" s="90">
        <f t="shared" si="588"/>
        <v>0</v>
      </c>
      <c r="AF554" s="90">
        <f t="shared" si="589"/>
        <v>0</v>
      </c>
      <c r="AG554" s="90">
        <f t="shared" si="590"/>
        <v>0</v>
      </c>
      <c r="AH554" s="90">
        <f t="shared" si="591"/>
        <v>0</v>
      </c>
      <c r="AI554" s="154" t="s">
        <v>60</v>
      </c>
      <c r="AJ554" s="90">
        <f t="shared" si="592"/>
        <v>0</v>
      </c>
      <c r="AK554" s="90">
        <f t="shared" si="593"/>
        <v>0</v>
      </c>
      <c r="AL554" s="90">
        <f t="shared" si="594"/>
        <v>0</v>
      </c>
      <c r="AN554" s="90">
        <v>21</v>
      </c>
      <c r="AO554" s="90">
        <f t="shared" si="595"/>
        <v>0</v>
      </c>
      <c r="AP554" s="90">
        <f t="shared" si="596"/>
        <v>0</v>
      </c>
      <c r="AQ554" s="91" t="s">
        <v>79</v>
      </c>
      <c r="AV554" s="90">
        <f t="shared" si="597"/>
        <v>0</v>
      </c>
      <c r="AW554" s="90">
        <f t="shared" si="598"/>
        <v>0</v>
      </c>
      <c r="AX554" s="90">
        <f t="shared" si="599"/>
        <v>0</v>
      </c>
      <c r="AY554" s="91" t="s">
        <v>649</v>
      </c>
      <c r="AZ554" s="91" t="s">
        <v>1536</v>
      </c>
      <c r="BA554" s="154" t="s">
        <v>1542</v>
      </c>
      <c r="BC554" s="90">
        <f t="shared" si="600"/>
        <v>0</v>
      </c>
      <c r="BD554" s="90">
        <f t="shared" si="601"/>
        <v>0</v>
      </c>
      <c r="BE554" s="90">
        <v>0</v>
      </c>
      <c r="BF554" s="90">
        <f t="shared" si="602"/>
        <v>0</v>
      </c>
      <c r="BH554" s="90">
        <f t="shared" si="603"/>
        <v>0</v>
      </c>
      <c r="BI554" s="90">
        <f t="shared" si="604"/>
        <v>0</v>
      </c>
      <c r="BJ554" s="90">
        <f t="shared" si="605"/>
        <v>0</v>
      </c>
    </row>
    <row r="555" spans="1:62" ht="12.75">
      <c r="A555" s="88" t="s">
        <v>1794</v>
      </c>
      <c r="B555" s="88" t="s">
        <v>60</v>
      </c>
      <c r="C555" s="88" t="s">
        <v>1143</v>
      </c>
      <c r="D555" s="88" t="s">
        <v>1451</v>
      </c>
      <c r="E555" s="88" t="s">
        <v>613</v>
      </c>
      <c r="F555" s="90">
        <v>1</v>
      </c>
      <c r="G555" s="90">
        <f>'Stavební rozpočet (SO 13)'!G399</f>
        <v>0</v>
      </c>
      <c r="H555" s="90">
        <f t="shared" si="580"/>
        <v>0</v>
      </c>
      <c r="I555" s="90">
        <f t="shared" si="581"/>
        <v>0</v>
      </c>
      <c r="J555" s="90">
        <f t="shared" si="582"/>
        <v>0</v>
      </c>
      <c r="K555" s="90">
        <v>0</v>
      </c>
      <c r="L555" s="90">
        <f t="shared" si="583"/>
        <v>0</v>
      </c>
      <c r="M555" s="91" t="s">
        <v>622</v>
      </c>
      <c r="O555" s="90"/>
      <c r="P555" s="90"/>
      <c r="Z555" s="90">
        <f t="shared" si="584"/>
        <v>0</v>
      </c>
      <c r="AB555" s="90">
        <f t="shared" si="585"/>
        <v>0</v>
      </c>
      <c r="AC555" s="90">
        <f t="shared" si="586"/>
        <v>0</v>
      </c>
      <c r="AD555" s="90">
        <f t="shared" si="587"/>
        <v>0</v>
      </c>
      <c r="AE555" s="90">
        <f t="shared" si="588"/>
        <v>0</v>
      </c>
      <c r="AF555" s="90">
        <f t="shared" si="589"/>
        <v>0</v>
      </c>
      <c r="AG555" s="90">
        <f t="shared" si="590"/>
        <v>0</v>
      </c>
      <c r="AH555" s="90">
        <f t="shared" si="591"/>
        <v>0</v>
      </c>
      <c r="AI555" s="154" t="s">
        <v>60</v>
      </c>
      <c r="AJ555" s="90">
        <f t="shared" si="592"/>
        <v>0</v>
      </c>
      <c r="AK555" s="90">
        <f t="shared" si="593"/>
        <v>0</v>
      </c>
      <c r="AL555" s="90">
        <f t="shared" si="594"/>
        <v>0</v>
      </c>
      <c r="AN555" s="90">
        <v>21</v>
      </c>
      <c r="AO555" s="90">
        <f t="shared" si="595"/>
        <v>0</v>
      </c>
      <c r="AP555" s="90">
        <f t="shared" si="596"/>
        <v>0</v>
      </c>
      <c r="AQ555" s="91" t="s">
        <v>79</v>
      </c>
      <c r="AV555" s="90">
        <f t="shared" si="597"/>
        <v>0</v>
      </c>
      <c r="AW555" s="90">
        <f t="shared" si="598"/>
        <v>0</v>
      </c>
      <c r="AX555" s="90">
        <f t="shared" si="599"/>
        <v>0</v>
      </c>
      <c r="AY555" s="91" t="s">
        <v>649</v>
      </c>
      <c r="AZ555" s="91" t="s">
        <v>1536</v>
      </c>
      <c r="BA555" s="154" t="s">
        <v>1542</v>
      </c>
      <c r="BC555" s="90">
        <f t="shared" si="600"/>
        <v>0</v>
      </c>
      <c r="BD555" s="90">
        <f t="shared" si="601"/>
        <v>0</v>
      </c>
      <c r="BE555" s="90">
        <v>0</v>
      </c>
      <c r="BF555" s="90">
        <f t="shared" si="602"/>
        <v>0</v>
      </c>
      <c r="BH555" s="90">
        <f t="shared" si="603"/>
        <v>0</v>
      </c>
      <c r="BI555" s="90">
        <f t="shared" si="604"/>
        <v>0</v>
      </c>
      <c r="BJ555" s="90">
        <f t="shared" si="605"/>
        <v>0</v>
      </c>
    </row>
    <row r="556" spans="1:62" ht="12.75">
      <c r="A556" s="88" t="s">
        <v>1795</v>
      </c>
      <c r="B556" s="88" t="s">
        <v>60</v>
      </c>
      <c r="C556" s="88" t="s">
        <v>390</v>
      </c>
      <c r="D556" s="88" t="s">
        <v>1452</v>
      </c>
      <c r="E556" s="88" t="s">
        <v>613</v>
      </c>
      <c r="F556" s="90">
        <v>0</v>
      </c>
      <c r="G556" s="90">
        <f>'Stavební rozpočet (SO 13)'!G400</f>
        <v>0</v>
      </c>
      <c r="H556" s="90">
        <f t="shared" si="580"/>
        <v>0</v>
      </c>
      <c r="I556" s="90">
        <f t="shared" si="581"/>
        <v>0</v>
      </c>
      <c r="J556" s="90">
        <f t="shared" si="582"/>
        <v>0</v>
      </c>
      <c r="K556" s="90">
        <v>0</v>
      </c>
      <c r="L556" s="90">
        <f t="shared" si="583"/>
        <v>0</v>
      </c>
      <c r="M556" s="91" t="s">
        <v>622</v>
      </c>
      <c r="O556" s="90"/>
      <c r="P556" s="90"/>
      <c r="Z556" s="90">
        <f t="shared" si="584"/>
        <v>0</v>
      </c>
      <c r="AB556" s="90">
        <f t="shared" si="585"/>
        <v>0</v>
      </c>
      <c r="AC556" s="90">
        <f t="shared" si="586"/>
        <v>0</v>
      </c>
      <c r="AD556" s="90">
        <f t="shared" si="587"/>
        <v>0</v>
      </c>
      <c r="AE556" s="90">
        <f t="shared" si="588"/>
        <v>0</v>
      </c>
      <c r="AF556" s="90">
        <f t="shared" si="589"/>
        <v>0</v>
      </c>
      <c r="AG556" s="90">
        <f t="shared" si="590"/>
        <v>0</v>
      </c>
      <c r="AH556" s="90">
        <f t="shared" si="591"/>
        <v>0</v>
      </c>
      <c r="AI556" s="154" t="s">
        <v>60</v>
      </c>
      <c r="AJ556" s="90">
        <f t="shared" si="592"/>
        <v>0</v>
      </c>
      <c r="AK556" s="90">
        <f t="shared" si="593"/>
        <v>0</v>
      </c>
      <c r="AL556" s="90">
        <f t="shared" si="594"/>
        <v>0</v>
      </c>
      <c r="AN556" s="90">
        <v>21</v>
      </c>
      <c r="AO556" s="90">
        <f t="shared" si="595"/>
        <v>0</v>
      </c>
      <c r="AP556" s="90">
        <f t="shared" si="596"/>
        <v>0</v>
      </c>
      <c r="AQ556" s="91" t="s">
        <v>79</v>
      </c>
      <c r="AV556" s="90">
        <f t="shared" si="597"/>
        <v>0</v>
      </c>
      <c r="AW556" s="90">
        <f t="shared" si="598"/>
        <v>0</v>
      </c>
      <c r="AX556" s="90">
        <f t="shared" si="599"/>
        <v>0</v>
      </c>
      <c r="AY556" s="91" t="s">
        <v>649</v>
      </c>
      <c r="AZ556" s="91" t="s">
        <v>1536</v>
      </c>
      <c r="BA556" s="154" t="s">
        <v>1542</v>
      </c>
      <c r="BC556" s="90">
        <f t="shared" si="600"/>
        <v>0</v>
      </c>
      <c r="BD556" s="90">
        <f t="shared" si="601"/>
        <v>0</v>
      </c>
      <c r="BE556" s="90">
        <v>0</v>
      </c>
      <c r="BF556" s="90">
        <f t="shared" si="602"/>
        <v>0</v>
      </c>
      <c r="BH556" s="90">
        <f t="shared" si="603"/>
        <v>0</v>
      </c>
      <c r="BI556" s="90">
        <f t="shared" si="604"/>
        <v>0</v>
      </c>
      <c r="BJ556" s="90">
        <f t="shared" si="605"/>
        <v>0</v>
      </c>
    </row>
    <row r="557" spans="1:62" ht="12.75">
      <c r="A557" s="88" t="s">
        <v>1796</v>
      </c>
      <c r="B557" s="88" t="s">
        <v>60</v>
      </c>
      <c r="C557" s="88" t="s">
        <v>391</v>
      </c>
      <c r="D557" s="88" t="s">
        <v>577</v>
      </c>
      <c r="E557" s="88" t="s">
        <v>614</v>
      </c>
      <c r="F557" s="90">
        <v>1</v>
      </c>
      <c r="G557" s="90">
        <f>'Stavební rozpočet (SO 13)'!G401</f>
        <v>0</v>
      </c>
      <c r="H557" s="90">
        <f t="shared" si="580"/>
        <v>0</v>
      </c>
      <c r="I557" s="90">
        <f t="shared" si="581"/>
        <v>0</v>
      </c>
      <c r="J557" s="90">
        <f t="shared" si="582"/>
        <v>0</v>
      </c>
      <c r="K557" s="90">
        <v>0</v>
      </c>
      <c r="L557" s="90">
        <f t="shared" si="583"/>
        <v>0</v>
      </c>
      <c r="M557" s="91" t="s">
        <v>622</v>
      </c>
      <c r="O557" s="90"/>
      <c r="P557" s="90"/>
      <c r="Z557" s="90">
        <f t="shared" si="584"/>
        <v>0</v>
      </c>
      <c r="AB557" s="90">
        <f t="shared" si="585"/>
        <v>0</v>
      </c>
      <c r="AC557" s="90">
        <f t="shared" si="586"/>
        <v>0</v>
      </c>
      <c r="AD557" s="90">
        <f t="shared" si="587"/>
        <v>0</v>
      </c>
      <c r="AE557" s="90">
        <f t="shared" si="588"/>
        <v>0</v>
      </c>
      <c r="AF557" s="90">
        <f t="shared" si="589"/>
        <v>0</v>
      </c>
      <c r="AG557" s="90">
        <f t="shared" si="590"/>
        <v>0</v>
      </c>
      <c r="AH557" s="90">
        <f t="shared" si="591"/>
        <v>0</v>
      </c>
      <c r="AI557" s="154" t="s">
        <v>60</v>
      </c>
      <c r="AJ557" s="90">
        <f t="shared" si="592"/>
        <v>0</v>
      </c>
      <c r="AK557" s="90">
        <f t="shared" si="593"/>
        <v>0</v>
      </c>
      <c r="AL557" s="90">
        <f t="shared" si="594"/>
        <v>0</v>
      </c>
      <c r="AN557" s="90">
        <v>21</v>
      </c>
      <c r="AO557" s="90">
        <f t="shared" si="595"/>
        <v>0</v>
      </c>
      <c r="AP557" s="90">
        <f t="shared" si="596"/>
        <v>0</v>
      </c>
      <c r="AQ557" s="91" t="s">
        <v>79</v>
      </c>
      <c r="AV557" s="90">
        <f t="shared" si="597"/>
        <v>0</v>
      </c>
      <c r="AW557" s="90">
        <f t="shared" si="598"/>
        <v>0</v>
      </c>
      <c r="AX557" s="90">
        <f t="shared" si="599"/>
        <v>0</v>
      </c>
      <c r="AY557" s="91" t="s">
        <v>649</v>
      </c>
      <c r="AZ557" s="91" t="s">
        <v>1536</v>
      </c>
      <c r="BA557" s="154" t="s">
        <v>1542</v>
      </c>
      <c r="BC557" s="90">
        <f t="shared" si="600"/>
        <v>0</v>
      </c>
      <c r="BD557" s="90">
        <f t="shared" si="601"/>
        <v>0</v>
      </c>
      <c r="BE557" s="90">
        <v>0</v>
      </c>
      <c r="BF557" s="90">
        <f t="shared" si="602"/>
        <v>0</v>
      </c>
      <c r="BH557" s="90">
        <f t="shared" si="603"/>
        <v>0</v>
      </c>
      <c r="BI557" s="90">
        <f t="shared" si="604"/>
        <v>0</v>
      </c>
      <c r="BJ557" s="90">
        <f t="shared" si="605"/>
        <v>0</v>
      </c>
    </row>
    <row r="558" spans="1:62" ht="12.75">
      <c r="A558" s="88" t="s">
        <v>1797</v>
      </c>
      <c r="B558" s="88" t="s">
        <v>60</v>
      </c>
      <c r="C558" s="88" t="s">
        <v>392</v>
      </c>
      <c r="D558" s="88" t="s">
        <v>578</v>
      </c>
      <c r="E558" s="88" t="s">
        <v>611</v>
      </c>
      <c r="F558" s="90">
        <v>2</v>
      </c>
      <c r="G558" s="90">
        <f>'Stavební rozpočet (SO 13)'!G402</f>
        <v>0</v>
      </c>
      <c r="H558" s="90">
        <f t="shared" si="580"/>
        <v>0</v>
      </c>
      <c r="I558" s="90">
        <f t="shared" si="581"/>
        <v>0</v>
      </c>
      <c r="J558" s="90">
        <f t="shared" si="582"/>
        <v>0</v>
      </c>
      <c r="K558" s="90">
        <v>0</v>
      </c>
      <c r="L558" s="90">
        <f t="shared" si="583"/>
        <v>0</v>
      </c>
      <c r="M558" s="91" t="s">
        <v>622</v>
      </c>
      <c r="O558" s="90"/>
      <c r="P558" s="90"/>
      <c r="Z558" s="90">
        <f t="shared" si="584"/>
        <v>0</v>
      </c>
      <c r="AB558" s="90">
        <f t="shared" si="585"/>
        <v>0</v>
      </c>
      <c r="AC558" s="90">
        <f t="shared" si="586"/>
        <v>0</v>
      </c>
      <c r="AD558" s="90">
        <f t="shared" si="587"/>
        <v>0</v>
      </c>
      <c r="AE558" s="90">
        <f t="shared" si="588"/>
        <v>0</v>
      </c>
      <c r="AF558" s="90">
        <f t="shared" si="589"/>
        <v>0</v>
      </c>
      <c r="AG558" s="90">
        <f t="shared" si="590"/>
        <v>0</v>
      </c>
      <c r="AH558" s="90">
        <f t="shared" si="591"/>
        <v>0</v>
      </c>
      <c r="AI558" s="154" t="s">
        <v>60</v>
      </c>
      <c r="AJ558" s="90">
        <f t="shared" si="592"/>
        <v>0</v>
      </c>
      <c r="AK558" s="90">
        <f t="shared" si="593"/>
        <v>0</v>
      </c>
      <c r="AL558" s="90">
        <f t="shared" si="594"/>
        <v>0</v>
      </c>
      <c r="AN558" s="90">
        <v>21</v>
      </c>
      <c r="AO558" s="90">
        <f t="shared" si="595"/>
        <v>0</v>
      </c>
      <c r="AP558" s="90">
        <f t="shared" si="596"/>
        <v>0</v>
      </c>
      <c r="AQ558" s="91" t="s">
        <v>79</v>
      </c>
      <c r="AV558" s="90">
        <f t="shared" si="597"/>
        <v>0</v>
      </c>
      <c r="AW558" s="90">
        <f t="shared" si="598"/>
        <v>0</v>
      </c>
      <c r="AX558" s="90">
        <f t="shared" si="599"/>
        <v>0</v>
      </c>
      <c r="AY558" s="91" t="s">
        <v>649</v>
      </c>
      <c r="AZ558" s="91" t="s">
        <v>1536</v>
      </c>
      <c r="BA558" s="154" t="s">
        <v>1542</v>
      </c>
      <c r="BC558" s="90">
        <f t="shared" si="600"/>
        <v>0</v>
      </c>
      <c r="BD558" s="90">
        <f t="shared" si="601"/>
        <v>0</v>
      </c>
      <c r="BE558" s="90">
        <v>0</v>
      </c>
      <c r="BF558" s="90">
        <f t="shared" si="602"/>
        <v>0</v>
      </c>
      <c r="BH558" s="90">
        <f t="shared" si="603"/>
        <v>0</v>
      </c>
      <c r="BI558" s="90">
        <f t="shared" si="604"/>
        <v>0</v>
      </c>
      <c r="BJ558" s="90">
        <f t="shared" si="605"/>
        <v>0</v>
      </c>
    </row>
    <row r="559" spans="1:62" ht="12.75">
      <c r="A559" s="88" t="s">
        <v>1798</v>
      </c>
      <c r="B559" s="88" t="s">
        <v>60</v>
      </c>
      <c r="C559" s="88" t="s">
        <v>393</v>
      </c>
      <c r="D559" s="88" t="s">
        <v>579</v>
      </c>
      <c r="E559" s="88" t="s">
        <v>609</v>
      </c>
      <c r="F559" s="90">
        <v>1050</v>
      </c>
      <c r="G559" s="90">
        <f>'Stavební rozpočet (SO 13)'!G403</f>
        <v>0</v>
      </c>
      <c r="H559" s="90">
        <f t="shared" si="580"/>
        <v>0</v>
      </c>
      <c r="I559" s="90">
        <f t="shared" si="581"/>
        <v>0</v>
      </c>
      <c r="J559" s="90">
        <f t="shared" si="582"/>
        <v>0</v>
      </c>
      <c r="K559" s="90">
        <v>0</v>
      </c>
      <c r="L559" s="90">
        <f t="shared" si="583"/>
        <v>0</v>
      </c>
      <c r="M559" s="91" t="s">
        <v>622</v>
      </c>
      <c r="O559" s="90"/>
      <c r="P559" s="90"/>
      <c r="Z559" s="90">
        <f t="shared" si="584"/>
        <v>0</v>
      </c>
      <c r="AB559" s="90">
        <f t="shared" si="585"/>
        <v>0</v>
      </c>
      <c r="AC559" s="90">
        <f t="shared" si="586"/>
        <v>0</v>
      </c>
      <c r="AD559" s="90">
        <f t="shared" si="587"/>
        <v>0</v>
      </c>
      <c r="AE559" s="90">
        <f t="shared" si="588"/>
        <v>0</v>
      </c>
      <c r="AF559" s="90">
        <f t="shared" si="589"/>
        <v>0</v>
      </c>
      <c r="AG559" s="90">
        <f t="shared" si="590"/>
        <v>0</v>
      </c>
      <c r="AH559" s="90">
        <f t="shared" si="591"/>
        <v>0</v>
      </c>
      <c r="AI559" s="154" t="s">
        <v>60</v>
      </c>
      <c r="AJ559" s="90">
        <f t="shared" si="592"/>
        <v>0</v>
      </c>
      <c r="AK559" s="90">
        <f t="shared" si="593"/>
        <v>0</v>
      </c>
      <c r="AL559" s="90">
        <f t="shared" si="594"/>
        <v>0</v>
      </c>
      <c r="AN559" s="90">
        <v>21</v>
      </c>
      <c r="AO559" s="90">
        <f t="shared" si="595"/>
        <v>0</v>
      </c>
      <c r="AP559" s="90">
        <f t="shared" si="596"/>
        <v>0</v>
      </c>
      <c r="AQ559" s="91" t="s">
        <v>79</v>
      </c>
      <c r="AV559" s="90">
        <f t="shared" si="597"/>
        <v>0</v>
      </c>
      <c r="AW559" s="90">
        <f t="shared" si="598"/>
        <v>0</v>
      </c>
      <c r="AX559" s="90">
        <f t="shared" si="599"/>
        <v>0</v>
      </c>
      <c r="AY559" s="91" t="s">
        <v>649</v>
      </c>
      <c r="AZ559" s="91" t="s">
        <v>1536</v>
      </c>
      <c r="BA559" s="154" t="s">
        <v>1542</v>
      </c>
      <c r="BC559" s="90">
        <f t="shared" si="600"/>
        <v>0</v>
      </c>
      <c r="BD559" s="90">
        <f t="shared" si="601"/>
        <v>0</v>
      </c>
      <c r="BE559" s="90">
        <v>0</v>
      </c>
      <c r="BF559" s="90">
        <f t="shared" si="602"/>
        <v>0</v>
      </c>
      <c r="BH559" s="90">
        <f t="shared" si="603"/>
        <v>0</v>
      </c>
      <c r="BI559" s="90">
        <f t="shared" si="604"/>
        <v>0</v>
      </c>
      <c r="BJ559" s="90">
        <f t="shared" si="605"/>
        <v>0</v>
      </c>
    </row>
    <row r="560" spans="1:62" ht="12.75">
      <c r="A560" s="88" t="s">
        <v>1799</v>
      </c>
      <c r="B560" s="88" t="s">
        <v>60</v>
      </c>
      <c r="C560" s="88" t="s">
        <v>394</v>
      </c>
      <c r="D560" s="88" t="s">
        <v>580</v>
      </c>
      <c r="E560" s="88" t="s">
        <v>609</v>
      </c>
      <c r="F560" s="90">
        <v>1050</v>
      </c>
      <c r="G560" s="90">
        <f>'Stavební rozpočet (SO 13)'!G404</f>
        <v>0</v>
      </c>
      <c r="H560" s="90">
        <f t="shared" si="580"/>
        <v>0</v>
      </c>
      <c r="I560" s="90">
        <f t="shared" si="581"/>
        <v>0</v>
      </c>
      <c r="J560" s="90">
        <f t="shared" si="582"/>
        <v>0</v>
      </c>
      <c r="K560" s="90">
        <v>0</v>
      </c>
      <c r="L560" s="90">
        <f t="shared" si="583"/>
        <v>0</v>
      </c>
      <c r="M560" s="91" t="s">
        <v>622</v>
      </c>
      <c r="O560" s="90"/>
      <c r="P560" s="90"/>
      <c r="Z560" s="90">
        <f t="shared" si="584"/>
        <v>0</v>
      </c>
      <c r="AB560" s="90">
        <f t="shared" si="585"/>
        <v>0</v>
      </c>
      <c r="AC560" s="90">
        <f t="shared" si="586"/>
        <v>0</v>
      </c>
      <c r="AD560" s="90">
        <f t="shared" si="587"/>
        <v>0</v>
      </c>
      <c r="AE560" s="90">
        <f t="shared" si="588"/>
        <v>0</v>
      </c>
      <c r="AF560" s="90">
        <f t="shared" si="589"/>
        <v>0</v>
      </c>
      <c r="AG560" s="90">
        <f t="shared" si="590"/>
        <v>0</v>
      </c>
      <c r="AH560" s="90">
        <f t="shared" si="591"/>
        <v>0</v>
      </c>
      <c r="AI560" s="154" t="s">
        <v>60</v>
      </c>
      <c r="AJ560" s="90">
        <f t="shared" si="592"/>
        <v>0</v>
      </c>
      <c r="AK560" s="90">
        <f t="shared" si="593"/>
        <v>0</v>
      </c>
      <c r="AL560" s="90">
        <f t="shared" si="594"/>
        <v>0</v>
      </c>
      <c r="AN560" s="90">
        <v>21</v>
      </c>
      <c r="AO560" s="90">
        <f t="shared" si="595"/>
        <v>0</v>
      </c>
      <c r="AP560" s="90">
        <f t="shared" si="596"/>
        <v>0</v>
      </c>
      <c r="AQ560" s="91" t="s">
        <v>79</v>
      </c>
      <c r="AV560" s="90">
        <f t="shared" si="597"/>
        <v>0</v>
      </c>
      <c r="AW560" s="90">
        <f t="shared" si="598"/>
        <v>0</v>
      </c>
      <c r="AX560" s="90">
        <f t="shared" si="599"/>
        <v>0</v>
      </c>
      <c r="AY560" s="91" t="s">
        <v>649</v>
      </c>
      <c r="AZ560" s="91" t="s">
        <v>1536</v>
      </c>
      <c r="BA560" s="154" t="s">
        <v>1542</v>
      </c>
      <c r="BC560" s="90">
        <f t="shared" si="600"/>
        <v>0</v>
      </c>
      <c r="BD560" s="90">
        <f t="shared" si="601"/>
        <v>0</v>
      </c>
      <c r="BE560" s="90">
        <v>0</v>
      </c>
      <c r="BF560" s="90">
        <f t="shared" si="602"/>
        <v>0</v>
      </c>
      <c r="BH560" s="90">
        <f t="shared" si="603"/>
        <v>0</v>
      </c>
      <c r="BI560" s="90">
        <f t="shared" si="604"/>
        <v>0</v>
      </c>
      <c r="BJ560" s="90">
        <f t="shared" si="605"/>
        <v>0</v>
      </c>
    </row>
    <row r="561" spans="1:62" ht="12.75">
      <c r="A561" s="88" t="s">
        <v>1800</v>
      </c>
      <c r="B561" s="88" t="s">
        <v>60</v>
      </c>
      <c r="C561" s="88" t="s">
        <v>395</v>
      </c>
      <c r="D561" s="88" t="s">
        <v>581</v>
      </c>
      <c r="E561" s="88" t="s">
        <v>613</v>
      </c>
      <c r="F561" s="90">
        <v>81</v>
      </c>
      <c r="G561" s="90">
        <f>'Stavební rozpočet (SO 13)'!G405</f>
        <v>0</v>
      </c>
      <c r="H561" s="90">
        <f t="shared" si="580"/>
        <v>0</v>
      </c>
      <c r="I561" s="90">
        <f t="shared" si="581"/>
        <v>0</v>
      </c>
      <c r="J561" s="90">
        <f t="shared" si="582"/>
        <v>0</v>
      </c>
      <c r="K561" s="90">
        <v>0</v>
      </c>
      <c r="L561" s="90">
        <f t="shared" si="583"/>
        <v>0</v>
      </c>
      <c r="M561" s="91" t="s">
        <v>622</v>
      </c>
      <c r="O561" s="90"/>
      <c r="P561" s="90"/>
      <c r="Z561" s="90">
        <f t="shared" si="584"/>
        <v>0</v>
      </c>
      <c r="AB561" s="90">
        <f t="shared" si="585"/>
        <v>0</v>
      </c>
      <c r="AC561" s="90">
        <f t="shared" si="586"/>
        <v>0</v>
      </c>
      <c r="AD561" s="90">
        <f t="shared" si="587"/>
        <v>0</v>
      </c>
      <c r="AE561" s="90">
        <f t="shared" si="588"/>
        <v>0</v>
      </c>
      <c r="AF561" s="90">
        <f t="shared" si="589"/>
        <v>0</v>
      </c>
      <c r="AG561" s="90">
        <f t="shared" si="590"/>
        <v>0</v>
      </c>
      <c r="AH561" s="90">
        <f t="shared" si="591"/>
        <v>0</v>
      </c>
      <c r="AI561" s="154" t="s">
        <v>60</v>
      </c>
      <c r="AJ561" s="90">
        <f t="shared" si="592"/>
        <v>0</v>
      </c>
      <c r="AK561" s="90">
        <f t="shared" si="593"/>
        <v>0</v>
      </c>
      <c r="AL561" s="90">
        <f t="shared" si="594"/>
        <v>0</v>
      </c>
      <c r="AN561" s="90">
        <v>21</v>
      </c>
      <c r="AO561" s="90">
        <f t="shared" si="595"/>
        <v>0</v>
      </c>
      <c r="AP561" s="90">
        <f t="shared" si="596"/>
        <v>0</v>
      </c>
      <c r="AQ561" s="91" t="s">
        <v>79</v>
      </c>
      <c r="AV561" s="90">
        <f t="shared" si="597"/>
        <v>0</v>
      </c>
      <c r="AW561" s="90">
        <f t="shared" si="598"/>
        <v>0</v>
      </c>
      <c r="AX561" s="90">
        <f t="shared" si="599"/>
        <v>0</v>
      </c>
      <c r="AY561" s="91" t="s">
        <v>649</v>
      </c>
      <c r="AZ561" s="91" t="s">
        <v>1536</v>
      </c>
      <c r="BA561" s="154" t="s">
        <v>1542</v>
      </c>
      <c r="BC561" s="90">
        <f t="shared" si="600"/>
        <v>0</v>
      </c>
      <c r="BD561" s="90">
        <f t="shared" si="601"/>
        <v>0</v>
      </c>
      <c r="BE561" s="90">
        <v>0</v>
      </c>
      <c r="BF561" s="90">
        <f t="shared" si="602"/>
        <v>0</v>
      </c>
      <c r="BH561" s="90">
        <f t="shared" si="603"/>
        <v>0</v>
      </c>
      <c r="BI561" s="90">
        <f t="shared" si="604"/>
        <v>0</v>
      </c>
      <c r="BJ561" s="90">
        <f t="shared" si="605"/>
        <v>0</v>
      </c>
    </row>
    <row r="562" spans="1:62" ht="12.75">
      <c r="A562" s="88" t="s">
        <v>1801</v>
      </c>
      <c r="B562" s="88" t="s">
        <v>60</v>
      </c>
      <c r="C562" s="88" t="s">
        <v>396</v>
      </c>
      <c r="D562" s="88" t="s">
        <v>582</v>
      </c>
      <c r="E562" s="88" t="s">
        <v>606</v>
      </c>
      <c r="F562" s="90">
        <v>15</v>
      </c>
      <c r="G562" s="90">
        <f>'Stavební rozpočet (SO 13)'!G406</f>
        <v>0</v>
      </c>
      <c r="H562" s="90">
        <f t="shared" si="580"/>
        <v>0</v>
      </c>
      <c r="I562" s="90">
        <f t="shared" si="581"/>
        <v>0</v>
      </c>
      <c r="J562" s="90">
        <f t="shared" si="582"/>
        <v>0</v>
      </c>
      <c r="K562" s="90">
        <v>0</v>
      </c>
      <c r="L562" s="90">
        <f t="shared" si="583"/>
        <v>0</v>
      </c>
      <c r="M562" s="91" t="s">
        <v>622</v>
      </c>
      <c r="O562" s="90"/>
      <c r="P562" s="90"/>
      <c r="Z562" s="90">
        <f t="shared" si="584"/>
        <v>0</v>
      </c>
      <c r="AB562" s="90">
        <f t="shared" si="585"/>
        <v>0</v>
      </c>
      <c r="AC562" s="90">
        <f t="shared" si="586"/>
        <v>0</v>
      </c>
      <c r="AD562" s="90">
        <f t="shared" si="587"/>
        <v>0</v>
      </c>
      <c r="AE562" s="90">
        <f t="shared" si="588"/>
        <v>0</v>
      </c>
      <c r="AF562" s="90">
        <f t="shared" si="589"/>
        <v>0</v>
      </c>
      <c r="AG562" s="90">
        <f t="shared" si="590"/>
        <v>0</v>
      </c>
      <c r="AH562" s="90">
        <f t="shared" si="591"/>
        <v>0</v>
      </c>
      <c r="AI562" s="154" t="s">
        <v>60</v>
      </c>
      <c r="AJ562" s="90">
        <f t="shared" si="592"/>
        <v>0</v>
      </c>
      <c r="AK562" s="90">
        <f t="shared" si="593"/>
        <v>0</v>
      </c>
      <c r="AL562" s="90">
        <f t="shared" si="594"/>
        <v>0</v>
      </c>
      <c r="AN562" s="90">
        <v>21</v>
      </c>
      <c r="AO562" s="90">
        <f t="shared" si="595"/>
        <v>0</v>
      </c>
      <c r="AP562" s="90">
        <f t="shared" si="596"/>
        <v>0</v>
      </c>
      <c r="AQ562" s="91" t="s">
        <v>79</v>
      </c>
      <c r="AV562" s="90">
        <f t="shared" si="597"/>
        <v>0</v>
      </c>
      <c r="AW562" s="90">
        <f t="shared" si="598"/>
        <v>0</v>
      </c>
      <c r="AX562" s="90">
        <f t="shared" si="599"/>
        <v>0</v>
      </c>
      <c r="AY562" s="91" t="s">
        <v>649</v>
      </c>
      <c r="AZ562" s="91" t="s">
        <v>1536</v>
      </c>
      <c r="BA562" s="154" t="s">
        <v>1542</v>
      </c>
      <c r="BC562" s="90">
        <f t="shared" si="600"/>
        <v>0</v>
      </c>
      <c r="BD562" s="90">
        <f t="shared" si="601"/>
        <v>0</v>
      </c>
      <c r="BE562" s="90">
        <v>0</v>
      </c>
      <c r="BF562" s="90">
        <f t="shared" si="602"/>
        <v>0</v>
      </c>
      <c r="BH562" s="90">
        <f t="shared" si="603"/>
        <v>0</v>
      </c>
      <c r="BI562" s="90">
        <f t="shared" si="604"/>
        <v>0</v>
      </c>
      <c r="BJ562" s="90">
        <f t="shared" si="605"/>
        <v>0</v>
      </c>
    </row>
    <row r="563" spans="1:62" ht="12.75">
      <c r="A563" s="88" t="s">
        <v>1802</v>
      </c>
      <c r="B563" s="88" t="s">
        <v>60</v>
      </c>
      <c r="C563" s="88" t="s">
        <v>1144</v>
      </c>
      <c r="D563" s="88" t="s">
        <v>1453</v>
      </c>
      <c r="E563" s="88" t="s">
        <v>606</v>
      </c>
      <c r="F563" s="90">
        <v>5</v>
      </c>
      <c r="G563" s="90">
        <f>'Stavební rozpočet (SO 13)'!G407</f>
        <v>0</v>
      </c>
      <c r="H563" s="90">
        <f t="shared" si="580"/>
        <v>0</v>
      </c>
      <c r="I563" s="90">
        <f t="shared" si="581"/>
        <v>0</v>
      </c>
      <c r="J563" s="90">
        <f t="shared" si="582"/>
        <v>0</v>
      </c>
      <c r="K563" s="90">
        <v>0</v>
      </c>
      <c r="L563" s="90">
        <f t="shared" si="583"/>
        <v>0</v>
      </c>
      <c r="M563" s="91" t="s">
        <v>622</v>
      </c>
      <c r="O563" s="90"/>
      <c r="P563" s="90"/>
      <c r="Z563" s="90">
        <f t="shared" si="584"/>
        <v>0</v>
      </c>
      <c r="AB563" s="90">
        <f t="shared" si="585"/>
        <v>0</v>
      </c>
      <c r="AC563" s="90">
        <f t="shared" si="586"/>
        <v>0</v>
      </c>
      <c r="AD563" s="90">
        <f t="shared" si="587"/>
        <v>0</v>
      </c>
      <c r="AE563" s="90">
        <f t="shared" si="588"/>
        <v>0</v>
      </c>
      <c r="AF563" s="90">
        <f t="shared" si="589"/>
        <v>0</v>
      </c>
      <c r="AG563" s="90">
        <f t="shared" si="590"/>
        <v>0</v>
      </c>
      <c r="AH563" s="90">
        <f t="shared" si="591"/>
        <v>0</v>
      </c>
      <c r="AI563" s="154" t="s">
        <v>60</v>
      </c>
      <c r="AJ563" s="90">
        <f t="shared" si="592"/>
        <v>0</v>
      </c>
      <c r="AK563" s="90">
        <f t="shared" si="593"/>
        <v>0</v>
      </c>
      <c r="AL563" s="90">
        <f t="shared" si="594"/>
        <v>0</v>
      </c>
      <c r="AN563" s="90">
        <v>21</v>
      </c>
      <c r="AO563" s="90">
        <f t="shared" si="595"/>
        <v>0</v>
      </c>
      <c r="AP563" s="90">
        <f t="shared" si="596"/>
        <v>0</v>
      </c>
      <c r="AQ563" s="91" t="s">
        <v>79</v>
      </c>
      <c r="AV563" s="90">
        <f t="shared" si="597"/>
        <v>0</v>
      </c>
      <c r="AW563" s="90">
        <f t="shared" si="598"/>
        <v>0</v>
      </c>
      <c r="AX563" s="90">
        <f t="shared" si="599"/>
        <v>0</v>
      </c>
      <c r="AY563" s="91" t="s">
        <v>649</v>
      </c>
      <c r="AZ563" s="91" t="s">
        <v>1536</v>
      </c>
      <c r="BA563" s="154" t="s">
        <v>1542</v>
      </c>
      <c r="BC563" s="90">
        <f t="shared" si="600"/>
        <v>0</v>
      </c>
      <c r="BD563" s="90">
        <f t="shared" si="601"/>
        <v>0</v>
      </c>
      <c r="BE563" s="90">
        <v>0</v>
      </c>
      <c r="BF563" s="90">
        <f t="shared" si="602"/>
        <v>0</v>
      </c>
      <c r="BH563" s="90">
        <f t="shared" si="603"/>
        <v>0</v>
      </c>
      <c r="BI563" s="90">
        <f t="shared" si="604"/>
        <v>0</v>
      </c>
      <c r="BJ563" s="90">
        <f t="shared" si="605"/>
        <v>0</v>
      </c>
    </row>
    <row r="564" spans="1:62" ht="12.75">
      <c r="A564" s="88" t="s">
        <v>1803</v>
      </c>
      <c r="B564" s="88" t="s">
        <v>60</v>
      </c>
      <c r="C564" s="88" t="s">
        <v>1145</v>
      </c>
      <c r="D564" s="88" t="s">
        <v>1454</v>
      </c>
      <c r="E564" s="88" t="s">
        <v>606</v>
      </c>
      <c r="F564" s="90">
        <v>5</v>
      </c>
      <c r="G564" s="90">
        <f>'Stavební rozpočet (SO 13)'!G408</f>
        <v>0</v>
      </c>
      <c r="H564" s="90">
        <f t="shared" si="580"/>
        <v>0</v>
      </c>
      <c r="I564" s="90">
        <f t="shared" si="581"/>
        <v>0</v>
      </c>
      <c r="J564" s="90">
        <f t="shared" si="582"/>
        <v>0</v>
      </c>
      <c r="K564" s="90">
        <v>0</v>
      </c>
      <c r="L564" s="90">
        <f t="shared" si="583"/>
        <v>0</v>
      </c>
      <c r="M564" s="91" t="s">
        <v>622</v>
      </c>
      <c r="O564" s="90"/>
      <c r="P564" s="90"/>
      <c r="Z564" s="90">
        <f t="shared" si="584"/>
        <v>0</v>
      </c>
      <c r="AB564" s="90">
        <f t="shared" si="585"/>
        <v>0</v>
      </c>
      <c r="AC564" s="90">
        <f t="shared" si="586"/>
        <v>0</v>
      </c>
      <c r="AD564" s="90">
        <f t="shared" si="587"/>
        <v>0</v>
      </c>
      <c r="AE564" s="90">
        <f t="shared" si="588"/>
        <v>0</v>
      </c>
      <c r="AF564" s="90">
        <f t="shared" si="589"/>
        <v>0</v>
      </c>
      <c r="AG564" s="90">
        <f t="shared" si="590"/>
        <v>0</v>
      </c>
      <c r="AH564" s="90">
        <f t="shared" si="591"/>
        <v>0</v>
      </c>
      <c r="AI564" s="154" t="s">
        <v>60</v>
      </c>
      <c r="AJ564" s="90">
        <f t="shared" si="592"/>
        <v>0</v>
      </c>
      <c r="AK564" s="90">
        <f t="shared" si="593"/>
        <v>0</v>
      </c>
      <c r="AL564" s="90">
        <f t="shared" si="594"/>
        <v>0</v>
      </c>
      <c r="AN564" s="90">
        <v>21</v>
      </c>
      <c r="AO564" s="90">
        <f t="shared" si="595"/>
        <v>0</v>
      </c>
      <c r="AP564" s="90">
        <f t="shared" si="596"/>
        <v>0</v>
      </c>
      <c r="AQ564" s="91" t="s">
        <v>79</v>
      </c>
      <c r="AV564" s="90">
        <f t="shared" si="597"/>
        <v>0</v>
      </c>
      <c r="AW564" s="90">
        <f t="shared" si="598"/>
        <v>0</v>
      </c>
      <c r="AX564" s="90">
        <f t="shared" si="599"/>
        <v>0</v>
      </c>
      <c r="AY564" s="91" t="s">
        <v>649</v>
      </c>
      <c r="AZ564" s="91" t="s">
        <v>1536</v>
      </c>
      <c r="BA564" s="154" t="s">
        <v>1542</v>
      </c>
      <c r="BC564" s="90">
        <f t="shared" si="600"/>
        <v>0</v>
      </c>
      <c r="BD564" s="90">
        <f t="shared" si="601"/>
        <v>0</v>
      </c>
      <c r="BE564" s="90">
        <v>0</v>
      </c>
      <c r="BF564" s="90">
        <f t="shared" si="602"/>
        <v>0</v>
      </c>
      <c r="BH564" s="90">
        <f t="shared" si="603"/>
        <v>0</v>
      </c>
      <c r="BI564" s="90">
        <f t="shared" si="604"/>
        <v>0</v>
      </c>
      <c r="BJ564" s="90">
        <f t="shared" si="605"/>
        <v>0</v>
      </c>
    </row>
    <row r="565" spans="1:62" ht="12.75">
      <c r="A565" s="88" t="s">
        <v>1804</v>
      </c>
      <c r="B565" s="88" t="s">
        <v>60</v>
      </c>
      <c r="C565" s="88" t="s">
        <v>1146</v>
      </c>
      <c r="D565" s="88" t="s">
        <v>1455</v>
      </c>
      <c r="E565" s="88" t="s">
        <v>609</v>
      </c>
      <c r="F565" s="90">
        <v>20</v>
      </c>
      <c r="G565" s="90">
        <f>'Stavební rozpočet (SO 13)'!G409</f>
        <v>0</v>
      </c>
      <c r="H565" s="90">
        <f t="shared" si="580"/>
        <v>0</v>
      </c>
      <c r="I565" s="90">
        <f t="shared" si="581"/>
        <v>0</v>
      </c>
      <c r="J565" s="90">
        <f t="shared" si="582"/>
        <v>0</v>
      </c>
      <c r="K565" s="90">
        <v>0</v>
      </c>
      <c r="L565" s="90">
        <f t="shared" si="583"/>
        <v>0</v>
      </c>
      <c r="M565" s="91" t="s">
        <v>622</v>
      </c>
      <c r="O565" s="90"/>
      <c r="P565" s="90"/>
      <c r="Z565" s="90">
        <f t="shared" si="584"/>
        <v>0</v>
      </c>
      <c r="AB565" s="90">
        <f t="shared" si="585"/>
        <v>0</v>
      </c>
      <c r="AC565" s="90">
        <f t="shared" si="586"/>
        <v>0</v>
      </c>
      <c r="AD565" s="90">
        <f t="shared" si="587"/>
        <v>0</v>
      </c>
      <c r="AE565" s="90">
        <f t="shared" si="588"/>
        <v>0</v>
      </c>
      <c r="AF565" s="90">
        <f t="shared" si="589"/>
        <v>0</v>
      </c>
      <c r="AG565" s="90">
        <f t="shared" si="590"/>
        <v>0</v>
      </c>
      <c r="AH565" s="90">
        <f t="shared" si="591"/>
        <v>0</v>
      </c>
      <c r="AI565" s="154" t="s">
        <v>60</v>
      </c>
      <c r="AJ565" s="90">
        <f t="shared" si="592"/>
        <v>0</v>
      </c>
      <c r="AK565" s="90">
        <f t="shared" si="593"/>
        <v>0</v>
      </c>
      <c r="AL565" s="90">
        <f t="shared" si="594"/>
        <v>0</v>
      </c>
      <c r="AN565" s="90">
        <v>21</v>
      </c>
      <c r="AO565" s="90">
        <f t="shared" si="595"/>
        <v>0</v>
      </c>
      <c r="AP565" s="90">
        <f t="shared" si="596"/>
        <v>0</v>
      </c>
      <c r="AQ565" s="91" t="s">
        <v>79</v>
      </c>
      <c r="AV565" s="90">
        <f t="shared" si="597"/>
        <v>0</v>
      </c>
      <c r="AW565" s="90">
        <f t="shared" si="598"/>
        <v>0</v>
      </c>
      <c r="AX565" s="90">
        <f t="shared" si="599"/>
        <v>0</v>
      </c>
      <c r="AY565" s="91" t="s">
        <v>649</v>
      </c>
      <c r="AZ565" s="91" t="s">
        <v>1536</v>
      </c>
      <c r="BA565" s="154" t="s">
        <v>1542</v>
      </c>
      <c r="BC565" s="90">
        <f t="shared" si="600"/>
        <v>0</v>
      </c>
      <c r="BD565" s="90">
        <f t="shared" si="601"/>
        <v>0</v>
      </c>
      <c r="BE565" s="90">
        <v>0</v>
      </c>
      <c r="BF565" s="90">
        <f t="shared" si="602"/>
        <v>0</v>
      </c>
      <c r="BH565" s="90">
        <f t="shared" si="603"/>
        <v>0</v>
      </c>
      <c r="BI565" s="90">
        <f t="shared" si="604"/>
        <v>0</v>
      </c>
      <c r="BJ565" s="90">
        <f t="shared" si="605"/>
        <v>0</v>
      </c>
    </row>
    <row r="566" spans="1:62" ht="12.75">
      <c r="A566" s="88" t="s">
        <v>1805</v>
      </c>
      <c r="B566" s="88" t="s">
        <v>60</v>
      </c>
      <c r="C566" s="88" t="s">
        <v>1147</v>
      </c>
      <c r="D566" s="88" t="s">
        <v>1456</v>
      </c>
      <c r="E566" s="88" t="s">
        <v>609</v>
      </c>
      <c r="F566" s="90">
        <v>20</v>
      </c>
      <c r="G566" s="90">
        <f>'Stavební rozpočet (SO 13)'!G410</f>
        <v>0</v>
      </c>
      <c r="H566" s="90">
        <f t="shared" si="580"/>
        <v>0</v>
      </c>
      <c r="I566" s="90">
        <f t="shared" si="581"/>
        <v>0</v>
      </c>
      <c r="J566" s="90">
        <f t="shared" si="582"/>
        <v>0</v>
      </c>
      <c r="K566" s="90">
        <v>0</v>
      </c>
      <c r="L566" s="90">
        <f t="shared" si="583"/>
        <v>0</v>
      </c>
      <c r="M566" s="91" t="s">
        <v>622</v>
      </c>
      <c r="O566" s="90"/>
      <c r="P566" s="90"/>
      <c r="Z566" s="90">
        <f t="shared" si="584"/>
        <v>0</v>
      </c>
      <c r="AB566" s="90">
        <f t="shared" si="585"/>
        <v>0</v>
      </c>
      <c r="AC566" s="90">
        <f t="shared" si="586"/>
        <v>0</v>
      </c>
      <c r="AD566" s="90">
        <f t="shared" si="587"/>
        <v>0</v>
      </c>
      <c r="AE566" s="90">
        <f t="shared" si="588"/>
        <v>0</v>
      </c>
      <c r="AF566" s="90">
        <f t="shared" si="589"/>
        <v>0</v>
      </c>
      <c r="AG566" s="90">
        <f t="shared" si="590"/>
        <v>0</v>
      </c>
      <c r="AH566" s="90">
        <f t="shared" si="591"/>
        <v>0</v>
      </c>
      <c r="AI566" s="154" t="s">
        <v>60</v>
      </c>
      <c r="AJ566" s="90">
        <f t="shared" si="592"/>
        <v>0</v>
      </c>
      <c r="AK566" s="90">
        <f t="shared" si="593"/>
        <v>0</v>
      </c>
      <c r="AL566" s="90">
        <f t="shared" si="594"/>
        <v>0</v>
      </c>
      <c r="AN566" s="90">
        <v>21</v>
      </c>
      <c r="AO566" s="90">
        <f t="shared" si="595"/>
        <v>0</v>
      </c>
      <c r="AP566" s="90">
        <f t="shared" si="596"/>
        <v>0</v>
      </c>
      <c r="AQ566" s="91" t="s">
        <v>79</v>
      </c>
      <c r="AV566" s="90">
        <f t="shared" si="597"/>
        <v>0</v>
      </c>
      <c r="AW566" s="90">
        <f t="shared" si="598"/>
        <v>0</v>
      </c>
      <c r="AX566" s="90">
        <f t="shared" si="599"/>
        <v>0</v>
      </c>
      <c r="AY566" s="91" t="s">
        <v>649</v>
      </c>
      <c r="AZ566" s="91" t="s">
        <v>1536</v>
      </c>
      <c r="BA566" s="154" t="s">
        <v>1542</v>
      </c>
      <c r="BC566" s="90">
        <f t="shared" si="600"/>
        <v>0</v>
      </c>
      <c r="BD566" s="90">
        <f t="shared" si="601"/>
        <v>0</v>
      </c>
      <c r="BE566" s="90">
        <v>0</v>
      </c>
      <c r="BF566" s="90">
        <f t="shared" si="602"/>
        <v>0</v>
      </c>
      <c r="BH566" s="90">
        <f t="shared" si="603"/>
        <v>0</v>
      </c>
      <c r="BI566" s="90">
        <f t="shared" si="604"/>
        <v>0</v>
      </c>
      <c r="BJ566" s="90">
        <f t="shared" si="605"/>
        <v>0</v>
      </c>
    </row>
    <row r="567" spans="1:62" ht="12.75">
      <c r="A567" s="88" t="s">
        <v>1806</v>
      </c>
      <c r="B567" s="88" t="s">
        <v>60</v>
      </c>
      <c r="C567" s="88" t="s">
        <v>1148</v>
      </c>
      <c r="D567" s="88" t="s">
        <v>1457</v>
      </c>
      <c r="E567" s="88" t="s">
        <v>606</v>
      </c>
      <c r="F567" s="90">
        <v>3</v>
      </c>
      <c r="G567" s="90">
        <f>'Stavební rozpočet (SO 13)'!G411</f>
        <v>0</v>
      </c>
      <c r="H567" s="90">
        <f t="shared" si="580"/>
        <v>0</v>
      </c>
      <c r="I567" s="90">
        <f t="shared" si="581"/>
        <v>0</v>
      </c>
      <c r="J567" s="90">
        <f t="shared" si="582"/>
        <v>0</v>
      </c>
      <c r="K567" s="90">
        <v>0</v>
      </c>
      <c r="L567" s="90">
        <f t="shared" si="583"/>
        <v>0</v>
      </c>
      <c r="M567" s="91" t="s">
        <v>622</v>
      </c>
      <c r="O567" s="90"/>
      <c r="P567" s="90"/>
      <c r="Z567" s="90">
        <f t="shared" si="584"/>
        <v>0</v>
      </c>
      <c r="AB567" s="90">
        <f t="shared" si="585"/>
        <v>0</v>
      </c>
      <c r="AC567" s="90">
        <f t="shared" si="586"/>
        <v>0</v>
      </c>
      <c r="AD567" s="90">
        <f t="shared" si="587"/>
        <v>0</v>
      </c>
      <c r="AE567" s="90">
        <f t="shared" si="588"/>
        <v>0</v>
      </c>
      <c r="AF567" s="90">
        <f t="shared" si="589"/>
        <v>0</v>
      </c>
      <c r="AG567" s="90">
        <f t="shared" si="590"/>
        <v>0</v>
      </c>
      <c r="AH567" s="90">
        <f t="shared" si="591"/>
        <v>0</v>
      </c>
      <c r="AI567" s="154" t="s">
        <v>60</v>
      </c>
      <c r="AJ567" s="90">
        <f t="shared" si="592"/>
        <v>0</v>
      </c>
      <c r="AK567" s="90">
        <f t="shared" si="593"/>
        <v>0</v>
      </c>
      <c r="AL567" s="90">
        <f t="shared" si="594"/>
        <v>0</v>
      </c>
      <c r="AN567" s="90">
        <v>21</v>
      </c>
      <c r="AO567" s="90">
        <f t="shared" si="595"/>
        <v>0</v>
      </c>
      <c r="AP567" s="90">
        <f t="shared" si="596"/>
        <v>0</v>
      </c>
      <c r="AQ567" s="91" t="s">
        <v>79</v>
      </c>
      <c r="AV567" s="90">
        <f t="shared" si="597"/>
        <v>0</v>
      </c>
      <c r="AW567" s="90">
        <f t="shared" si="598"/>
        <v>0</v>
      </c>
      <c r="AX567" s="90">
        <f t="shared" si="599"/>
        <v>0</v>
      </c>
      <c r="AY567" s="91" t="s">
        <v>649</v>
      </c>
      <c r="AZ567" s="91" t="s">
        <v>1536</v>
      </c>
      <c r="BA567" s="154" t="s">
        <v>1542</v>
      </c>
      <c r="BC567" s="90">
        <f t="shared" si="600"/>
        <v>0</v>
      </c>
      <c r="BD567" s="90">
        <f t="shared" si="601"/>
        <v>0</v>
      </c>
      <c r="BE567" s="90">
        <v>0</v>
      </c>
      <c r="BF567" s="90">
        <f t="shared" si="602"/>
        <v>0</v>
      </c>
      <c r="BH567" s="90">
        <f t="shared" si="603"/>
        <v>0</v>
      </c>
      <c r="BI567" s="90">
        <f t="shared" si="604"/>
        <v>0</v>
      </c>
      <c r="BJ567" s="90">
        <f t="shared" si="605"/>
        <v>0</v>
      </c>
    </row>
    <row r="568" spans="1:62" ht="12.75">
      <c r="A568" s="88" t="s">
        <v>1807</v>
      </c>
      <c r="B568" s="88" t="s">
        <v>60</v>
      </c>
      <c r="C568" s="88" t="s">
        <v>1149</v>
      </c>
      <c r="D568" s="88" t="s">
        <v>1457</v>
      </c>
      <c r="E568" s="88" t="s">
        <v>606</v>
      </c>
      <c r="F568" s="90">
        <v>3</v>
      </c>
      <c r="G568" s="90">
        <f>'Stavební rozpočet (SO 13)'!G412</f>
        <v>0</v>
      </c>
      <c r="H568" s="90">
        <f t="shared" si="580"/>
        <v>0</v>
      </c>
      <c r="I568" s="90">
        <f t="shared" si="581"/>
        <v>0</v>
      </c>
      <c r="J568" s="90">
        <f t="shared" si="582"/>
        <v>0</v>
      </c>
      <c r="K568" s="90">
        <v>0</v>
      </c>
      <c r="L568" s="90">
        <f t="shared" si="583"/>
        <v>0</v>
      </c>
      <c r="M568" s="91" t="s">
        <v>622</v>
      </c>
      <c r="O568" s="90"/>
      <c r="P568" s="90"/>
      <c r="Z568" s="90">
        <f t="shared" si="584"/>
        <v>0</v>
      </c>
      <c r="AB568" s="90">
        <f t="shared" si="585"/>
        <v>0</v>
      </c>
      <c r="AC568" s="90">
        <f t="shared" si="586"/>
        <v>0</v>
      </c>
      <c r="AD568" s="90">
        <f t="shared" si="587"/>
        <v>0</v>
      </c>
      <c r="AE568" s="90">
        <f t="shared" si="588"/>
        <v>0</v>
      </c>
      <c r="AF568" s="90">
        <f t="shared" si="589"/>
        <v>0</v>
      </c>
      <c r="AG568" s="90">
        <f t="shared" si="590"/>
        <v>0</v>
      </c>
      <c r="AH568" s="90">
        <f t="shared" si="591"/>
        <v>0</v>
      </c>
      <c r="AI568" s="154" t="s">
        <v>60</v>
      </c>
      <c r="AJ568" s="90">
        <f t="shared" si="592"/>
        <v>0</v>
      </c>
      <c r="AK568" s="90">
        <f t="shared" si="593"/>
        <v>0</v>
      </c>
      <c r="AL568" s="90">
        <f t="shared" si="594"/>
        <v>0</v>
      </c>
      <c r="AN568" s="90">
        <v>21</v>
      </c>
      <c r="AO568" s="90">
        <f t="shared" si="595"/>
        <v>0</v>
      </c>
      <c r="AP568" s="90">
        <f t="shared" si="596"/>
        <v>0</v>
      </c>
      <c r="AQ568" s="91" t="s">
        <v>79</v>
      </c>
      <c r="AV568" s="90">
        <f t="shared" si="597"/>
        <v>0</v>
      </c>
      <c r="AW568" s="90">
        <f t="shared" si="598"/>
        <v>0</v>
      </c>
      <c r="AX568" s="90">
        <f t="shared" si="599"/>
        <v>0</v>
      </c>
      <c r="AY568" s="91" t="s">
        <v>649</v>
      </c>
      <c r="AZ568" s="91" t="s">
        <v>1536</v>
      </c>
      <c r="BA568" s="154" t="s">
        <v>1542</v>
      </c>
      <c r="BC568" s="90">
        <f t="shared" si="600"/>
        <v>0</v>
      </c>
      <c r="BD568" s="90">
        <f t="shared" si="601"/>
        <v>0</v>
      </c>
      <c r="BE568" s="90">
        <v>0</v>
      </c>
      <c r="BF568" s="90">
        <f t="shared" si="602"/>
        <v>0</v>
      </c>
      <c r="BH568" s="90">
        <f t="shared" si="603"/>
        <v>0</v>
      </c>
      <c r="BI568" s="90">
        <f t="shared" si="604"/>
        <v>0</v>
      </c>
      <c r="BJ568" s="90">
        <f t="shared" si="605"/>
        <v>0</v>
      </c>
    </row>
    <row r="569" spans="1:62" ht="12.75">
      <c r="A569" s="88" t="s">
        <v>1808</v>
      </c>
      <c r="B569" s="88" t="s">
        <v>60</v>
      </c>
      <c r="C569" s="88" t="s">
        <v>1150</v>
      </c>
      <c r="D569" s="88" t="s">
        <v>1458</v>
      </c>
      <c r="E569" s="88" t="s">
        <v>609</v>
      </c>
      <c r="F569" s="90">
        <v>2</v>
      </c>
      <c r="G569" s="90">
        <f>'Stavební rozpočet (SO 13)'!G413</f>
        <v>0</v>
      </c>
      <c r="H569" s="90">
        <f t="shared" si="580"/>
        <v>0</v>
      </c>
      <c r="I569" s="90">
        <f t="shared" si="581"/>
        <v>0</v>
      </c>
      <c r="J569" s="90">
        <f t="shared" si="582"/>
        <v>0</v>
      </c>
      <c r="K569" s="90">
        <v>0</v>
      </c>
      <c r="L569" s="90">
        <f t="shared" si="583"/>
        <v>0</v>
      </c>
      <c r="M569" s="91" t="s">
        <v>622</v>
      </c>
      <c r="O569" s="90"/>
      <c r="P569" s="90"/>
      <c r="Z569" s="90">
        <f t="shared" si="584"/>
        <v>0</v>
      </c>
      <c r="AB569" s="90">
        <f t="shared" si="585"/>
        <v>0</v>
      </c>
      <c r="AC569" s="90">
        <f t="shared" si="586"/>
        <v>0</v>
      </c>
      <c r="AD569" s="90">
        <f t="shared" si="587"/>
        <v>0</v>
      </c>
      <c r="AE569" s="90">
        <f t="shared" si="588"/>
        <v>0</v>
      </c>
      <c r="AF569" s="90">
        <f t="shared" si="589"/>
        <v>0</v>
      </c>
      <c r="AG569" s="90">
        <f t="shared" si="590"/>
        <v>0</v>
      </c>
      <c r="AH569" s="90">
        <f t="shared" si="591"/>
        <v>0</v>
      </c>
      <c r="AI569" s="154" t="s">
        <v>60</v>
      </c>
      <c r="AJ569" s="90">
        <f t="shared" si="592"/>
        <v>0</v>
      </c>
      <c r="AK569" s="90">
        <f t="shared" si="593"/>
        <v>0</v>
      </c>
      <c r="AL569" s="90">
        <f t="shared" si="594"/>
        <v>0</v>
      </c>
      <c r="AN569" s="90">
        <v>21</v>
      </c>
      <c r="AO569" s="90">
        <f t="shared" si="595"/>
        <v>0</v>
      </c>
      <c r="AP569" s="90">
        <f t="shared" si="596"/>
        <v>0</v>
      </c>
      <c r="AQ569" s="91" t="s">
        <v>79</v>
      </c>
      <c r="AV569" s="90">
        <f t="shared" si="597"/>
        <v>0</v>
      </c>
      <c r="AW569" s="90">
        <f t="shared" si="598"/>
        <v>0</v>
      </c>
      <c r="AX569" s="90">
        <f t="shared" si="599"/>
        <v>0</v>
      </c>
      <c r="AY569" s="91" t="s">
        <v>649</v>
      </c>
      <c r="AZ569" s="91" t="s">
        <v>1536</v>
      </c>
      <c r="BA569" s="154" t="s">
        <v>1542</v>
      </c>
      <c r="BC569" s="90">
        <f t="shared" si="600"/>
        <v>0</v>
      </c>
      <c r="BD569" s="90">
        <f t="shared" si="601"/>
        <v>0</v>
      </c>
      <c r="BE569" s="90">
        <v>0</v>
      </c>
      <c r="BF569" s="90">
        <f t="shared" si="602"/>
        <v>0</v>
      </c>
      <c r="BH569" s="90">
        <f t="shared" si="603"/>
        <v>0</v>
      </c>
      <c r="BI569" s="90">
        <f t="shared" si="604"/>
        <v>0</v>
      </c>
      <c r="BJ569" s="90">
        <f t="shared" si="605"/>
        <v>0</v>
      </c>
    </row>
    <row r="570" spans="1:62" ht="12.75">
      <c r="A570" s="88" t="s">
        <v>1809</v>
      </c>
      <c r="B570" s="88" t="s">
        <v>60</v>
      </c>
      <c r="C570" s="88" t="s">
        <v>1151</v>
      </c>
      <c r="D570" s="88" t="s">
        <v>1459</v>
      </c>
      <c r="E570" s="88" t="s">
        <v>609</v>
      </c>
      <c r="F570" s="90">
        <v>2</v>
      </c>
      <c r="G570" s="90">
        <f>'Stavební rozpočet (SO 13)'!G414</f>
        <v>0</v>
      </c>
      <c r="H570" s="90">
        <f t="shared" si="580"/>
        <v>0</v>
      </c>
      <c r="I570" s="90">
        <f t="shared" si="581"/>
        <v>0</v>
      </c>
      <c r="J570" s="90">
        <f t="shared" si="582"/>
        <v>0</v>
      </c>
      <c r="K570" s="90">
        <v>0</v>
      </c>
      <c r="L570" s="90">
        <f t="shared" si="583"/>
        <v>0</v>
      </c>
      <c r="M570" s="91" t="s">
        <v>622</v>
      </c>
      <c r="O570" s="90"/>
      <c r="P570" s="90"/>
      <c r="Z570" s="90">
        <f t="shared" si="584"/>
        <v>0</v>
      </c>
      <c r="AB570" s="90">
        <f t="shared" si="585"/>
        <v>0</v>
      </c>
      <c r="AC570" s="90">
        <f t="shared" si="586"/>
        <v>0</v>
      </c>
      <c r="AD570" s="90">
        <f t="shared" si="587"/>
        <v>0</v>
      </c>
      <c r="AE570" s="90">
        <f t="shared" si="588"/>
        <v>0</v>
      </c>
      <c r="AF570" s="90">
        <f t="shared" si="589"/>
        <v>0</v>
      </c>
      <c r="AG570" s="90">
        <f t="shared" si="590"/>
        <v>0</v>
      </c>
      <c r="AH570" s="90">
        <f t="shared" si="591"/>
        <v>0</v>
      </c>
      <c r="AI570" s="154" t="s">
        <v>60</v>
      </c>
      <c r="AJ570" s="90">
        <f t="shared" si="592"/>
        <v>0</v>
      </c>
      <c r="AK570" s="90">
        <f t="shared" si="593"/>
        <v>0</v>
      </c>
      <c r="AL570" s="90">
        <f t="shared" si="594"/>
        <v>0</v>
      </c>
      <c r="AN570" s="90">
        <v>21</v>
      </c>
      <c r="AO570" s="90">
        <f t="shared" si="595"/>
        <v>0</v>
      </c>
      <c r="AP570" s="90">
        <f t="shared" si="596"/>
        <v>0</v>
      </c>
      <c r="AQ570" s="91" t="s">
        <v>79</v>
      </c>
      <c r="AV570" s="90">
        <f t="shared" si="597"/>
        <v>0</v>
      </c>
      <c r="AW570" s="90">
        <f t="shared" si="598"/>
        <v>0</v>
      </c>
      <c r="AX570" s="90">
        <f t="shared" si="599"/>
        <v>0</v>
      </c>
      <c r="AY570" s="91" t="s">
        <v>649</v>
      </c>
      <c r="AZ570" s="91" t="s">
        <v>1536</v>
      </c>
      <c r="BA570" s="154" t="s">
        <v>1542</v>
      </c>
      <c r="BC570" s="90">
        <f t="shared" si="600"/>
        <v>0</v>
      </c>
      <c r="BD570" s="90">
        <f t="shared" si="601"/>
        <v>0</v>
      </c>
      <c r="BE570" s="90">
        <v>0</v>
      </c>
      <c r="BF570" s="90">
        <f t="shared" si="602"/>
        <v>0</v>
      </c>
      <c r="BH570" s="90">
        <f t="shared" si="603"/>
        <v>0</v>
      </c>
      <c r="BI570" s="90">
        <f t="shared" si="604"/>
        <v>0</v>
      </c>
      <c r="BJ570" s="90">
        <f t="shared" si="605"/>
        <v>0</v>
      </c>
    </row>
    <row r="571" spans="1:62" ht="12.75">
      <c r="A571" s="88" t="s">
        <v>1810</v>
      </c>
      <c r="B571" s="88" t="s">
        <v>60</v>
      </c>
      <c r="C571" s="88" t="s">
        <v>1152</v>
      </c>
      <c r="D571" s="88" t="s">
        <v>1460</v>
      </c>
      <c r="E571" s="88" t="s">
        <v>609</v>
      </c>
      <c r="F571" s="90">
        <v>55</v>
      </c>
      <c r="G571" s="90">
        <f>'Stavební rozpočet (SO 13)'!G415</f>
        <v>0</v>
      </c>
      <c r="H571" s="90">
        <f t="shared" si="580"/>
        <v>0</v>
      </c>
      <c r="I571" s="90">
        <f t="shared" si="581"/>
        <v>0</v>
      </c>
      <c r="J571" s="90">
        <f t="shared" si="582"/>
        <v>0</v>
      </c>
      <c r="K571" s="90">
        <v>0</v>
      </c>
      <c r="L571" s="90">
        <f t="shared" si="583"/>
        <v>0</v>
      </c>
      <c r="M571" s="91" t="s">
        <v>622</v>
      </c>
      <c r="O571" s="90"/>
      <c r="P571" s="90"/>
      <c r="Z571" s="90">
        <f t="shared" si="584"/>
        <v>0</v>
      </c>
      <c r="AB571" s="90">
        <f t="shared" si="585"/>
        <v>0</v>
      </c>
      <c r="AC571" s="90">
        <f t="shared" si="586"/>
        <v>0</v>
      </c>
      <c r="AD571" s="90">
        <f t="shared" si="587"/>
        <v>0</v>
      </c>
      <c r="AE571" s="90">
        <f t="shared" si="588"/>
        <v>0</v>
      </c>
      <c r="AF571" s="90">
        <f t="shared" si="589"/>
        <v>0</v>
      </c>
      <c r="AG571" s="90">
        <f t="shared" si="590"/>
        <v>0</v>
      </c>
      <c r="AH571" s="90">
        <f t="shared" si="591"/>
        <v>0</v>
      </c>
      <c r="AI571" s="154" t="s">
        <v>60</v>
      </c>
      <c r="AJ571" s="90">
        <f t="shared" si="592"/>
        <v>0</v>
      </c>
      <c r="AK571" s="90">
        <f t="shared" si="593"/>
        <v>0</v>
      </c>
      <c r="AL571" s="90">
        <f t="shared" si="594"/>
        <v>0</v>
      </c>
      <c r="AN571" s="90">
        <v>21</v>
      </c>
      <c r="AO571" s="90">
        <f t="shared" si="595"/>
        <v>0</v>
      </c>
      <c r="AP571" s="90">
        <f t="shared" si="596"/>
        <v>0</v>
      </c>
      <c r="AQ571" s="91" t="s">
        <v>79</v>
      </c>
      <c r="AV571" s="90">
        <f t="shared" si="597"/>
        <v>0</v>
      </c>
      <c r="AW571" s="90">
        <f t="shared" si="598"/>
        <v>0</v>
      </c>
      <c r="AX571" s="90">
        <f t="shared" si="599"/>
        <v>0</v>
      </c>
      <c r="AY571" s="91" t="s">
        <v>649</v>
      </c>
      <c r="AZ571" s="91" t="s">
        <v>1536</v>
      </c>
      <c r="BA571" s="154" t="s">
        <v>1542</v>
      </c>
      <c r="BC571" s="90">
        <f t="shared" si="600"/>
        <v>0</v>
      </c>
      <c r="BD571" s="90">
        <f t="shared" si="601"/>
        <v>0</v>
      </c>
      <c r="BE571" s="90">
        <v>0</v>
      </c>
      <c r="BF571" s="90">
        <f t="shared" si="602"/>
        <v>0</v>
      </c>
      <c r="BH571" s="90">
        <f t="shared" si="603"/>
        <v>0</v>
      </c>
      <c r="BI571" s="90">
        <f t="shared" si="604"/>
        <v>0</v>
      </c>
      <c r="BJ571" s="90">
        <f t="shared" si="605"/>
        <v>0</v>
      </c>
    </row>
    <row r="572" spans="1:62" ht="12.75">
      <c r="A572" s="88" t="s">
        <v>1811</v>
      </c>
      <c r="B572" s="88" t="s">
        <v>60</v>
      </c>
      <c r="C572" s="88" t="s">
        <v>1153</v>
      </c>
      <c r="D572" s="88" t="s">
        <v>1461</v>
      </c>
      <c r="E572" s="88" t="s">
        <v>609</v>
      </c>
      <c r="F572" s="90">
        <v>55</v>
      </c>
      <c r="G572" s="90">
        <f>'Stavební rozpočet (SO 13)'!G416</f>
        <v>0</v>
      </c>
      <c r="H572" s="90">
        <f t="shared" si="580"/>
        <v>0</v>
      </c>
      <c r="I572" s="90">
        <f t="shared" si="581"/>
        <v>0</v>
      </c>
      <c r="J572" s="90">
        <f t="shared" si="582"/>
        <v>0</v>
      </c>
      <c r="K572" s="90">
        <v>0</v>
      </c>
      <c r="L572" s="90">
        <f t="shared" si="583"/>
        <v>0</v>
      </c>
      <c r="M572" s="91" t="s">
        <v>622</v>
      </c>
      <c r="O572" s="90"/>
      <c r="P572" s="90"/>
      <c r="Z572" s="90">
        <f t="shared" si="584"/>
        <v>0</v>
      </c>
      <c r="AB572" s="90">
        <f t="shared" si="585"/>
        <v>0</v>
      </c>
      <c r="AC572" s="90">
        <f t="shared" si="586"/>
        <v>0</v>
      </c>
      <c r="AD572" s="90">
        <f t="shared" si="587"/>
        <v>0</v>
      </c>
      <c r="AE572" s="90">
        <f t="shared" si="588"/>
        <v>0</v>
      </c>
      <c r="AF572" s="90">
        <f t="shared" si="589"/>
        <v>0</v>
      </c>
      <c r="AG572" s="90">
        <f t="shared" si="590"/>
        <v>0</v>
      </c>
      <c r="AH572" s="90">
        <f t="shared" si="591"/>
        <v>0</v>
      </c>
      <c r="AI572" s="154" t="s">
        <v>60</v>
      </c>
      <c r="AJ572" s="90">
        <f t="shared" si="592"/>
        <v>0</v>
      </c>
      <c r="AK572" s="90">
        <f t="shared" si="593"/>
        <v>0</v>
      </c>
      <c r="AL572" s="90">
        <f t="shared" si="594"/>
        <v>0</v>
      </c>
      <c r="AN572" s="90">
        <v>21</v>
      </c>
      <c r="AO572" s="90">
        <f t="shared" si="595"/>
        <v>0</v>
      </c>
      <c r="AP572" s="90">
        <f t="shared" si="596"/>
        <v>0</v>
      </c>
      <c r="AQ572" s="91" t="s">
        <v>79</v>
      </c>
      <c r="AV572" s="90">
        <f t="shared" si="597"/>
        <v>0</v>
      </c>
      <c r="AW572" s="90">
        <f t="shared" si="598"/>
        <v>0</v>
      </c>
      <c r="AX572" s="90">
        <f t="shared" si="599"/>
        <v>0</v>
      </c>
      <c r="AY572" s="91" t="s">
        <v>649</v>
      </c>
      <c r="AZ572" s="91" t="s">
        <v>1536</v>
      </c>
      <c r="BA572" s="154" t="s">
        <v>1542</v>
      </c>
      <c r="BC572" s="90">
        <f t="shared" si="600"/>
        <v>0</v>
      </c>
      <c r="BD572" s="90">
        <f t="shared" si="601"/>
        <v>0</v>
      </c>
      <c r="BE572" s="90">
        <v>0</v>
      </c>
      <c r="BF572" s="90">
        <f t="shared" si="602"/>
        <v>0</v>
      </c>
      <c r="BH572" s="90">
        <f t="shared" si="603"/>
        <v>0</v>
      </c>
      <c r="BI572" s="90">
        <f t="shared" si="604"/>
        <v>0</v>
      </c>
      <c r="BJ572" s="90">
        <f t="shared" si="605"/>
        <v>0</v>
      </c>
    </row>
    <row r="573" spans="1:62" ht="12.75">
      <c r="A573" s="88" t="s">
        <v>1812</v>
      </c>
      <c r="B573" s="88" t="s">
        <v>60</v>
      </c>
      <c r="C573" s="88" t="s">
        <v>1154</v>
      </c>
      <c r="D573" s="88" t="s">
        <v>1462</v>
      </c>
      <c r="E573" s="88" t="s">
        <v>609</v>
      </c>
      <c r="F573" s="90">
        <v>40</v>
      </c>
      <c r="G573" s="90">
        <f>'Stavební rozpočet (SO 13)'!G417</f>
        <v>0</v>
      </c>
      <c r="H573" s="90">
        <f t="shared" si="580"/>
        <v>0</v>
      </c>
      <c r="I573" s="90">
        <f t="shared" si="581"/>
        <v>0</v>
      </c>
      <c r="J573" s="90">
        <f t="shared" si="582"/>
        <v>0</v>
      </c>
      <c r="K573" s="90">
        <v>0</v>
      </c>
      <c r="L573" s="90">
        <f t="shared" si="583"/>
        <v>0</v>
      </c>
      <c r="M573" s="91" t="s">
        <v>622</v>
      </c>
      <c r="O573" s="90"/>
      <c r="P573" s="90"/>
      <c r="Z573" s="90">
        <f t="shared" si="584"/>
        <v>0</v>
      </c>
      <c r="AB573" s="90">
        <f t="shared" si="585"/>
        <v>0</v>
      </c>
      <c r="AC573" s="90">
        <f t="shared" si="586"/>
        <v>0</v>
      </c>
      <c r="AD573" s="90">
        <f t="shared" si="587"/>
        <v>0</v>
      </c>
      <c r="AE573" s="90">
        <f t="shared" si="588"/>
        <v>0</v>
      </c>
      <c r="AF573" s="90">
        <f t="shared" si="589"/>
        <v>0</v>
      </c>
      <c r="AG573" s="90">
        <f t="shared" si="590"/>
        <v>0</v>
      </c>
      <c r="AH573" s="90">
        <f t="shared" si="591"/>
        <v>0</v>
      </c>
      <c r="AI573" s="154" t="s">
        <v>60</v>
      </c>
      <c r="AJ573" s="90">
        <f t="shared" si="592"/>
        <v>0</v>
      </c>
      <c r="AK573" s="90">
        <f t="shared" si="593"/>
        <v>0</v>
      </c>
      <c r="AL573" s="90">
        <f t="shared" si="594"/>
        <v>0</v>
      </c>
      <c r="AN573" s="90">
        <v>21</v>
      </c>
      <c r="AO573" s="90">
        <f t="shared" si="595"/>
        <v>0</v>
      </c>
      <c r="AP573" s="90">
        <f t="shared" si="596"/>
        <v>0</v>
      </c>
      <c r="AQ573" s="91" t="s">
        <v>79</v>
      </c>
      <c r="AV573" s="90">
        <f t="shared" si="597"/>
        <v>0</v>
      </c>
      <c r="AW573" s="90">
        <f t="shared" si="598"/>
        <v>0</v>
      </c>
      <c r="AX573" s="90">
        <f t="shared" si="599"/>
        <v>0</v>
      </c>
      <c r="AY573" s="91" t="s">
        <v>649</v>
      </c>
      <c r="AZ573" s="91" t="s">
        <v>1536</v>
      </c>
      <c r="BA573" s="154" t="s">
        <v>1542</v>
      </c>
      <c r="BC573" s="90">
        <f t="shared" si="600"/>
        <v>0</v>
      </c>
      <c r="BD573" s="90">
        <f t="shared" si="601"/>
        <v>0</v>
      </c>
      <c r="BE573" s="90">
        <v>0</v>
      </c>
      <c r="BF573" s="90">
        <f t="shared" si="602"/>
        <v>0</v>
      </c>
      <c r="BH573" s="90">
        <f t="shared" si="603"/>
        <v>0</v>
      </c>
      <c r="BI573" s="90">
        <f t="shared" si="604"/>
        <v>0</v>
      </c>
      <c r="BJ573" s="90">
        <f t="shared" si="605"/>
        <v>0</v>
      </c>
    </row>
    <row r="574" spans="1:62" ht="12.75">
      <c r="A574" s="88" t="s">
        <v>1813</v>
      </c>
      <c r="B574" s="88" t="s">
        <v>60</v>
      </c>
      <c r="C574" s="88" t="s">
        <v>1155</v>
      </c>
      <c r="D574" s="88" t="s">
        <v>1463</v>
      </c>
      <c r="E574" s="88" t="s">
        <v>609</v>
      </c>
      <c r="F574" s="90">
        <v>40</v>
      </c>
      <c r="G574" s="90">
        <f>'Stavební rozpočet (SO 13)'!G418</f>
        <v>0</v>
      </c>
      <c r="H574" s="90">
        <f t="shared" si="580"/>
        <v>0</v>
      </c>
      <c r="I574" s="90">
        <f t="shared" si="581"/>
        <v>0</v>
      </c>
      <c r="J574" s="90">
        <f t="shared" si="582"/>
        <v>0</v>
      </c>
      <c r="K574" s="90">
        <v>0</v>
      </c>
      <c r="L574" s="90">
        <f t="shared" si="583"/>
        <v>0</v>
      </c>
      <c r="M574" s="91" t="s">
        <v>622</v>
      </c>
      <c r="O574" s="90"/>
      <c r="P574" s="90"/>
      <c r="Z574" s="90">
        <f t="shared" si="584"/>
        <v>0</v>
      </c>
      <c r="AB574" s="90">
        <f t="shared" si="585"/>
        <v>0</v>
      </c>
      <c r="AC574" s="90">
        <f t="shared" si="586"/>
        <v>0</v>
      </c>
      <c r="AD574" s="90">
        <f t="shared" si="587"/>
        <v>0</v>
      </c>
      <c r="AE574" s="90">
        <f t="shared" si="588"/>
        <v>0</v>
      </c>
      <c r="AF574" s="90">
        <f t="shared" si="589"/>
        <v>0</v>
      </c>
      <c r="AG574" s="90">
        <f t="shared" si="590"/>
        <v>0</v>
      </c>
      <c r="AH574" s="90">
        <f t="shared" si="591"/>
        <v>0</v>
      </c>
      <c r="AI574" s="154" t="s">
        <v>60</v>
      </c>
      <c r="AJ574" s="90">
        <f t="shared" si="592"/>
        <v>0</v>
      </c>
      <c r="AK574" s="90">
        <f t="shared" si="593"/>
        <v>0</v>
      </c>
      <c r="AL574" s="90">
        <f t="shared" si="594"/>
        <v>0</v>
      </c>
      <c r="AN574" s="90">
        <v>21</v>
      </c>
      <c r="AO574" s="90">
        <f t="shared" si="595"/>
        <v>0</v>
      </c>
      <c r="AP574" s="90">
        <f t="shared" si="596"/>
        <v>0</v>
      </c>
      <c r="AQ574" s="91" t="s">
        <v>79</v>
      </c>
      <c r="AV574" s="90">
        <f t="shared" si="597"/>
        <v>0</v>
      </c>
      <c r="AW574" s="90">
        <f t="shared" si="598"/>
        <v>0</v>
      </c>
      <c r="AX574" s="90">
        <f t="shared" si="599"/>
        <v>0</v>
      </c>
      <c r="AY574" s="91" t="s">
        <v>649</v>
      </c>
      <c r="AZ574" s="91" t="s">
        <v>1536</v>
      </c>
      <c r="BA574" s="154" t="s">
        <v>1542</v>
      </c>
      <c r="BC574" s="90">
        <f t="shared" si="600"/>
        <v>0</v>
      </c>
      <c r="BD574" s="90">
        <f t="shared" si="601"/>
        <v>0</v>
      </c>
      <c r="BE574" s="90">
        <v>0</v>
      </c>
      <c r="BF574" s="90">
        <f t="shared" si="602"/>
        <v>0</v>
      </c>
      <c r="BH574" s="90">
        <f t="shared" si="603"/>
        <v>0</v>
      </c>
      <c r="BI574" s="90">
        <f t="shared" si="604"/>
        <v>0</v>
      </c>
      <c r="BJ574" s="90">
        <f t="shared" si="605"/>
        <v>0</v>
      </c>
    </row>
    <row r="575" spans="1:62" ht="12.75">
      <c r="A575" s="88" t="s">
        <v>1814</v>
      </c>
      <c r="B575" s="88" t="s">
        <v>60</v>
      </c>
      <c r="C575" s="88" t="s">
        <v>397</v>
      </c>
      <c r="D575" s="88" t="s">
        <v>583</v>
      </c>
      <c r="E575" s="88" t="s">
        <v>609</v>
      </c>
      <c r="F575" s="90">
        <v>2069</v>
      </c>
      <c r="G575" s="90">
        <f>'Stavební rozpočet (SO 13)'!G419</f>
        <v>0</v>
      </c>
      <c r="H575" s="90">
        <f t="shared" si="580"/>
        <v>0</v>
      </c>
      <c r="I575" s="90">
        <f t="shared" si="581"/>
        <v>0</v>
      </c>
      <c r="J575" s="90">
        <f t="shared" si="582"/>
        <v>0</v>
      </c>
      <c r="K575" s="90">
        <v>0</v>
      </c>
      <c r="L575" s="90">
        <f t="shared" si="583"/>
        <v>0</v>
      </c>
      <c r="M575" s="91" t="s">
        <v>622</v>
      </c>
      <c r="O575" s="90"/>
      <c r="P575" s="90"/>
      <c r="Z575" s="90">
        <f t="shared" si="584"/>
        <v>0</v>
      </c>
      <c r="AB575" s="90">
        <f t="shared" si="585"/>
        <v>0</v>
      </c>
      <c r="AC575" s="90">
        <f t="shared" si="586"/>
        <v>0</v>
      </c>
      <c r="AD575" s="90">
        <f t="shared" si="587"/>
        <v>0</v>
      </c>
      <c r="AE575" s="90">
        <f t="shared" si="588"/>
        <v>0</v>
      </c>
      <c r="AF575" s="90">
        <f t="shared" si="589"/>
        <v>0</v>
      </c>
      <c r="AG575" s="90">
        <f t="shared" si="590"/>
        <v>0</v>
      </c>
      <c r="AH575" s="90">
        <f t="shared" si="591"/>
        <v>0</v>
      </c>
      <c r="AI575" s="154" t="s">
        <v>60</v>
      </c>
      <c r="AJ575" s="90">
        <f t="shared" si="592"/>
        <v>0</v>
      </c>
      <c r="AK575" s="90">
        <f t="shared" si="593"/>
        <v>0</v>
      </c>
      <c r="AL575" s="90">
        <f t="shared" si="594"/>
        <v>0</v>
      </c>
      <c r="AN575" s="90">
        <v>21</v>
      </c>
      <c r="AO575" s="90">
        <f t="shared" si="595"/>
        <v>0</v>
      </c>
      <c r="AP575" s="90">
        <f t="shared" si="596"/>
        <v>0</v>
      </c>
      <c r="AQ575" s="91" t="s">
        <v>79</v>
      </c>
      <c r="AV575" s="90">
        <f t="shared" si="597"/>
        <v>0</v>
      </c>
      <c r="AW575" s="90">
        <f t="shared" si="598"/>
        <v>0</v>
      </c>
      <c r="AX575" s="90">
        <f t="shared" si="599"/>
        <v>0</v>
      </c>
      <c r="AY575" s="91" t="s">
        <v>649</v>
      </c>
      <c r="AZ575" s="91" t="s">
        <v>1536</v>
      </c>
      <c r="BA575" s="154" t="s">
        <v>1542</v>
      </c>
      <c r="BC575" s="90">
        <f t="shared" si="600"/>
        <v>0</v>
      </c>
      <c r="BD575" s="90">
        <f t="shared" si="601"/>
        <v>0</v>
      </c>
      <c r="BE575" s="90">
        <v>0</v>
      </c>
      <c r="BF575" s="90">
        <f t="shared" si="602"/>
        <v>0</v>
      </c>
      <c r="BH575" s="90">
        <f t="shared" si="603"/>
        <v>0</v>
      </c>
      <c r="BI575" s="90">
        <f t="shared" si="604"/>
        <v>0</v>
      </c>
      <c r="BJ575" s="90">
        <f t="shared" si="605"/>
        <v>0</v>
      </c>
    </row>
    <row r="576" spans="1:62" ht="12.75">
      <c r="A576" s="88" t="s">
        <v>1815</v>
      </c>
      <c r="B576" s="88" t="s">
        <v>60</v>
      </c>
      <c r="C576" s="88" t="s">
        <v>398</v>
      </c>
      <c r="D576" s="88" t="s">
        <v>584</v>
      </c>
      <c r="E576" s="88" t="s">
        <v>609</v>
      </c>
      <c r="F576" s="90">
        <v>570</v>
      </c>
      <c r="G576" s="90">
        <f>'Stavební rozpočet (SO 13)'!G420</f>
        <v>0</v>
      </c>
      <c r="H576" s="90">
        <f aca="true" t="shared" si="606" ref="H576:H607">F576*AO576</f>
        <v>0</v>
      </c>
      <c r="I576" s="90">
        <f aca="true" t="shared" si="607" ref="I576:I607">F576*AP576</f>
        <v>0</v>
      </c>
      <c r="J576" s="90">
        <f aca="true" t="shared" si="608" ref="J576:J607">F576*G576</f>
        <v>0</v>
      </c>
      <c r="K576" s="90">
        <v>0</v>
      </c>
      <c r="L576" s="90">
        <f aca="true" t="shared" si="609" ref="L576:L607">F576*K576</f>
        <v>0</v>
      </c>
      <c r="M576" s="91" t="s">
        <v>622</v>
      </c>
      <c r="O576" s="90"/>
      <c r="P576" s="90"/>
      <c r="Z576" s="90">
        <f aca="true" t="shared" si="610" ref="Z576:Z607">IF(AQ576="5",BJ576,0)</f>
        <v>0</v>
      </c>
      <c r="AB576" s="90">
        <f aca="true" t="shared" si="611" ref="AB576:AB607">IF(AQ576="1",BH576,0)</f>
        <v>0</v>
      </c>
      <c r="AC576" s="90">
        <f aca="true" t="shared" si="612" ref="AC576:AC607">IF(AQ576="1",BI576,0)</f>
        <v>0</v>
      </c>
      <c r="AD576" s="90">
        <f aca="true" t="shared" si="613" ref="AD576:AD607">IF(AQ576="7",BH576,0)</f>
        <v>0</v>
      </c>
      <c r="AE576" s="90">
        <f aca="true" t="shared" si="614" ref="AE576:AE607">IF(AQ576="7",BI576,0)</f>
        <v>0</v>
      </c>
      <c r="AF576" s="90">
        <f aca="true" t="shared" si="615" ref="AF576:AF607">IF(AQ576="2",BH576,0)</f>
        <v>0</v>
      </c>
      <c r="AG576" s="90">
        <f aca="true" t="shared" si="616" ref="AG576:AG607">IF(AQ576="2",BI576,0)</f>
        <v>0</v>
      </c>
      <c r="AH576" s="90">
        <f aca="true" t="shared" si="617" ref="AH576:AH607">IF(AQ576="0",BJ576,0)</f>
        <v>0</v>
      </c>
      <c r="AI576" s="154" t="s">
        <v>60</v>
      </c>
      <c r="AJ576" s="90">
        <f aca="true" t="shared" si="618" ref="AJ576:AJ607">IF(AN576=0,J576,0)</f>
        <v>0</v>
      </c>
      <c r="AK576" s="90">
        <f aca="true" t="shared" si="619" ref="AK576:AK607">IF(AN576=15,J576,0)</f>
        <v>0</v>
      </c>
      <c r="AL576" s="90">
        <f aca="true" t="shared" si="620" ref="AL576:AL607">IF(AN576=21,J576,0)</f>
        <v>0</v>
      </c>
      <c r="AN576" s="90">
        <v>21</v>
      </c>
      <c r="AO576" s="90">
        <f aca="true" t="shared" si="621" ref="AO576:AO607">G576*0</f>
        <v>0</v>
      </c>
      <c r="AP576" s="90">
        <f aca="true" t="shared" si="622" ref="AP576:AP607">G576*(1-0)</f>
        <v>0</v>
      </c>
      <c r="AQ576" s="91" t="s">
        <v>79</v>
      </c>
      <c r="AV576" s="90">
        <f aca="true" t="shared" si="623" ref="AV576:AV607">AW576+AX576</f>
        <v>0</v>
      </c>
      <c r="AW576" s="90">
        <f aca="true" t="shared" si="624" ref="AW576:AW607">F576*AO576</f>
        <v>0</v>
      </c>
      <c r="AX576" s="90">
        <f aca="true" t="shared" si="625" ref="AX576:AX607">F576*AP576</f>
        <v>0</v>
      </c>
      <c r="AY576" s="91" t="s">
        <v>649</v>
      </c>
      <c r="AZ576" s="91" t="s">
        <v>1536</v>
      </c>
      <c r="BA576" s="154" t="s">
        <v>1542</v>
      </c>
      <c r="BC576" s="90">
        <f aca="true" t="shared" si="626" ref="BC576:BC607">AW576+AX576</f>
        <v>0</v>
      </c>
      <c r="BD576" s="90">
        <f aca="true" t="shared" si="627" ref="BD576:BD607">G576/(100-BE576)*100</f>
        <v>0</v>
      </c>
      <c r="BE576" s="90">
        <v>0</v>
      </c>
      <c r="BF576" s="90">
        <f aca="true" t="shared" si="628" ref="BF576:BF607">L576</f>
        <v>0</v>
      </c>
      <c r="BH576" s="90">
        <f aca="true" t="shared" si="629" ref="BH576:BH607">F576*AO576</f>
        <v>0</v>
      </c>
      <c r="BI576" s="90">
        <f aca="true" t="shared" si="630" ref="BI576:BI607">F576*AP576</f>
        <v>0</v>
      </c>
      <c r="BJ576" s="90">
        <f aca="true" t="shared" si="631" ref="BJ576:BJ607">F576*G576</f>
        <v>0</v>
      </c>
    </row>
    <row r="577" spans="1:62" ht="12.75">
      <c r="A577" s="88" t="s">
        <v>1816</v>
      </c>
      <c r="B577" s="88" t="s">
        <v>60</v>
      </c>
      <c r="C577" s="88" t="s">
        <v>1156</v>
      </c>
      <c r="D577" s="88" t="s">
        <v>1464</v>
      </c>
      <c r="E577" s="88" t="s">
        <v>609</v>
      </c>
      <c r="F577" s="90">
        <v>24</v>
      </c>
      <c r="G577" s="90">
        <f>'Stavební rozpočet (SO 13)'!G421</f>
        <v>0</v>
      </c>
      <c r="H577" s="90">
        <f t="shared" si="606"/>
        <v>0</v>
      </c>
      <c r="I577" s="90">
        <f t="shared" si="607"/>
        <v>0</v>
      </c>
      <c r="J577" s="90">
        <f t="shared" si="608"/>
        <v>0</v>
      </c>
      <c r="K577" s="90">
        <v>0</v>
      </c>
      <c r="L577" s="90">
        <f t="shared" si="609"/>
        <v>0</v>
      </c>
      <c r="M577" s="91" t="s">
        <v>622</v>
      </c>
      <c r="O577" s="90"/>
      <c r="P577" s="90"/>
      <c r="Z577" s="90">
        <f t="shared" si="610"/>
        <v>0</v>
      </c>
      <c r="AB577" s="90">
        <f t="shared" si="611"/>
        <v>0</v>
      </c>
      <c r="AC577" s="90">
        <f t="shared" si="612"/>
        <v>0</v>
      </c>
      <c r="AD577" s="90">
        <f t="shared" si="613"/>
        <v>0</v>
      </c>
      <c r="AE577" s="90">
        <f t="shared" si="614"/>
        <v>0</v>
      </c>
      <c r="AF577" s="90">
        <f t="shared" si="615"/>
        <v>0</v>
      </c>
      <c r="AG577" s="90">
        <f t="shared" si="616"/>
        <v>0</v>
      </c>
      <c r="AH577" s="90">
        <f t="shared" si="617"/>
        <v>0</v>
      </c>
      <c r="AI577" s="154" t="s">
        <v>60</v>
      </c>
      <c r="AJ577" s="90">
        <f t="shared" si="618"/>
        <v>0</v>
      </c>
      <c r="AK577" s="90">
        <f t="shared" si="619"/>
        <v>0</v>
      </c>
      <c r="AL577" s="90">
        <f t="shared" si="620"/>
        <v>0</v>
      </c>
      <c r="AN577" s="90">
        <v>21</v>
      </c>
      <c r="AO577" s="90">
        <f t="shared" si="621"/>
        <v>0</v>
      </c>
      <c r="AP577" s="90">
        <f t="shared" si="622"/>
        <v>0</v>
      </c>
      <c r="AQ577" s="91" t="s">
        <v>79</v>
      </c>
      <c r="AV577" s="90">
        <f t="shared" si="623"/>
        <v>0</v>
      </c>
      <c r="AW577" s="90">
        <f t="shared" si="624"/>
        <v>0</v>
      </c>
      <c r="AX577" s="90">
        <f t="shared" si="625"/>
        <v>0</v>
      </c>
      <c r="AY577" s="91" t="s">
        <v>649</v>
      </c>
      <c r="AZ577" s="91" t="s">
        <v>1536</v>
      </c>
      <c r="BA577" s="154" t="s">
        <v>1542</v>
      </c>
      <c r="BC577" s="90">
        <f t="shared" si="626"/>
        <v>0</v>
      </c>
      <c r="BD577" s="90">
        <f t="shared" si="627"/>
        <v>0</v>
      </c>
      <c r="BE577" s="90">
        <v>0</v>
      </c>
      <c r="BF577" s="90">
        <f t="shared" si="628"/>
        <v>0</v>
      </c>
      <c r="BH577" s="90">
        <f t="shared" si="629"/>
        <v>0</v>
      </c>
      <c r="BI577" s="90">
        <f t="shared" si="630"/>
        <v>0</v>
      </c>
      <c r="BJ577" s="90">
        <f t="shared" si="631"/>
        <v>0</v>
      </c>
    </row>
    <row r="578" spans="1:62" ht="12.75">
      <c r="A578" s="88" t="s">
        <v>1817</v>
      </c>
      <c r="B578" s="88" t="s">
        <v>60</v>
      </c>
      <c r="C578" s="88" t="s">
        <v>1156</v>
      </c>
      <c r="D578" s="88" t="s">
        <v>1465</v>
      </c>
      <c r="E578" s="88" t="s">
        <v>609</v>
      </c>
      <c r="F578" s="90">
        <v>710</v>
      </c>
      <c r="G578" s="90">
        <f>'Stavební rozpočet (SO 13)'!G422</f>
        <v>0</v>
      </c>
      <c r="H578" s="90">
        <f t="shared" si="606"/>
        <v>0</v>
      </c>
      <c r="I578" s="90">
        <f t="shared" si="607"/>
        <v>0</v>
      </c>
      <c r="J578" s="90">
        <f t="shared" si="608"/>
        <v>0</v>
      </c>
      <c r="K578" s="90">
        <v>0</v>
      </c>
      <c r="L578" s="90">
        <f t="shared" si="609"/>
        <v>0</v>
      </c>
      <c r="M578" s="91" t="s">
        <v>622</v>
      </c>
      <c r="O578" s="90"/>
      <c r="P578" s="90"/>
      <c r="Z578" s="90">
        <f t="shared" si="610"/>
        <v>0</v>
      </c>
      <c r="AB578" s="90">
        <f t="shared" si="611"/>
        <v>0</v>
      </c>
      <c r="AC578" s="90">
        <f t="shared" si="612"/>
        <v>0</v>
      </c>
      <c r="AD578" s="90">
        <f t="shared" si="613"/>
        <v>0</v>
      </c>
      <c r="AE578" s="90">
        <f t="shared" si="614"/>
        <v>0</v>
      </c>
      <c r="AF578" s="90">
        <f t="shared" si="615"/>
        <v>0</v>
      </c>
      <c r="AG578" s="90">
        <f t="shared" si="616"/>
        <v>0</v>
      </c>
      <c r="AH578" s="90">
        <f t="shared" si="617"/>
        <v>0</v>
      </c>
      <c r="AI578" s="154" t="s">
        <v>60</v>
      </c>
      <c r="AJ578" s="90">
        <f t="shared" si="618"/>
        <v>0</v>
      </c>
      <c r="AK578" s="90">
        <f t="shared" si="619"/>
        <v>0</v>
      </c>
      <c r="AL578" s="90">
        <f t="shared" si="620"/>
        <v>0</v>
      </c>
      <c r="AN578" s="90">
        <v>21</v>
      </c>
      <c r="AO578" s="90">
        <f t="shared" si="621"/>
        <v>0</v>
      </c>
      <c r="AP578" s="90">
        <f t="shared" si="622"/>
        <v>0</v>
      </c>
      <c r="AQ578" s="91" t="s">
        <v>79</v>
      </c>
      <c r="AV578" s="90">
        <f t="shared" si="623"/>
        <v>0</v>
      </c>
      <c r="AW578" s="90">
        <f t="shared" si="624"/>
        <v>0</v>
      </c>
      <c r="AX578" s="90">
        <f t="shared" si="625"/>
        <v>0</v>
      </c>
      <c r="AY578" s="91" t="s">
        <v>649</v>
      </c>
      <c r="AZ578" s="91" t="s">
        <v>1536</v>
      </c>
      <c r="BA578" s="154" t="s">
        <v>1542</v>
      </c>
      <c r="BC578" s="90">
        <f t="shared" si="626"/>
        <v>0</v>
      </c>
      <c r="BD578" s="90">
        <f t="shared" si="627"/>
        <v>0</v>
      </c>
      <c r="BE578" s="90">
        <v>0</v>
      </c>
      <c r="BF578" s="90">
        <f t="shared" si="628"/>
        <v>0</v>
      </c>
      <c r="BH578" s="90">
        <f t="shared" si="629"/>
        <v>0</v>
      </c>
      <c r="BI578" s="90">
        <f t="shared" si="630"/>
        <v>0</v>
      </c>
      <c r="BJ578" s="90">
        <f t="shared" si="631"/>
        <v>0</v>
      </c>
    </row>
    <row r="579" spans="1:62" ht="12.75">
      <c r="A579" s="88" t="s">
        <v>1818</v>
      </c>
      <c r="B579" s="88" t="s">
        <v>60</v>
      </c>
      <c r="C579" s="88" t="s">
        <v>1157</v>
      </c>
      <c r="D579" s="88" t="s">
        <v>1466</v>
      </c>
      <c r="E579" s="88" t="s">
        <v>609</v>
      </c>
      <c r="F579" s="90">
        <v>35</v>
      </c>
      <c r="G579" s="90">
        <f>'Stavební rozpočet (SO 13)'!G423</f>
        <v>0</v>
      </c>
      <c r="H579" s="90">
        <f t="shared" si="606"/>
        <v>0</v>
      </c>
      <c r="I579" s="90">
        <f t="shared" si="607"/>
        <v>0</v>
      </c>
      <c r="J579" s="90">
        <f t="shared" si="608"/>
        <v>0</v>
      </c>
      <c r="K579" s="90">
        <v>0</v>
      </c>
      <c r="L579" s="90">
        <f t="shared" si="609"/>
        <v>0</v>
      </c>
      <c r="M579" s="91" t="s">
        <v>622</v>
      </c>
      <c r="O579" s="90"/>
      <c r="P579" s="90"/>
      <c r="Z579" s="90">
        <f t="shared" si="610"/>
        <v>0</v>
      </c>
      <c r="AB579" s="90">
        <f t="shared" si="611"/>
        <v>0</v>
      </c>
      <c r="AC579" s="90">
        <f t="shared" si="612"/>
        <v>0</v>
      </c>
      <c r="AD579" s="90">
        <f t="shared" si="613"/>
        <v>0</v>
      </c>
      <c r="AE579" s="90">
        <f t="shared" si="614"/>
        <v>0</v>
      </c>
      <c r="AF579" s="90">
        <f t="shared" si="615"/>
        <v>0</v>
      </c>
      <c r="AG579" s="90">
        <f t="shared" si="616"/>
        <v>0</v>
      </c>
      <c r="AH579" s="90">
        <f t="shared" si="617"/>
        <v>0</v>
      </c>
      <c r="AI579" s="154" t="s">
        <v>60</v>
      </c>
      <c r="AJ579" s="90">
        <f t="shared" si="618"/>
        <v>0</v>
      </c>
      <c r="AK579" s="90">
        <f t="shared" si="619"/>
        <v>0</v>
      </c>
      <c r="AL579" s="90">
        <f t="shared" si="620"/>
        <v>0</v>
      </c>
      <c r="AN579" s="90">
        <v>21</v>
      </c>
      <c r="AO579" s="90">
        <f t="shared" si="621"/>
        <v>0</v>
      </c>
      <c r="AP579" s="90">
        <f t="shared" si="622"/>
        <v>0</v>
      </c>
      <c r="AQ579" s="91" t="s">
        <v>79</v>
      </c>
      <c r="AV579" s="90">
        <f t="shared" si="623"/>
        <v>0</v>
      </c>
      <c r="AW579" s="90">
        <f t="shared" si="624"/>
        <v>0</v>
      </c>
      <c r="AX579" s="90">
        <f t="shared" si="625"/>
        <v>0</v>
      </c>
      <c r="AY579" s="91" t="s">
        <v>649</v>
      </c>
      <c r="AZ579" s="91" t="s">
        <v>1536</v>
      </c>
      <c r="BA579" s="154" t="s">
        <v>1542</v>
      </c>
      <c r="BC579" s="90">
        <f t="shared" si="626"/>
        <v>0</v>
      </c>
      <c r="BD579" s="90">
        <f t="shared" si="627"/>
        <v>0</v>
      </c>
      <c r="BE579" s="90">
        <v>0</v>
      </c>
      <c r="BF579" s="90">
        <f t="shared" si="628"/>
        <v>0</v>
      </c>
      <c r="BH579" s="90">
        <f t="shared" si="629"/>
        <v>0</v>
      </c>
      <c r="BI579" s="90">
        <f t="shared" si="630"/>
        <v>0</v>
      </c>
      <c r="BJ579" s="90">
        <f t="shared" si="631"/>
        <v>0</v>
      </c>
    </row>
    <row r="580" spans="1:62" ht="12.75">
      <c r="A580" s="88" t="s">
        <v>1819</v>
      </c>
      <c r="B580" s="88" t="s">
        <v>60</v>
      </c>
      <c r="C580" s="88" t="s">
        <v>1158</v>
      </c>
      <c r="D580" s="88" t="s">
        <v>1467</v>
      </c>
      <c r="E580" s="88" t="s">
        <v>609</v>
      </c>
      <c r="F580" s="90">
        <v>730</v>
      </c>
      <c r="G580" s="90">
        <f>'Stavební rozpočet (SO 13)'!G424</f>
        <v>0</v>
      </c>
      <c r="H580" s="90">
        <f t="shared" si="606"/>
        <v>0</v>
      </c>
      <c r="I580" s="90">
        <f t="shared" si="607"/>
        <v>0</v>
      </c>
      <c r="J580" s="90">
        <f t="shared" si="608"/>
        <v>0</v>
      </c>
      <c r="K580" s="90">
        <v>0</v>
      </c>
      <c r="L580" s="90">
        <f t="shared" si="609"/>
        <v>0</v>
      </c>
      <c r="M580" s="91" t="s">
        <v>622</v>
      </c>
      <c r="O580" s="90"/>
      <c r="P580" s="90"/>
      <c r="Z580" s="90">
        <f t="shared" si="610"/>
        <v>0</v>
      </c>
      <c r="AB580" s="90">
        <f t="shared" si="611"/>
        <v>0</v>
      </c>
      <c r="AC580" s="90">
        <f t="shared" si="612"/>
        <v>0</v>
      </c>
      <c r="AD580" s="90">
        <f t="shared" si="613"/>
        <v>0</v>
      </c>
      <c r="AE580" s="90">
        <f t="shared" si="614"/>
        <v>0</v>
      </c>
      <c r="AF580" s="90">
        <f t="shared" si="615"/>
        <v>0</v>
      </c>
      <c r="AG580" s="90">
        <f t="shared" si="616"/>
        <v>0</v>
      </c>
      <c r="AH580" s="90">
        <f t="shared" si="617"/>
        <v>0</v>
      </c>
      <c r="AI580" s="154" t="s">
        <v>60</v>
      </c>
      <c r="AJ580" s="90">
        <f t="shared" si="618"/>
        <v>0</v>
      </c>
      <c r="AK580" s="90">
        <f t="shared" si="619"/>
        <v>0</v>
      </c>
      <c r="AL580" s="90">
        <f t="shared" si="620"/>
        <v>0</v>
      </c>
      <c r="AN580" s="90">
        <v>21</v>
      </c>
      <c r="AO580" s="90">
        <f t="shared" si="621"/>
        <v>0</v>
      </c>
      <c r="AP580" s="90">
        <f t="shared" si="622"/>
        <v>0</v>
      </c>
      <c r="AQ580" s="91" t="s">
        <v>79</v>
      </c>
      <c r="AV580" s="90">
        <f t="shared" si="623"/>
        <v>0</v>
      </c>
      <c r="AW580" s="90">
        <f t="shared" si="624"/>
        <v>0</v>
      </c>
      <c r="AX580" s="90">
        <f t="shared" si="625"/>
        <v>0</v>
      </c>
      <c r="AY580" s="91" t="s">
        <v>649</v>
      </c>
      <c r="AZ580" s="91" t="s">
        <v>1536</v>
      </c>
      <c r="BA580" s="154" t="s">
        <v>1542</v>
      </c>
      <c r="BC580" s="90">
        <f t="shared" si="626"/>
        <v>0</v>
      </c>
      <c r="BD580" s="90">
        <f t="shared" si="627"/>
        <v>0</v>
      </c>
      <c r="BE580" s="90">
        <v>0</v>
      </c>
      <c r="BF580" s="90">
        <f t="shared" si="628"/>
        <v>0</v>
      </c>
      <c r="BH580" s="90">
        <f t="shared" si="629"/>
        <v>0</v>
      </c>
      <c r="BI580" s="90">
        <f t="shared" si="630"/>
        <v>0</v>
      </c>
      <c r="BJ580" s="90">
        <f t="shared" si="631"/>
        <v>0</v>
      </c>
    </row>
    <row r="581" spans="1:62" ht="12.75">
      <c r="A581" s="88" t="s">
        <v>1820</v>
      </c>
      <c r="B581" s="88" t="s">
        <v>60</v>
      </c>
      <c r="C581" s="88" t="s">
        <v>1159</v>
      </c>
      <c r="D581" s="88" t="s">
        <v>1468</v>
      </c>
      <c r="E581" s="88" t="s">
        <v>609</v>
      </c>
      <c r="F581" s="90">
        <v>668</v>
      </c>
      <c r="G581" s="90">
        <f>'Stavební rozpočet (SO 13)'!G425</f>
        <v>0</v>
      </c>
      <c r="H581" s="90">
        <f t="shared" si="606"/>
        <v>0</v>
      </c>
      <c r="I581" s="90">
        <f t="shared" si="607"/>
        <v>0</v>
      </c>
      <c r="J581" s="90">
        <f t="shared" si="608"/>
        <v>0</v>
      </c>
      <c r="K581" s="90">
        <v>0</v>
      </c>
      <c r="L581" s="90">
        <f t="shared" si="609"/>
        <v>0</v>
      </c>
      <c r="M581" s="91" t="s">
        <v>622</v>
      </c>
      <c r="O581" s="90"/>
      <c r="P581" s="90"/>
      <c r="Z581" s="90">
        <f t="shared" si="610"/>
        <v>0</v>
      </c>
      <c r="AB581" s="90">
        <f t="shared" si="611"/>
        <v>0</v>
      </c>
      <c r="AC581" s="90">
        <f t="shared" si="612"/>
        <v>0</v>
      </c>
      <c r="AD581" s="90">
        <f t="shared" si="613"/>
        <v>0</v>
      </c>
      <c r="AE581" s="90">
        <f t="shared" si="614"/>
        <v>0</v>
      </c>
      <c r="AF581" s="90">
        <f t="shared" si="615"/>
        <v>0</v>
      </c>
      <c r="AG581" s="90">
        <f t="shared" si="616"/>
        <v>0</v>
      </c>
      <c r="AH581" s="90">
        <f t="shared" si="617"/>
        <v>0</v>
      </c>
      <c r="AI581" s="154" t="s">
        <v>60</v>
      </c>
      <c r="AJ581" s="90">
        <f t="shared" si="618"/>
        <v>0</v>
      </c>
      <c r="AK581" s="90">
        <f t="shared" si="619"/>
        <v>0</v>
      </c>
      <c r="AL581" s="90">
        <f t="shared" si="620"/>
        <v>0</v>
      </c>
      <c r="AN581" s="90">
        <v>21</v>
      </c>
      <c r="AO581" s="90">
        <f t="shared" si="621"/>
        <v>0</v>
      </c>
      <c r="AP581" s="90">
        <f t="shared" si="622"/>
        <v>0</v>
      </c>
      <c r="AQ581" s="91" t="s">
        <v>79</v>
      </c>
      <c r="AV581" s="90">
        <f t="shared" si="623"/>
        <v>0</v>
      </c>
      <c r="AW581" s="90">
        <f t="shared" si="624"/>
        <v>0</v>
      </c>
      <c r="AX581" s="90">
        <f t="shared" si="625"/>
        <v>0</v>
      </c>
      <c r="AY581" s="91" t="s">
        <v>649</v>
      </c>
      <c r="AZ581" s="91" t="s">
        <v>1536</v>
      </c>
      <c r="BA581" s="154" t="s">
        <v>1542</v>
      </c>
      <c r="BC581" s="90">
        <f t="shared" si="626"/>
        <v>0</v>
      </c>
      <c r="BD581" s="90">
        <f t="shared" si="627"/>
        <v>0</v>
      </c>
      <c r="BE581" s="90">
        <v>0</v>
      </c>
      <c r="BF581" s="90">
        <f t="shared" si="628"/>
        <v>0</v>
      </c>
      <c r="BH581" s="90">
        <f t="shared" si="629"/>
        <v>0</v>
      </c>
      <c r="BI581" s="90">
        <f t="shared" si="630"/>
        <v>0</v>
      </c>
      <c r="BJ581" s="90">
        <f t="shared" si="631"/>
        <v>0</v>
      </c>
    </row>
    <row r="582" spans="1:62" ht="12.75">
      <c r="A582" s="88" t="s">
        <v>1821</v>
      </c>
      <c r="B582" s="88" t="s">
        <v>60</v>
      </c>
      <c r="C582" s="88" t="s">
        <v>1160</v>
      </c>
      <c r="D582" s="88" t="s">
        <v>1469</v>
      </c>
      <c r="E582" s="88" t="s">
        <v>609</v>
      </c>
      <c r="F582" s="90">
        <v>40</v>
      </c>
      <c r="G582" s="90">
        <f>'Stavební rozpočet (SO 13)'!G426</f>
        <v>0</v>
      </c>
      <c r="H582" s="90">
        <f t="shared" si="606"/>
        <v>0</v>
      </c>
      <c r="I582" s="90">
        <f t="shared" si="607"/>
        <v>0</v>
      </c>
      <c r="J582" s="90">
        <f t="shared" si="608"/>
        <v>0</v>
      </c>
      <c r="K582" s="90">
        <v>0</v>
      </c>
      <c r="L582" s="90">
        <f t="shared" si="609"/>
        <v>0</v>
      </c>
      <c r="M582" s="91" t="s">
        <v>622</v>
      </c>
      <c r="O582" s="90"/>
      <c r="P582" s="90"/>
      <c r="Z582" s="90">
        <f t="shared" si="610"/>
        <v>0</v>
      </c>
      <c r="AB582" s="90">
        <f t="shared" si="611"/>
        <v>0</v>
      </c>
      <c r="AC582" s="90">
        <f t="shared" si="612"/>
        <v>0</v>
      </c>
      <c r="AD582" s="90">
        <f t="shared" si="613"/>
        <v>0</v>
      </c>
      <c r="AE582" s="90">
        <f t="shared" si="614"/>
        <v>0</v>
      </c>
      <c r="AF582" s="90">
        <f t="shared" si="615"/>
        <v>0</v>
      </c>
      <c r="AG582" s="90">
        <f t="shared" si="616"/>
        <v>0</v>
      </c>
      <c r="AH582" s="90">
        <f t="shared" si="617"/>
        <v>0</v>
      </c>
      <c r="AI582" s="154" t="s">
        <v>60</v>
      </c>
      <c r="AJ582" s="90">
        <f t="shared" si="618"/>
        <v>0</v>
      </c>
      <c r="AK582" s="90">
        <f t="shared" si="619"/>
        <v>0</v>
      </c>
      <c r="AL582" s="90">
        <f t="shared" si="620"/>
        <v>0</v>
      </c>
      <c r="AN582" s="90">
        <v>21</v>
      </c>
      <c r="AO582" s="90">
        <f t="shared" si="621"/>
        <v>0</v>
      </c>
      <c r="AP582" s="90">
        <f t="shared" si="622"/>
        <v>0</v>
      </c>
      <c r="AQ582" s="91" t="s">
        <v>79</v>
      </c>
      <c r="AV582" s="90">
        <f t="shared" si="623"/>
        <v>0</v>
      </c>
      <c r="AW582" s="90">
        <f t="shared" si="624"/>
        <v>0</v>
      </c>
      <c r="AX582" s="90">
        <f t="shared" si="625"/>
        <v>0</v>
      </c>
      <c r="AY582" s="91" t="s">
        <v>649</v>
      </c>
      <c r="AZ582" s="91" t="s">
        <v>1536</v>
      </c>
      <c r="BA582" s="154" t="s">
        <v>1542</v>
      </c>
      <c r="BC582" s="90">
        <f t="shared" si="626"/>
        <v>0</v>
      </c>
      <c r="BD582" s="90">
        <f t="shared" si="627"/>
        <v>0</v>
      </c>
      <c r="BE582" s="90">
        <v>0</v>
      </c>
      <c r="BF582" s="90">
        <f t="shared" si="628"/>
        <v>0</v>
      </c>
      <c r="BH582" s="90">
        <f t="shared" si="629"/>
        <v>0</v>
      </c>
      <c r="BI582" s="90">
        <f t="shared" si="630"/>
        <v>0</v>
      </c>
      <c r="BJ582" s="90">
        <f t="shared" si="631"/>
        <v>0</v>
      </c>
    </row>
    <row r="583" spans="1:62" ht="12.75">
      <c r="A583" s="88" t="s">
        <v>1822</v>
      </c>
      <c r="B583" s="88" t="s">
        <v>60</v>
      </c>
      <c r="C583" s="88" t="s">
        <v>1161</v>
      </c>
      <c r="D583" s="88" t="s">
        <v>1470</v>
      </c>
      <c r="E583" s="88" t="s">
        <v>609</v>
      </c>
      <c r="F583" s="90">
        <v>628</v>
      </c>
      <c r="G583" s="90">
        <f>'Stavební rozpočet (SO 13)'!G427</f>
        <v>0</v>
      </c>
      <c r="H583" s="90">
        <f t="shared" si="606"/>
        <v>0</v>
      </c>
      <c r="I583" s="90">
        <f t="shared" si="607"/>
        <v>0</v>
      </c>
      <c r="J583" s="90">
        <f t="shared" si="608"/>
        <v>0</v>
      </c>
      <c r="K583" s="90">
        <v>0</v>
      </c>
      <c r="L583" s="90">
        <f t="shared" si="609"/>
        <v>0</v>
      </c>
      <c r="M583" s="91" t="s">
        <v>622</v>
      </c>
      <c r="O583" s="90"/>
      <c r="P583" s="90"/>
      <c r="Z583" s="90">
        <f t="shared" si="610"/>
        <v>0</v>
      </c>
      <c r="AB583" s="90">
        <f t="shared" si="611"/>
        <v>0</v>
      </c>
      <c r="AC583" s="90">
        <f t="shared" si="612"/>
        <v>0</v>
      </c>
      <c r="AD583" s="90">
        <f t="shared" si="613"/>
        <v>0</v>
      </c>
      <c r="AE583" s="90">
        <f t="shared" si="614"/>
        <v>0</v>
      </c>
      <c r="AF583" s="90">
        <f t="shared" si="615"/>
        <v>0</v>
      </c>
      <c r="AG583" s="90">
        <f t="shared" si="616"/>
        <v>0</v>
      </c>
      <c r="AH583" s="90">
        <f t="shared" si="617"/>
        <v>0</v>
      </c>
      <c r="AI583" s="154" t="s">
        <v>60</v>
      </c>
      <c r="AJ583" s="90">
        <f t="shared" si="618"/>
        <v>0</v>
      </c>
      <c r="AK583" s="90">
        <f t="shared" si="619"/>
        <v>0</v>
      </c>
      <c r="AL583" s="90">
        <f t="shared" si="620"/>
        <v>0</v>
      </c>
      <c r="AN583" s="90">
        <v>21</v>
      </c>
      <c r="AO583" s="90">
        <f t="shared" si="621"/>
        <v>0</v>
      </c>
      <c r="AP583" s="90">
        <f t="shared" si="622"/>
        <v>0</v>
      </c>
      <c r="AQ583" s="91" t="s">
        <v>79</v>
      </c>
      <c r="AV583" s="90">
        <f t="shared" si="623"/>
        <v>0</v>
      </c>
      <c r="AW583" s="90">
        <f t="shared" si="624"/>
        <v>0</v>
      </c>
      <c r="AX583" s="90">
        <f t="shared" si="625"/>
        <v>0</v>
      </c>
      <c r="AY583" s="91" t="s">
        <v>649</v>
      </c>
      <c r="AZ583" s="91" t="s">
        <v>1536</v>
      </c>
      <c r="BA583" s="154" t="s">
        <v>1542</v>
      </c>
      <c r="BC583" s="90">
        <f t="shared" si="626"/>
        <v>0</v>
      </c>
      <c r="BD583" s="90">
        <f t="shared" si="627"/>
        <v>0</v>
      </c>
      <c r="BE583" s="90">
        <v>0</v>
      </c>
      <c r="BF583" s="90">
        <f t="shared" si="628"/>
        <v>0</v>
      </c>
      <c r="BH583" s="90">
        <f t="shared" si="629"/>
        <v>0</v>
      </c>
      <c r="BI583" s="90">
        <f t="shared" si="630"/>
        <v>0</v>
      </c>
      <c r="BJ583" s="90">
        <f t="shared" si="631"/>
        <v>0</v>
      </c>
    </row>
    <row r="584" spans="1:62" ht="12.75">
      <c r="A584" s="88" t="s">
        <v>1823</v>
      </c>
      <c r="B584" s="88" t="s">
        <v>60</v>
      </c>
      <c r="C584" s="88" t="s">
        <v>1162</v>
      </c>
      <c r="D584" s="88" t="s">
        <v>1471</v>
      </c>
      <c r="E584" s="88" t="s">
        <v>609</v>
      </c>
      <c r="F584" s="90">
        <v>35</v>
      </c>
      <c r="G584" s="90">
        <f>'Stavební rozpočet (SO 13)'!G428</f>
        <v>0</v>
      </c>
      <c r="H584" s="90">
        <f t="shared" si="606"/>
        <v>0</v>
      </c>
      <c r="I584" s="90">
        <f t="shared" si="607"/>
        <v>0</v>
      </c>
      <c r="J584" s="90">
        <f t="shared" si="608"/>
        <v>0</v>
      </c>
      <c r="K584" s="90">
        <v>0</v>
      </c>
      <c r="L584" s="90">
        <f t="shared" si="609"/>
        <v>0</v>
      </c>
      <c r="M584" s="91" t="s">
        <v>622</v>
      </c>
      <c r="O584" s="90"/>
      <c r="P584" s="90"/>
      <c r="Z584" s="90">
        <f t="shared" si="610"/>
        <v>0</v>
      </c>
      <c r="AB584" s="90">
        <f t="shared" si="611"/>
        <v>0</v>
      </c>
      <c r="AC584" s="90">
        <f t="shared" si="612"/>
        <v>0</v>
      </c>
      <c r="AD584" s="90">
        <f t="shared" si="613"/>
        <v>0</v>
      </c>
      <c r="AE584" s="90">
        <f t="shared" si="614"/>
        <v>0</v>
      </c>
      <c r="AF584" s="90">
        <f t="shared" si="615"/>
        <v>0</v>
      </c>
      <c r="AG584" s="90">
        <f t="shared" si="616"/>
        <v>0</v>
      </c>
      <c r="AH584" s="90">
        <f t="shared" si="617"/>
        <v>0</v>
      </c>
      <c r="AI584" s="154" t="s">
        <v>60</v>
      </c>
      <c r="AJ584" s="90">
        <f t="shared" si="618"/>
        <v>0</v>
      </c>
      <c r="AK584" s="90">
        <f t="shared" si="619"/>
        <v>0</v>
      </c>
      <c r="AL584" s="90">
        <f t="shared" si="620"/>
        <v>0</v>
      </c>
      <c r="AN584" s="90">
        <v>21</v>
      </c>
      <c r="AO584" s="90">
        <f t="shared" si="621"/>
        <v>0</v>
      </c>
      <c r="AP584" s="90">
        <f t="shared" si="622"/>
        <v>0</v>
      </c>
      <c r="AQ584" s="91" t="s">
        <v>79</v>
      </c>
      <c r="AV584" s="90">
        <f t="shared" si="623"/>
        <v>0</v>
      </c>
      <c r="AW584" s="90">
        <f t="shared" si="624"/>
        <v>0</v>
      </c>
      <c r="AX584" s="90">
        <f t="shared" si="625"/>
        <v>0</v>
      </c>
      <c r="AY584" s="91" t="s">
        <v>649</v>
      </c>
      <c r="AZ584" s="91" t="s">
        <v>1536</v>
      </c>
      <c r="BA584" s="154" t="s">
        <v>1542</v>
      </c>
      <c r="BC584" s="90">
        <f t="shared" si="626"/>
        <v>0</v>
      </c>
      <c r="BD584" s="90">
        <f t="shared" si="627"/>
        <v>0</v>
      </c>
      <c r="BE584" s="90">
        <v>0</v>
      </c>
      <c r="BF584" s="90">
        <f t="shared" si="628"/>
        <v>0</v>
      </c>
      <c r="BH584" s="90">
        <f t="shared" si="629"/>
        <v>0</v>
      </c>
      <c r="BI584" s="90">
        <f t="shared" si="630"/>
        <v>0</v>
      </c>
      <c r="BJ584" s="90">
        <f t="shared" si="631"/>
        <v>0</v>
      </c>
    </row>
    <row r="585" spans="1:62" ht="12.75">
      <c r="A585" s="88" t="s">
        <v>1824</v>
      </c>
      <c r="B585" s="88" t="s">
        <v>60</v>
      </c>
      <c r="C585" s="88" t="s">
        <v>1163</v>
      </c>
      <c r="D585" s="88" t="s">
        <v>1472</v>
      </c>
      <c r="E585" s="88" t="s">
        <v>609</v>
      </c>
      <c r="F585" s="90">
        <v>35</v>
      </c>
      <c r="G585" s="90">
        <f>'Stavební rozpočet (SO 13)'!G429</f>
        <v>0</v>
      </c>
      <c r="H585" s="90">
        <f t="shared" si="606"/>
        <v>0</v>
      </c>
      <c r="I585" s="90">
        <f t="shared" si="607"/>
        <v>0</v>
      </c>
      <c r="J585" s="90">
        <f t="shared" si="608"/>
        <v>0</v>
      </c>
      <c r="K585" s="90">
        <v>0</v>
      </c>
      <c r="L585" s="90">
        <f t="shared" si="609"/>
        <v>0</v>
      </c>
      <c r="M585" s="91" t="s">
        <v>622</v>
      </c>
      <c r="O585" s="90"/>
      <c r="P585" s="90"/>
      <c r="Z585" s="90">
        <f t="shared" si="610"/>
        <v>0</v>
      </c>
      <c r="AB585" s="90">
        <f t="shared" si="611"/>
        <v>0</v>
      </c>
      <c r="AC585" s="90">
        <f t="shared" si="612"/>
        <v>0</v>
      </c>
      <c r="AD585" s="90">
        <f t="shared" si="613"/>
        <v>0</v>
      </c>
      <c r="AE585" s="90">
        <f t="shared" si="614"/>
        <v>0</v>
      </c>
      <c r="AF585" s="90">
        <f t="shared" si="615"/>
        <v>0</v>
      </c>
      <c r="AG585" s="90">
        <f t="shared" si="616"/>
        <v>0</v>
      </c>
      <c r="AH585" s="90">
        <f t="shared" si="617"/>
        <v>0</v>
      </c>
      <c r="AI585" s="154" t="s">
        <v>60</v>
      </c>
      <c r="AJ585" s="90">
        <f t="shared" si="618"/>
        <v>0</v>
      </c>
      <c r="AK585" s="90">
        <f t="shared" si="619"/>
        <v>0</v>
      </c>
      <c r="AL585" s="90">
        <f t="shared" si="620"/>
        <v>0</v>
      </c>
      <c r="AN585" s="90">
        <v>21</v>
      </c>
      <c r="AO585" s="90">
        <f t="shared" si="621"/>
        <v>0</v>
      </c>
      <c r="AP585" s="90">
        <f t="shared" si="622"/>
        <v>0</v>
      </c>
      <c r="AQ585" s="91" t="s">
        <v>79</v>
      </c>
      <c r="AV585" s="90">
        <f t="shared" si="623"/>
        <v>0</v>
      </c>
      <c r="AW585" s="90">
        <f t="shared" si="624"/>
        <v>0</v>
      </c>
      <c r="AX585" s="90">
        <f t="shared" si="625"/>
        <v>0</v>
      </c>
      <c r="AY585" s="91" t="s">
        <v>649</v>
      </c>
      <c r="AZ585" s="91" t="s">
        <v>1536</v>
      </c>
      <c r="BA585" s="154" t="s">
        <v>1542</v>
      </c>
      <c r="BC585" s="90">
        <f t="shared" si="626"/>
        <v>0</v>
      </c>
      <c r="BD585" s="90">
        <f t="shared" si="627"/>
        <v>0</v>
      </c>
      <c r="BE585" s="90">
        <v>0</v>
      </c>
      <c r="BF585" s="90">
        <f t="shared" si="628"/>
        <v>0</v>
      </c>
      <c r="BH585" s="90">
        <f t="shared" si="629"/>
        <v>0</v>
      </c>
      <c r="BI585" s="90">
        <f t="shared" si="630"/>
        <v>0</v>
      </c>
      <c r="BJ585" s="90">
        <f t="shared" si="631"/>
        <v>0</v>
      </c>
    </row>
    <row r="586" spans="1:62" ht="12.75">
      <c r="A586" s="88" t="s">
        <v>1825</v>
      </c>
      <c r="B586" s="88" t="s">
        <v>60</v>
      </c>
      <c r="C586" s="88" t="s">
        <v>399</v>
      </c>
      <c r="D586" s="88" t="s">
        <v>585</v>
      </c>
      <c r="E586" s="88" t="s">
        <v>606</v>
      </c>
      <c r="F586" s="90">
        <v>243</v>
      </c>
      <c r="G586" s="90">
        <f>'Stavební rozpočet (SO 13)'!G430</f>
        <v>0</v>
      </c>
      <c r="H586" s="90">
        <f t="shared" si="606"/>
        <v>0</v>
      </c>
      <c r="I586" s="90">
        <f t="shared" si="607"/>
        <v>0</v>
      </c>
      <c r="J586" s="90">
        <f t="shared" si="608"/>
        <v>0</v>
      </c>
      <c r="K586" s="90">
        <v>0</v>
      </c>
      <c r="L586" s="90">
        <f t="shared" si="609"/>
        <v>0</v>
      </c>
      <c r="M586" s="91" t="s">
        <v>622</v>
      </c>
      <c r="O586" s="90"/>
      <c r="P586" s="90"/>
      <c r="Z586" s="90">
        <f t="shared" si="610"/>
        <v>0</v>
      </c>
      <c r="AB586" s="90">
        <f t="shared" si="611"/>
        <v>0</v>
      </c>
      <c r="AC586" s="90">
        <f t="shared" si="612"/>
        <v>0</v>
      </c>
      <c r="AD586" s="90">
        <f t="shared" si="613"/>
        <v>0</v>
      </c>
      <c r="AE586" s="90">
        <f t="shared" si="614"/>
        <v>0</v>
      </c>
      <c r="AF586" s="90">
        <f t="shared" si="615"/>
        <v>0</v>
      </c>
      <c r="AG586" s="90">
        <f t="shared" si="616"/>
        <v>0</v>
      </c>
      <c r="AH586" s="90">
        <f t="shared" si="617"/>
        <v>0</v>
      </c>
      <c r="AI586" s="154" t="s">
        <v>60</v>
      </c>
      <c r="AJ586" s="90">
        <f t="shared" si="618"/>
        <v>0</v>
      </c>
      <c r="AK586" s="90">
        <f t="shared" si="619"/>
        <v>0</v>
      </c>
      <c r="AL586" s="90">
        <f t="shared" si="620"/>
        <v>0</v>
      </c>
      <c r="AN586" s="90">
        <v>21</v>
      </c>
      <c r="AO586" s="90">
        <f t="shared" si="621"/>
        <v>0</v>
      </c>
      <c r="AP586" s="90">
        <f t="shared" si="622"/>
        <v>0</v>
      </c>
      <c r="AQ586" s="91" t="s">
        <v>79</v>
      </c>
      <c r="AV586" s="90">
        <f t="shared" si="623"/>
        <v>0</v>
      </c>
      <c r="AW586" s="90">
        <f t="shared" si="624"/>
        <v>0</v>
      </c>
      <c r="AX586" s="90">
        <f t="shared" si="625"/>
        <v>0</v>
      </c>
      <c r="AY586" s="91" t="s">
        <v>649</v>
      </c>
      <c r="AZ586" s="91" t="s">
        <v>1536</v>
      </c>
      <c r="BA586" s="154" t="s">
        <v>1542</v>
      </c>
      <c r="BC586" s="90">
        <f t="shared" si="626"/>
        <v>0</v>
      </c>
      <c r="BD586" s="90">
        <f t="shared" si="627"/>
        <v>0</v>
      </c>
      <c r="BE586" s="90">
        <v>0</v>
      </c>
      <c r="BF586" s="90">
        <f t="shared" si="628"/>
        <v>0</v>
      </c>
      <c r="BH586" s="90">
        <f t="shared" si="629"/>
        <v>0</v>
      </c>
      <c r="BI586" s="90">
        <f t="shared" si="630"/>
        <v>0</v>
      </c>
      <c r="BJ586" s="90">
        <f t="shared" si="631"/>
        <v>0</v>
      </c>
    </row>
    <row r="587" spans="1:62" ht="12.75">
      <c r="A587" s="88" t="s">
        <v>1826</v>
      </c>
      <c r="B587" s="88" t="s">
        <v>60</v>
      </c>
      <c r="C587" s="88" t="s">
        <v>400</v>
      </c>
      <c r="D587" s="88" t="s">
        <v>586</v>
      </c>
      <c r="E587" s="88" t="s">
        <v>613</v>
      </c>
      <c r="F587" s="90">
        <v>45</v>
      </c>
      <c r="G587" s="90">
        <f>'Stavební rozpočet (SO 13)'!G431</f>
        <v>0</v>
      </c>
      <c r="H587" s="90">
        <f t="shared" si="606"/>
        <v>0</v>
      </c>
      <c r="I587" s="90">
        <f t="shared" si="607"/>
        <v>0</v>
      </c>
      <c r="J587" s="90">
        <f t="shared" si="608"/>
        <v>0</v>
      </c>
      <c r="K587" s="90">
        <v>0</v>
      </c>
      <c r="L587" s="90">
        <f t="shared" si="609"/>
        <v>0</v>
      </c>
      <c r="M587" s="91" t="s">
        <v>622</v>
      </c>
      <c r="O587" s="90"/>
      <c r="P587" s="90"/>
      <c r="Z587" s="90">
        <f t="shared" si="610"/>
        <v>0</v>
      </c>
      <c r="AB587" s="90">
        <f t="shared" si="611"/>
        <v>0</v>
      </c>
      <c r="AC587" s="90">
        <f t="shared" si="612"/>
        <v>0</v>
      </c>
      <c r="AD587" s="90">
        <f t="shared" si="613"/>
        <v>0</v>
      </c>
      <c r="AE587" s="90">
        <f t="shared" si="614"/>
        <v>0</v>
      </c>
      <c r="AF587" s="90">
        <f t="shared" si="615"/>
        <v>0</v>
      </c>
      <c r="AG587" s="90">
        <f t="shared" si="616"/>
        <v>0</v>
      </c>
      <c r="AH587" s="90">
        <f t="shared" si="617"/>
        <v>0</v>
      </c>
      <c r="AI587" s="154" t="s">
        <v>60</v>
      </c>
      <c r="AJ587" s="90">
        <f t="shared" si="618"/>
        <v>0</v>
      </c>
      <c r="AK587" s="90">
        <f t="shared" si="619"/>
        <v>0</v>
      </c>
      <c r="AL587" s="90">
        <f t="shared" si="620"/>
        <v>0</v>
      </c>
      <c r="AN587" s="90">
        <v>21</v>
      </c>
      <c r="AO587" s="90">
        <f t="shared" si="621"/>
        <v>0</v>
      </c>
      <c r="AP587" s="90">
        <f t="shared" si="622"/>
        <v>0</v>
      </c>
      <c r="AQ587" s="91" t="s">
        <v>79</v>
      </c>
      <c r="AV587" s="90">
        <f t="shared" si="623"/>
        <v>0</v>
      </c>
      <c r="AW587" s="90">
        <f t="shared" si="624"/>
        <v>0</v>
      </c>
      <c r="AX587" s="90">
        <f t="shared" si="625"/>
        <v>0</v>
      </c>
      <c r="AY587" s="91" t="s">
        <v>649</v>
      </c>
      <c r="AZ587" s="91" t="s">
        <v>1536</v>
      </c>
      <c r="BA587" s="154" t="s">
        <v>1542</v>
      </c>
      <c r="BC587" s="90">
        <f t="shared" si="626"/>
        <v>0</v>
      </c>
      <c r="BD587" s="90">
        <f t="shared" si="627"/>
        <v>0</v>
      </c>
      <c r="BE587" s="90">
        <v>0</v>
      </c>
      <c r="BF587" s="90">
        <f t="shared" si="628"/>
        <v>0</v>
      </c>
      <c r="BH587" s="90">
        <f t="shared" si="629"/>
        <v>0</v>
      </c>
      <c r="BI587" s="90">
        <f t="shared" si="630"/>
        <v>0</v>
      </c>
      <c r="BJ587" s="90">
        <f t="shared" si="631"/>
        <v>0</v>
      </c>
    </row>
    <row r="588" spans="1:62" ht="12.75">
      <c r="A588" s="88" t="s">
        <v>1827</v>
      </c>
      <c r="B588" s="88" t="s">
        <v>60</v>
      </c>
      <c r="C588" s="88" t="s">
        <v>1164</v>
      </c>
      <c r="D588" s="88" t="s">
        <v>1473</v>
      </c>
      <c r="E588" s="88" t="s">
        <v>613</v>
      </c>
      <c r="F588" s="90">
        <v>6</v>
      </c>
      <c r="G588" s="90">
        <f>'Stavební rozpočet (SO 13)'!G432</f>
        <v>0</v>
      </c>
      <c r="H588" s="90">
        <f t="shared" si="606"/>
        <v>0</v>
      </c>
      <c r="I588" s="90">
        <f t="shared" si="607"/>
        <v>0</v>
      </c>
      <c r="J588" s="90">
        <f t="shared" si="608"/>
        <v>0</v>
      </c>
      <c r="K588" s="90">
        <v>0</v>
      </c>
      <c r="L588" s="90">
        <f t="shared" si="609"/>
        <v>0</v>
      </c>
      <c r="M588" s="91" t="s">
        <v>622</v>
      </c>
      <c r="O588" s="90"/>
      <c r="P588" s="90"/>
      <c r="Z588" s="90">
        <f t="shared" si="610"/>
        <v>0</v>
      </c>
      <c r="AB588" s="90">
        <f t="shared" si="611"/>
        <v>0</v>
      </c>
      <c r="AC588" s="90">
        <f t="shared" si="612"/>
        <v>0</v>
      </c>
      <c r="AD588" s="90">
        <f t="shared" si="613"/>
        <v>0</v>
      </c>
      <c r="AE588" s="90">
        <f t="shared" si="614"/>
        <v>0</v>
      </c>
      <c r="AF588" s="90">
        <f t="shared" si="615"/>
        <v>0</v>
      </c>
      <c r="AG588" s="90">
        <f t="shared" si="616"/>
        <v>0</v>
      </c>
      <c r="AH588" s="90">
        <f t="shared" si="617"/>
        <v>0</v>
      </c>
      <c r="AI588" s="154" t="s">
        <v>60</v>
      </c>
      <c r="AJ588" s="90">
        <f t="shared" si="618"/>
        <v>0</v>
      </c>
      <c r="AK588" s="90">
        <f t="shared" si="619"/>
        <v>0</v>
      </c>
      <c r="AL588" s="90">
        <f t="shared" si="620"/>
        <v>0</v>
      </c>
      <c r="AN588" s="90">
        <v>21</v>
      </c>
      <c r="AO588" s="90">
        <f t="shared" si="621"/>
        <v>0</v>
      </c>
      <c r="AP588" s="90">
        <f t="shared" si="622"/>
        <v>0</v>
      </c>
      <c r="AQ588" s="91" t="s">
        <v>79</v>
      </c>
      <c r="AV588" s="90">
        <f t="shared" si="623"/>
        <v>0</v>
      </c>
      <c r="AW588" s="90">
        <f t="shared" si="624"/>
        <v>0</v>
      </c>
      <c r="AX588" s="90">
        <f t="shared" si="625"/>
        <v>0</v>
      </c>
      <c r="AY588" s="91" t="s">
        <v>649</v>
      </c>
      <c r="AZ588" s="91" t="s">
        <v>1536</v>
      </c>
      <c r="BA588" s="154" t="s">
        <v>1542</v>
      </c>
      <c r="BC588" s="90">
        <f t="shared" si="626"/>
        <v>0</v>
      </c>
      <c r="BD588" s="90">
        <f t="shared" si="627"/>
        <v>0</v>
      </c>
      <c r="BE588" s="90">
        <v>0</v>
      </c>
      <c r="BF588" s="90">
        <f t="shared" si="628"/>
        <v>0</v>
      </c>
      <c r="BH588" s="90">
        <f t="shared" si="629"/>
        <v>0</v>
      </c>
      <c r="BI588" s="90">
        <f t="shared" si="630"/>
        <v>0</v>
      </c>
      <c r="BJ588" s="90">
        <f t="shared" si="631"/>
        <v>0</v>
      </c>
    </row>
    <row r="589" spans="1:62" ht="12.75">
      <c r="A589" s="88" t="s">
        <v>1828</v>
      </c>
      <c r="B589" s="88" t="s">
        <v>60</v>
      </c>
      <c r="C589" s="88" t="s">
        <v>401</v>
      </c>
      <c r="D589" s="88" t="s">
        <v>587</v>
      </c>
      <c r="E589" s="88" t="s">
        <v>613</v>
      </c>
      <c r="F589" s="90">
        <v>60</v>
      </c>
      <c r="G589" s="90">
        <f>'Stavební rozpočet (SO 13)'!G433</f>
        <v>0</v>
      </c>
      <c r="H589" s="90">
        <f t="shared" si="606"/>
        <v>0</v>
      </c>
      <c r="I589" s="90">
        <f t="shared" si="607"/>
        <v>0</v>
      </c>
      <c r="J589" s="90">
        <f t="shared" si="608"/>
        <v>0</v>
      </c>
      <c r="K589" s="90">
        <v>0</v>
      </c>
      <c r="L589" s="90">
        <f t="shared" si="609"/>
        <v>0</v>
      </c>
      <c r="M589" s="91" t="s">
        <v>622</v>
      </c>
      <c r="O589" s="90"/>
      <c r="P589" s="90"/>
      <c r="Z589" s="90">
        <f t="shared" si="610"/>
        <v>0</v>
      </c>
      <c r="AB589" s="90">
        <f t="shared" si="611"/>
        <v>0</v>
      </c>
      <c r="AC589" s="90">
        <f t="shared" si="612"/>
        <v>0</v>
      </c>
      <c r="AD589" s="90">
        <f t="shared" si="613"/>
        <v>0</v>
      </c>
      <c r="AE589" s="90">
        <f t="shared" si="614"/>
        <v>0</v>
      </c>
      <c r="AF589" s="90">
        <f t="shared" si="615"/>
        <v>0</v>
      </c>
      <c r="AG589" s="90">
        <f t="shared" si="616"/>
        <v>0</v>
      </c>
      <c r="AH589" s="90">
        <f t="shared" si="617"/>
        <v>0</v>
      </c>
      <c r="AI589" s="154" t="s">
        <v>60</v>
      </c>
      <c r="AJ589" s="90">
        <f t="shared" si="618"/>
        <v>0</v>
      </c>
      <c r="AK589" s="90">
        <f t="shared" si="619"/>
        <v>0</v>
      </c>
      <c r="AL589" s="90">
        <f t="shared" si="620"/>
        <v>0</v>
      </c>
      <c r="AN589" s="90">
        <v>21</v>
      </c>
      <c r="AO589" s="90">
        <f t="shared" si="621"/>
        <v>0</v>
      </c>
      <c r="AP589" s="90">
        <f t="shared" si="622"/>
        <v>0</v>
      </c>
      <c r="AQ589" s="91" t="s">
        <v>79</v>
      </c>
      <c r="AV589" s="90">
        <f t="shared" si="623"/>
        <v>0</v>
      </c>
      <c r="AW589" s="90">
        <f t="shared" si="624"/>
        <v>0</v>
      </c>
      <c r="AX589" s="90">
        <f t="shared" si="625"/>
        <v>0</v>
      </c>
      <c r="AY589" s="91" t="s">
        <v>649</v>
      </c>
      <c r="AZ589" s="91" t="s">
        <v>1536</v>
      </c>
      <c r="BA589" s="154" t="s">
        <v>1542</v>
      </c>
      <c r="BC589" s="90">
        <f t="shared" si="626"/>
        <v>0</v>
      </c>
      <c r="BD589" s="90">
        <f t="shared" si="627"/>
        <v>0</v>
      </c>
      <c r="BE589" s="90">
        <v>0</v>
      </c>
      <c r="BF589" s="90">
        <f t="shared" si="628"/>
        <v>0</v>
      </c>
      <c r="BH589" s="90">
        <f t="shared" si="629"/>
        <v>0</v>
      </c>
      <c r="BI589" s="90">
        <f t="shared" si="630"/>
        <v>0</v>
      </c>
      <c r="BJ589" s="90">
        <f t="shared" si="631"/>
        <v>0</v>
      </c>
    </row>
    <row r="590" spans="1:62" ht="12.75">
      <c r="A590" s="88" t="s">
        <v>1829</v>
      </c>
      <c r="B590" s="88" t="s">
        <v>60</v>
      </c>
      <c r="C590" s="88" t="s">
        <v>402</v>
      </c>
      <c r="D590" s="88" t="s">
        <v>588</v>
      </c>
      <c r="E590" s="88" t="s">
        <v>615</v>
      </c>
      <c r="F590" s="90">
        <v>4</v>
      </c>
      <c r="G590" s="90">
        <f>'Stavební rozpočet (SO 13)'!G434</f>
        <v>0</v>
      </c>
      <c r="H590" s="90">
        <f t="shared" si="606"/>
        <v>0</v>
      </c>
      <c r="I590" s="90">
        <f t="shared" si="607"/>
        <v>0</v>
      </c>
      <c r="J590" s="90">
        <f t="shared" si="608"/>
        <v>0</v>
      </c>
      <c r="K590" s="90">
        <v>0</v>
      </c>
      <c r="L590" s="90">
        <f t="shared" si="609"/>
        <v>0</v>
      </c>
      <c r="M590" s="91" t="s">
        <v>622</v>
      </c>
      <c r="O590" s="90"/>
      <c r="P590" s="90"/>
      <c r="Z590" s="90">
        <f t="shared" si="610"/>
        <v>0</v>
      </c>
      <c r="AB590" s="90">
        <f t="shared" si="611"/>
        <v>0</v>
      </c>
      <c r="AC590" s="90">
        <f t="shared" si="612"/>
        <v>0</v>
      </c>
      <c r="AD590" s="90">
        <f t="shared" si="613"/>
        <v>0</v>
      </c>
      <c r="AE590" s="90">
        <f t="shared" si="614"/>
        <v>0</v>
      </c>
      <c r="AF590" s="90">
        <f t="shared" si="615"/>
        <v>0</v>
      </c>
      <c r="AG590" s="90">
        <f t="shared" si="616"/>
        <v>0</v>
      </c>
      <c r="AH590" s="90">
        <f t="shared" si="617"/>
        <v>0</v>
      </c>
      <c r="AI590" s="154" t="s">
        <v>60</v>
      </c>
      <c r="AJ590" s="90">
        <f t="shared" si="618"/>
        <v>0</v>
      </c>
      <c r="AK590" s="90">
        <f t="shared" si="619"/>
        <v>0</v>
      </c>
      <c r="AL590" s="90">
        <f t="shared" si="620"/>
        <v>0</v>
      </c>
      <c r="AN590" s="90">
        <v>21</v>
      </c>
      <c r="AO590" s="90">
        <f t="shared" si="621"/>
        <v>0</v>
      </c>
      <c r="AP590" s="90">
        <f t="shared" si="622"/>
        <v>0</v>
      </c>
      <c r="AQ590" s="91" t="s">
        <v>79</v>
      </c>
      <c r="AV590" s="90">
        <f t="shared" si="623"/>
        <v>0</v>
      </c>
      <c r="AW590" s="90">
        <f t="shared" si="624"/>
        <v>0</v>
      </c>
      <c r="AX590" s="90">
        <f t="shared" si="625"/>
        <v>0</v>
      </c>
      <c r="AY590" s="91" t="s">
        <v>649</v>
      </c>
      <c r="AZ590" s="91" t="s">
        <v>1536</v>
      </c>
      <c r="BA590" s="154" t="s">
        <v>1542</v>
      </c>
      <c r="BC590" s="90">
        <f t="shared" si="626"/>
        <v>0</v>
      </c>
      <c r="BD590" s="90">
        <f t="shared" si="627"/>
        <v>0</v>
      </c>
      <c r="BE590" s="90">
        <v>0</v>
      </c>
      <c r="BF590" s="90">
        <f t="shared" si="628"/>
        <v>0</v>
      </c>
      <c r="BH590" s="90">
        <f t="shared" si="629"/>
        <v>0</v>
      </c>
      <c r="BI590" s="90">
        <f t="shared" si="630"/>
        <v>0</v>
      </c>
      <c r="BJ590" s="90">
        <f t="shared" si="631"/>
        <v>0</v>
      </c>
    </row>
    <row r="591" spans="1:62" ht="12.75">
      <c r="A591" s="88" t="s">
        <v>1830</v>
      </c>
      <c r="B591" s="88" t="s">
        <v>60</v>
      </c>
      <c r="C591" s="88" t="s">
        <v>1165</v>
      </c>
      <c r="D591" s="88" t="s">
        <v>1474</v>
      </c>
      <c r="E591" s="88" t="s">
        <v>606</v>
      </c>
      <c r="F591" s="90">
        <v>10</v>
      </c>
      <c r="G591" s="90">
        <f>'Stavební rozpočet (SO 13)'!G435</f>
        <v>0</v>
      </c>
      <c r="H591" s="90">
        <f t="shared" si="606"/>
        <v>0</v>
      </c>
      <c r="I591" s="90">
        <f t="shared" si="607"/>
        <v>0</v>
      </c>
      <c r="J591" s="90">
        <f t="shared" si="608"/>
        <v>0</v>
      </c>
      <c r="K591" s="90">
        <v>0</v>
      </c>
      <c r="L591" s="90">
        <f t="shared" si="609"/>
        <v>0</v>
      </c>
      <c r="M591" s="91" t="s">
        <v>622</v>
      </c>
      <c r="O591" s="90"/>
      <c r="P591" s="90"/>
      <c r="Z591" s="90">
        <f t="shared" si="610"/>
        <v>0</v>
      </c>
      <c r="AB591" s="90">
        <f t="shared" si="611"/>
        <v>0</v>
      </c>
      <c r="AC591" s="90">
        <f t="shared" si="612"/>
        <v>0</v>
      </c>
      <c r="AD591" s="90">
        <f t="shared" si="613"/>
        <v>0</v>
      </c>
      <c r="AE591" s="90">
        <f t="shared" si="614"/>
        <v>0</v>
      </c>
      <c r="AF591" s="90">
        <f t="shared" si="615"/>
        <v>0</v>
      </c>
      <c r="AG591" s="90">
        <f t="shared" si="616"/>
        <v>0</v>
      </c>
      <c r="AH591" s="90">
        <f t="shared" si="617"/>
        <v>0</v>
      </c>
      <c r="AI591" s="154" t="s">
        <v>60</v>
      </c>
      <c r="AJ591" s="90">
        <f t="shared" si="618"/>
        <v>0</v>
      </c>
      <c r="AK591" s="90">
        <f t="shared" si="619"/>
        <v>0</v>
      </c>
      <c r="AL591" s="90">
        <f t="shared" si="620"/>
        <v>0</v>
      </c>
      <c r="AN591" s="90">
        <v>21</v>
      </c>
      <c r="AO591" s="90">
        <f t="shared" si="621"/>
        <v>0</v>
      </c>
      <c r="AP591" s="90">
        <f t="shared" si="622"/>
        <v>0</v>
      </c>
      <c r="AQ591" s="91" t="s">
        <v>79</v>
      </c>
      <c r="AV591" s="90">
        <f t="shared" si="623"/>
        <v>0</v>
      </c>
      <c r="AW591" s="90">
        <f t="shared" si="624"/>
        <v>0</v>
      </c>
      <c r="AX591" s="90">
        <f t="shared" si="625"/>
        <v>0</v>
      </c>
      <c r="AY591" s="91" t="s">
        <v>649</v>
      </c>
      <c r="AZ591" s="91" t="s">
        <v>1536</v>
      </c>
      <c r="BA591" s="154" t="s">
        <v>1542</v>
      </c>
      <c r="BC591" s="90">
        <f t="shared" si="626"/>
        <v>0</v>
      </c>
      <c r="BD591" s="90">
        <f t="shared" si="627"/>
        <v>0</v>
      </c>
      <c r="BE591" s="90">
        <v>0</v>
      </c>
      <c r="BF591" s="90">
        <f t="shared" si="628"/>
        <v>0</v>
      </c>
      <c r="BH591" s="90">
        <f t="shared" si="629"/>
        <v>0</v>
      </c>
      <c r="BI591" s="90">
        <f t="shared" si="630"/>
        <v>0</v>
      </c>
      <c r="BJ591" s="90">
        <f t="shared" si="631"/>
        <v>0</v>
      </c>
    </row>
    <row r="592" spans="1:62" ht="12.75">
      <c r="A592" s="88" t="s">
        <v>1831</v>
      </c>
      <c r="B592" s="88" t="s">
        <v>60</v>
      </c>
      <c r="C592" s="88" t="s">
        <v>1166</v>
      </c>
      <c r="D592" s="88" t="s">
        <v>1475</v>
      </c>
      <c r="E592" s="88" t="s">
        <v>606</v>
      </c>
      <c r="F592" s="90">
        <v>1</v>
      </c>
      <c r="G592" s="90">
        <f>'Stavební rozpočet (SO 13)'!G436</f>
        <v>0</v>
      </c>
      <c r="H592" s="90">
        <f t="shared" si="606"/>
        <v>0</v>
      </c>
      <c r="I592" s="90">
        <f t="shared" si="607"/>
        <v>0</v>
      </c>
      <c r="J592" s="90">
        <f t="shared" si="608"/>
        <v>0</v>
      </c>
      <c r="K592" s="90">
        <v>0</v>
      </c>
      <c r="L592" s="90">
        <f t="shared" si="609"/>
        <v>0</v>
      </c>
      <c r="M592" s="91" t="s">
        <v>622</v>
      </c>
      <c r="O592" s="90"/>
      <c r="P592" s="90"/>
      <c r="Z592" s="90">
        <f t="shared" si="610"/>
        <v>0</v>
      </c>
      <c r="AB592" s="90">
        <f t="shared" si="611"/>
        <v>0</v>
      </c>
      <c r="AC592" s="90">
        <f t="shared" si="612"/>
        <v>0</v>
      </c>
      <c r="AD592" s="90">
        <f t="shared" si="613"/>
        <v>0</v>
      </c>
      <c r="AE592" s="90">
        <f t="shared" si="614"/>
        <v>0</v>
      </c>
      <c r="AF592" s="90">
        <f t="shared" si="615"/>
        <v>0</v>
      </c>
      <c r="AG592" s="90">
        <f t="shared" si="616"/>
        <v>0</v>
      </c>
      <c r="AH592" s="90">
        <f t="shared" si="617"/>
        <v>0</v>
      </c>
      <c r="AI592" s="154" t="s">
        <v>60</v>
      </c>
      <c r="AJ592" s="90">
        <f t="shared" si="618"/>
        <v>0</v>
      </c>
      <c r="AK592" s="90">
        <f t="shared" si="619"/>
        <v>0</v>
      </c>
      <c r="AL592" s="90">
        <f t="shared" si="620"/>
        <v>0</v>
      </c>
      <c r="AN592" s="90">
        <v>21</v>
      </c>
      <c r="AO592" s="90">
        <f t="shared" si="621"/>
        <v>0</v>
      </c>
      <c r="AP592" s="90">
        <f t="shared" si="622"/>
        <v>0</v>
      </c>
      <c r="AQ592" s="91" t="s">
        <v>79</v>
      </c>
      <c r="AV592" s="90">
        <f t="shared" si="623"/>
        <v>0</v>
      </c>
      <c r="AW592" s="90">
        <f t="shared" si="624"/>
        <v>0</v>
      </c>
      <c r="AX592" s="90">
        <f t="shared" si="625"/>
        <v>0</v>
      </c>
      <c r="AY592" s="91" t="s">
        <v>649</v>
      </c>
      <c r="AZ592" s="91" t="s">
        <v>1536</v>
      </c>
      <c r="BA592" s="154" t="s">
        <v>1542</v>
      </c>
      <c r="BC592" s="90">
        <f t="shared" si="626"/>
        <v>0</v>
      </c>
      <c r="BD592" s="90">
        <f t="shared" si="627"/>
        <v>0</v>
      </c>
      <c r="BE592" s="90">
        <v>0</v>
      </c>
      <c r="BF592" s="90">
        <f t="shared" si="628"/>
        <v>0</v>
      </c>
      <c r="BH592" s="90">
        <f t="shared" si="629"/>
        <v>0</v>
      </c>
      <c r="BI592" s="90">
        <f t="shared" si="630"/>
        <v>0</v>
      </c>
      <c r="BJ592" s="90">
        <f t="shared" si="631"/>
        <v>0</v>
      </c>
    </row>
    <row r="593" spans="1:62" ht="12.75">
      <c r="A593" s="88" t="s">
        <v>1832</v>
      </c>
      <c r="B593" s="88" t="s">
        <v>60</v>
      </c>
      <c r="C593" s="88" t="s">
        <v>1167</v>
      </c>
      <c r="D593" s="88" t="s">
        <v>1476</v>
      </c>
      <c r="E593" s="88" t="s">
        <v>606</v>
      </c>
      <c r="F593" s="90">
        <v>1</v>
      </c>
      <c r="G593" s="90">
        <f>'Stavební rozpočet (SO 13)'!G437</f>
        <v>0</v>
      </c>
      <c r="H593" s="90">
        <f t="shared" si="606"/>
        <v>0</v>
      </c>
      <c r="I593" s="90">
        <f t="shared" si="607"/>
        <v>0</v>
      </c>
      <c r="J593" s="90">
        <f t="shared" si="608"/>
        <v>0</v>
      </c>
      <c r="K593" s="90">
        <v>0</v>
      </c>
      <c r="L593" s="90">
        <f t="shared" si="609"/>
        <v>0</v>
      </c>
      <c r="M593" s="91" t="s">
        <v>622</v>
      </c>
      <c r="O593" s="90"/>
      <c r="P593" s="90"/>
      <c r="Z593" s="90">
        <f t="shared" si="610"/>
        <v>0</v>
      </c>
      <c r="AB593" s="90">
        <f t="shared" si="611"/>
        <v>0</v>
      </c>
      <c r="AC593" s="90">
        <f t="shared" si="612"/>
        <v>0</v>
      </c>
      <c r="AD593" s="90">
        <f t="shared" si="613"/>
        <v>0</v>
      </c>
      <c r="AE593" s="90">
        <f t="shared" si="614"/>
        <v>0</v>
      </c>
      <c r="AF593" s="90">
        <f t="shared" si="615"/>
        <v>0</v>
      </c>
      <c r="AG593" s="90">
        <f t="shared" si="616"/>
        <v>0</v>
      </c>
      <c r="AH593" s="90">
        <f t="shared" si="617"/>
        <v>0</v>
      </c>
      <c r="AI593" s="154" t="s">
        <v>60</v>
      </c>
      <c r="AJ593" s="90">
        <f t="shared" si="618"/>
        <v>0</v>
      </c>
      <c r="AK593" s="90">
        <f t="shared" si="619"/>
        <v>0</v>
      </c>
      <c r="AL593" s="90">
        <f t="shared" si="620"/>
        <v>0</v>
      </c>
      <c r="AN593" s="90">
        <v>21</v>
      </c>
      <c r="AO593" s="90">
        <f t="shared" si="621"/>
        <v>0</v>
      </c>
      <c r="AP593" s="90">
        <f t="shared" si="622"/>
        <v>0</v>
      </c>
      <c r="AQ593" s="91" t="s">
        <v>79</v>
      </c>
      <c r="AV593" s="90">
        <f t="shared" si="623"/>
        <v>0</v>
      </c>
      <c r="AW593" s="90">
        <f t="shared" si="624"/>
        <v>0</v>
      </c>
      <c r="AX593" s="90">
        <f t="shared" si="625"/>
        <v>0</v>
      </c>
      <c r="AY593" s="91" t="s">
        <v>649</v>
      </c>
      <c r="AZ593" s="91" t="s">
        <v>1536</v>
      </c>
      <c r="BA593" s="154" t="s">
        <v>1542</v>
      </c>
      <c r="BC593" s="90">
        <f t="shared" si="626"/>
        <v>0</v>
      </c>
      <c r="BD593" s="90">
        <f t="shared" si="627"/>
        <v>0</v>
      </c>
      <c r="BE593" s="90">
        <v>0</v>
      </c>
      <c r="BF593" s="90">
        <f t="shared" si="628"/>
        <v>0</v>
      </c>
      <c r="BH593" s="90">
        <f t="shared" si="629"/>
        <v>0</v>
      </c>
      <c r="BI593" s="90">
        <f t="shared" si="630"/>
        <v>0</v>
      </c>
      <c r="BJ593" s="90">
        <f t="shared" si="631"/>
        <v>0</v>
      </c>
    </row>
    <row r="594" spans="1:62" ht="12.75">
      <c r="A594" s="88" t="s">
        <v>1833</v>
      </c>
      <c r="B594" s="88" t="s">
        <v>60</v>
      </c>
      <c r="C594" s="88" t="s">
        <v>1168</v>
      </c>
      <c r="D594" s="88" t="s">
        <v>1477</v>
      </c>
      <c r="E594" s="88" t="s">
        <v>606</v>
      </c>
      <c r="F594" s="90">
        <v>10</v>
      </c>
      <c r="G594" s="90">
        <f>'Stavební rozpočet (SO 13)'!G438</f>
        <v>0</v>
      </c>
      <c r="H594" s="90">
        <f t="shared" si="606"/>
        <v>0</v>
      </c>
      <c r="I594" s="90">
        <f t="shared" si="607"/>
        <v>0</v>
      </c>
      <c r="J594" s="90">
        <f t="shared" si="608"/>
        <v>0</v>
      </c>
      <c r="K594" s="90">
        <v>0</v>
      </c>
      <c r="L594" s="90">
        <f t="shared" si="609"/>
        <v>0</v>
      </c>
      <c r="M594" s="91" t="s">
        <v>622</v>
      </c>
      <c r="O594" s="90"/>
      <c r="P594" s="90"/>
      <c r="Z594" s="90">
        <f t="shared" si="610"/>
        <v>0</v>
      </c>
      <c r="AB594" s="90">
        <f t="shared" si="611"/>
        <v>0</v>
      </c>
      <c r="AC594" s="90">
        <f t="shared" si="612"/>
        <v>0</v>
      </c>
      <c r="AD594" s="90">
        <f t="shared" si="613"/>
        <v>0</v>
      </c>
      <c r="AE594" s="90">
        <f t="shared" si="614"/>
        <v>0</v>
      </c>
      <c r="AF594" s="90">
        <f t="shared" si="615"/>
        <v>0</v>
      </c>
      <c r="AG594" s="90">
        <f t="shared" si="616"/>
        <v>0</v>
      </c>
      <c r="AH594" s="90">
        <f t="shared" si="617"/>
        <v>0</v>
      </c>
      <c r="AI594" s="154" t="s">
        <v>60</v>
      </c>
      <c r="AJ594" s="90">
        <f t="shared" si="618"/>
        <v>0</v>
      </c>
      <c r="AK594" s="90">
        <f t="shared" si="619"/>
        <v>0</v>
      </c>
      <c r="AL594" s="90">
        <f t="shared" si="620"/>
        <v>0</v>
      </c>
      <c r="AN594" s="90">
        <v>21</v>
      </c>
      <c r="AO594" s="90">
        <f t="shared" si="621"/>
        <v>0</v>
      </c>
      <c r="AP594" s="90">
        <f t="shared" si="622"/>
        <v>0</v>
      </c>
      <c r="AQ594" s="91" t="s">
        <v>79</v>
      </c>
      <c r="AV594" s="90">
        <f t="shared" si="623"/>
        <v>0</v>
      </c>
      <c r="AW594" s="90">
        <f t="shared" si="624"/>
        <v>0</v>
      </c>
      <c r="AX594" s="90">
        <f t="shared" si="625"/>
        <v>0</v>
      </c>
      <c r="AY594" s="91" t="s">
        <v>649</v>
      </c>
      <c r="AZ594" s="91" t="s">
        <v>1536</v>
      </c>
      <c r="BA594" s="154" t="s">
        <v>1542</v>
      </c>
      <c r="BC594" s="90">
        <f t="shared" si="626"/>
        <v>0</v>
      </c>
      <c r="BD594" s="90">
        <f t="shared" si="627"/>
        <v>0</v>
      </c>
      <c r="BE594" s="90">
        <v>0</v>
      </c>
      <c r="BF594" s="90">
        <f t="shared" si="628"/>
        <v>0</v>
      </c>
      <c r="BH594" s="90">
        <f t="shared" si="629"/>
        <v>0</v>
      </c>
      <c r="BI594" s="90">
        <f t="shared" si="630"/>
        <v>0</v>
      </c>
      <c r="BJ594" s="90">
        <f t="shared" si="631"/>
        <v>0</v>
      </c>
    </row>
    <row r="595" spans="1:62" ht="12.75">
      <c r="A595" s="88" t="s">
        <v>1834</v>
      </c>
      <c r="B595" s="88" t="s">
        <v>60</v>
      </c>
      <c r="C595" s="88" t="s">
        <v>1169</v>
      </c>
      <c r="D595" s="88" t="s">
        <v>1478</v>
      </c>
      <c r="E595" s="88" t="s">
        <v>606</v>
      </c>
      <c r="F595" s="90">
        <v>10</v>
      </c>
      <c r="G595" s="90">
        <f>'Stavební rozpočet (SO 13)'!G439</f>
        <v>0</v>
      </c>
      <c r="H595" s="90">
        <f t="shared" si="606"/>
        <v>0</v>
      </c>
      <c r="I595" s="90">
        <f t="shared" si="607"/>
        <v>0</v>
      </c>
      <c r="J595" s="90">
        <f t="shared" si="608"/>
        <v>0</v>
      </c>
      <c r="K595" s="90">
        <v>0</v>
      </c>
      <c r="L595" s="90">
        <f t="shared" si="609"/>
        <v>0</v>
      </c>
      <c r="M595" s="91" t="s">
        <v>622</v>
      </c>
      <c r="O595" s="90"/>
      <c r="P595" s="90"/>
      <c r="Z595" s="90">
        <f t="shared" si="610"/>
        <v>0</v>
      </c>
      <c r="AB595" s="90">
        <f t="shared" si="611"/>
        <v>0</v>
      </c>
      <c r="AC595" s="90">
        <f t="shared" si="612"/>
        <v>0</v>
      </c>
      <c r="AD595" s="90">
        <f t="shared" si="613"/>
        <v>0</v>
      </c>
      <c r="AE595" s="90">
        <f t="shared" si="614"/>
        <v>0</v>
      </c>
      <c r="AF595" s="90">
        <f t="shared" si="615"/>
        <v>0</v>
      </c>
      <c r="AG595" s="90">
        <f t="shared" si="616"/>
        <v>0</v>
      </c>
      <c r="AH595" s="90">
        <f t="shared" si="617"/>
        <v>0</v>
      </c>
      <c r="AI595" s="154" t="s">
        <v>60</v>
      </c>
      <c r="AJ595" s="90">
        <f t="shared" si="618"/>
        <v>0</v>
      </c>
      <c r="AK595" s="90">
        <f t="shared" si="619"/>
        <v>0</v>
      </c>
      <c r="AL595" s="90">
        <f t="shared" si="620"/>
        <v>0</v>
      </c>
      <c r="AN595" s="90">
        <v>21</v>
      </c>
      <c r="AO595" s="90">
        <f t="shared" si="621"/>
        <v>0</v>
      </c>
      <c r="AP595" s="90">
        <f t="shared" si="622"/>
        <v>0</v>
      </c>
      <c r="AQ595" s="91" t="s">
        <v>79</v>
      </c>
      <c r="AV595" s="90">
        <f t="shared" si="623"/>
        <v>0</v>
      </c>
      <c r="AW595" s="90">
        <f t="shared" si="624"/>
        <v>0</v>
      </c>
      <c r="AX595" s="90">
        <f t="shared" si="625"/>
        <v>0</v>
      </c>
      <c r="AY595" s="91" t="s">
        <v>649</v>
      </c>
      <c r="AZ595" s="91" t="s">
        <v>1536</v>
      </c>
      <c r="BA595" s="154" t="s">
        <v>1542</v>
      </c>
      <c r="BC595" s="90">
        <f t="shared" si="626"/>
        <v>0</v>
      </c>
      <c r="BD595" s="90">
        <f t="shared" si="627"/>
        <v>0</v>
      </c>
      <c r="BE595" s="90">
        <v>0</v>
      </c>
      <c r="BF595" s="90">
        <f t="shared" si="628"/>
        <v>0</v>
      </c>
      <c r="BH595" s="90">
        <f t="shared" si="629"/>
        <v>0</v>
      </c>
      <c r="BI595" s="90">
        <f t="shared" si="630"/>
        <v>0</v>
      </c>
      <c r="BJ595" s="90">
        <f t="shared" si="631"/>
        <v>0</v>
      </c>
    </row>
    <row r="596" spans="1:62" ht="12.75">
      <c r="A596" s="88" t="s">
        <v>1835</v>
      </c>
      <c r="B596" s="88" t="s">
        <v>60</v>
      </c>
      <c r="C596" s="88" t="s">
        <v>1170</v>
      </c>
      <c r="D596" s="88" t="s">
        <v>1479</v>
      </c>
      <c r="E596" s="88" t="s">
        <v>606</v>
      </c>
      <c r="F596" s="90">
        <v>0</v>
      </c>
      <c r="G596" s="90">
        <f>'Stavební rozpočet (SO 13)'!G440</f>
        <v>0</v>
      </c>
      <c r="H596" s="90">
        <f t="shared" si="606"/>
        <v>0</v>
      </c>
      <c r="I596" s="90">
        <f t="shared" si="607"/>
        <v>0</v>
      </c>
      <c r="J596" s="90">
        <f t="shared" si="608"/>
        <v>0</v>
      </c>
      <c r="K596" s="90">
        <v>0</v>
      </c>
      <c r="L596" s="90">
        <f t="shared" si="609"/>
        <v>0</v>
      </c>
      <c r="M596" s="91" t="s">
        <v>622</v>
      </c>
      <c r="O596" s="90"/>
      <c r="P596" s="90"/>
      <c r="Z596" s="90">
        <f t="shared" si="610"/>
        <v>0</v>
      </c>
      <c r="AB596" s="90">
        <f t="shared" si="611"/>
        <v>0</v>
      </c>
      <c r="AC596" s="90">
        <f t="shared" si="612"/>
        <v>0</v>
      </c>
      <c r="AD596" s="90">
        <f t="shared" si="613"/>
        <v>0</v>
      </c>
      <c r="AE596" s="90">
        <f t="shared" si="614"/>
        <v>0</v>
      </c>
      <c r="AF596" s="90">
        <f t="shared" si="615"/>
        <v>0</v>
      </c>
      <c r="AG596" s="90">
        <f t="shared" si="616"/>
        <v>0</v>
      </c>
      <c r="AH596" s="90">
        <f t="shared" si="617"/>
        <v>0</v>
      </c>
      <c r="AI596" s="154" t="s">
        <v>60</v>
      </c>
      <c r="AJ596" s="90">
        <f t="shared" si="618"/>
        <v>0</v>
      </c>
      <c r="AK596" s="90">
        <f t="shared" si="619"/>
        <v>0</v>
      </c>
      <c r="AL596" s="90">
        <f t="shared" si="620"/>
        <v>0</v>
      </c>
      <c r="AN596" s="90">
        <v>21</v>
      </c>
      <c r="AO596" s="90">
        <f t="shared" si="621"/>
        <v>0</v>
      </c>
      <c r="AP596" s="90">
        <f t="shared" si="622"/>
        <v>0</v>
      </c>
      <c r="AQ596" s="91" t="s">
        <v>79</v>
      </c>
      <c r="AV596" s="90">
        <f t="shared" si="623"/>
        <v>0</v>
      </c>
      <c r="AW596" s="90">
        <f t="shared" si="624"/>
        <v>0</v>
      </c>
      <c r="AX596" s="90">
        <f t="shared" si="625"/>
        <v>0</v>
      </c>
      <c r="AY596" s="91" t="s">
        <v>649</v>
      </c>
      <c r="AZ596" s="91" t="s">
        <v>1536</v>
      </c>
      <c r="BA596" s="154" t="s">
        <v>1542</v>
      </c>
      <c r="BC596" s="90">
        <f t="shared" si="626"/>
        <v>0</v>
      </c>
      <c r="BD596" s="90">
        <f t="shared" si="627"/>
        <v>0</v>
      </c>
      <c r="BE596" s="90">
        <v>0</v>
      </c>
      <c r="BF596" s="90">
        <f t="shared" si="628"/>
        <v>0</v>
      </c>
      <c r="BH596" s="90">
        <f t="shared" si="629"/>
        <v>0</v>
      </c>
      <c r="BI596" s="90">
        <f t="shared" si="630"/>
        <v>0</v>
      </c>
      <c r="BJ596" s="90">
        <f t="shared" si="631"/>
        <v>0</v>
      </c>
    </row>
    <row r="597" spans="1:62" ht="12.75">
      <c r="A597" s="88" t="s">
        <v>1836</v>
      </c>
      <c r="B597" s="88" t="s">
        <v>60</v>
      </c>
      <c r="C597" s="88" t="s">
        <v>1171</v>
      </c>
      <c r="D597" s="88" t="s">
        <v>1480</v>
      </c>
      <c r="E597" s="88" t="s">
        <v>606</v>
      </c>
      <c r="F597" s="90">
        <v>0</v>
      </c>
      <c r="G597" s="90">
        <f>'Stavební rozpočet (SO 13)'!G441</f>
        <v>0</v>
      </c>
      <c r="H597" s="90">
        <f t="shared" si="606"/>
        <v>0</v>
      </c>
      <c r="I597" s="90">
        <f t="shared" si="607"/>
        <v>0</v>
      </c>
      <c r="J597" s="90">
        <f t="shared" si="608"/>
        <v>0</v>
      </c>
      <c r="K597" s="90">
        <v>0</v>
      </c>
      <c r="L597" s="90">
        <f t="shared" si="609"/>
        <v>0</v>
      </c>
      <c r="M597" s="91" t="s">
        <v>622</v>
      </c>
      <c r="O597" s="90"/>
      <c r="P597" s="90"/>
      <c r="Z597" s="90">
        <f t="shared" si="610"/>
        <v>0</v>
      </c>
      <c r="AB597" s="90">
        <f t="shared" si="611"/>
        <v>0</v>
      </c>
      <c r="AC597" s="90">
        <f t="shared" si="612"/>
        <v>0</v>
      </c>
      <c r="AD597" s="90">
        <f t="shared" si="613"/>
        <v>0</v>
      </c>
      <c r="AE597" s="90">
        <f t="shared" si="614"/>
        <v>0</v>
      </c>
      <c r="AF597" s="90">
        <f t="shared" si="615"/>
        <v>0</v>
      </c>
      <c r="AG597" s="90">
        <f t="shared" si="616"/>
        <v>0</v>
      </c>
      <c r="AH597" s="90">
        <f t="shared" si="617"/>
        <v>0</v>
      </c>
      <c r="AI597" s="154" t="s">
        <v>60</v>
      </c>
      <c r="AJ597" s="90">
        <f t="shared" si="618"/>
        <v>0</v>
      </c>
      <c r="AK597" s="90">
        <f t="shared" si="619"/>
        <v>0</v>
      </c>
      <c r="AL597" s="90">
        <f t="shared" si="620"/>
        <v>0</v>
      </c>
      <c r="AN597" s="90">
        <v>21</v>
      </c>
      <c r="AO597" s="90">
        <f t="shared" si="621"/>
        <v>0</v>
      </c>
      <c r="AP597" s="90">
        <f t="shared" si="622"/>
        <v>0</v>
      </c>
      <c r="AQ597" s="91" t="s">
        <v>79</v>
      </c>
      <c r="AV597" s="90">
        <f t="shared" si="623"/>
        <v>0</v>
      </c>
      <c r="AW597" s="90">
        <f t="shared" si="624"/>
        <v>0</v>
      </c>
      <c r="AX597" s="90">
        <f t="shared" si="625"/>
        <v>0</v>
      </c>
      <c r="AY597" s="91" t="s">
        <v>649</v>
      </c>
      <c r="AZ597" s="91" t="s">
        <v>1536</v>
      </c>
      <c r="BA597" s="154" t="s">
        <v>1542</v>
      </c>
      <c r="BC597" s="90">
        <f t="shared" si="626"/>
        <v>0</v>
      </c>
      <c r="BD597" s="90">
        <f t="shared" si="627"/>
        <v>0</v>
      </c>
      <c r="BE597" s="90">
        <v>0</v>
      </c>
      <c r="BF597" s="90">
        <f t="shared" si="628"/>
        <v>0</v>
      </c>
      <c r="BH597" s="90">
        <f t="shared" si="629"/>
        <v>0</v>
      </c>
      <c r="BI597" s="90">
        <f t="shared" si="630"/>
        <v>0</v>
      </c>
      <c r="BJ597" s="90">
        <f t="shared" si="631"/>
        <v>0</v>
      </c>
    </row>
    <row r="598" spans="1:62" ht="12.75">
      <c r="A598" s="88" t="s">
        <v>1837</v>
      </c>
      <c r="B598" s="88" t="s">
        <v>60</v>
      </c>
      <c r="C598" s="88" t="s">
        <v>1172</v>
      </c>
      <c r="D598" s="88" t="s">
        <v>1481</v>
      </c>
      <c r="E598" s="88" t="s">
        <v>606</v>
      </c>
      <c r="F598" s="90">
        <v>4</v>
      </c>
      <c r="G598" s="90">
        <f>'Stavební rozpočet (SO 13)'!G442</f>
        <v>0</v>
      </c>
      <c r="H598" s="90">
        <f t="shared" si="606"/>
        <v>0</v>
      </c>
      <c r="I598" s="90">
        <f t="shared" si="607"/>
        <v>0</v>
      </c>
      <c r="J598" s="90">
        <f t="shared" si="608"/>
        <v>0</v>
      </c>
      <c r="K598" s="90">
        <v>0</v>
      </c>
      <c r="L598" s="90">
        <f t="shared" si="609"/>
        <v>0</v>
      </c>
      <c r="M598" s="91" t="s">
        <v>622</v>
      </c>
      <c r="O598" s="90"/>
      <c r="P598" s="90"/>
      <c r="Z598" s="90">
        <f t="shared" si="610"/>
        <v>0</v>
      </c>
      <c r="AB598" s="90">
        <f t="shared" si="611"/>
        <v>0</v>
      </c>
      <c r="AC598" s="90">
        <f t="shared" si="612"/>
        <v>0</v>
      </c>
      <c r="AD598" s="90">
        <f t="shared" si="613"/>
        <v>0</v>
      </c>
      <c r="AE598" s="90">
        <f t="shared" si="614"/>
        <v>0</v>
      </c>
      <c r="AF598" s="90">
        <f t="shared" si="615"/>
        <v>0</v>
      </c>
      <c r="AG598" s="90">
        <f t="shared" si="616"/>
        <v>0</v>
      </c>
      <c r="AH598" s="90">
        <f t="shared" si="617"/>
        <v>0</v>
      </c>
      <c r="AI598" s="154" t="s">
        <v>60</v>
      </c>
      <c r="AJ598" s="90">
        <f t="shared" si="618"/>
        <v>0</v>
      </c>
      <c r="AK598" s="90">
        <f t="shared" si="619"/>
        <v>0</v>
      </c>
      <c r="AL598" s="90">
        <f t="shared" si="620"/>
        <v>0</v>
      </c>
      <c r="AN598" s="90">
        <v>21</v>
      </c>
      <c r="AO598" s="90">
        <f t="shared" si="621"/>
        <v>0</v>
      </c>
      <c r="AP598" s="90">
        <f t="shared" si="622"/>
        <v>0</v>
      </c>
      <c r="AQ598" s="91" t="s">
        <v>79</v>
      </c>
      <c r="AV598" s="90">
        <f t="shared" si="623"/>
        <v>0</v>
      </c>
      <c r="AW598" s="90">
        <f t="shared" si="624"/>
        <v>0</v>
      </c>
      <c r="AX598" s="90">
        <f t="shared" si="625"/>
        <v>0</v>
      </c>
      <c r="AY598" s="91" t="s">
        <v>649</v>
      </c>
      <c r="AZ598" s="91" t="s">
        <v>1536</v>
      </c>
      <c r="BA598" s="154" t="s">
        <v>1542</v>
      </c>
      <c r="BC598" s="90">
        <f t="shared" si="626"/>
        <v>0</v>
      </c>
      <c r="BD598" s="90">
        <f t="shared" si="627"/>
        <v>0</v>
      </c>
      <c r="BE598" s="90">
        <v>0</v>
      </c>
      <c r="BF598" s="90">
        <f t="shared" si="628"/>
        <v>0</v>
      </c>
      <c r="BH598" s="90">
        <f t="shared" si="629"/>
        <v>0</v>
      </c>
      <c r="BI598" s="90">
        <f t="shared" si="630"/>
        <v>0</v>
      </c>
      <c r="BJ598" s="90">
        <f t="shared" si="631"/>
        <v>0</v>
      </c>
    </row>
    <row r="599" spans="1:62" ht="12.75">
      <c r="A599" s="88" t="s">
        <v>1838</v>
      </c>
      <c r="B599" s="88" t="s">
        <v>60</v>
      </c>
      <c r="C599" s="88" t="s">
        <v>1173</v>
      </c>
      <c r="D599" s="88" t="s">
        <v>1482</v>
      </c>
      <c r="E599" s="88" t="s">
        <v>606</v>
      </c>
      <c r="F599" s="90">
        <v>0</v>
      </c>
      <c r="G599" s="90">
        <f>'Stavební rozpočet (SO 13)'!G443</f>
        <v>0</v>
      </c>
      <c r="H599" s="90">
        <f t="shared" si="606"/>
        <v>0</v>
      </c>
      <c r="I599" s="90">
        <f t="shared" si="607"/>
        <v>0</v>
      </c>
      <c r="J599" s="90">
        <f t="shared" si="608"/>
        <v>0</v>
      </c>
      <c r="K599" s="90">
        <v>0</v>
      </c>
      <c r="L599" s="90">
        <f t="shared" si="609"/>
        <v>0</v>
      </c>
      <c r="M599" s="91" t="s">
        <v>622</v>
      </c>
      <c r="O599" s="90"/>
      <c r="P599" s="90"/>
      <c r="Z599" s="90">
        <f t="shared" si="610"/>
        <v>0</v>
      </c>
      <c r="AB599" s="90">
        <f t="shared" si="611"/>
        <v>0</v>
      </c>
      <c r="AC599" s="90">
        <f t="shared" si="612"/>
        <v>0</v>
      </c>
      <c r="AD599" s="90">
        <f t="shared" si="613"/>
        <v>0</v>
      </c>
      <c r="AE599" s="90">
        <f t="shared" si="614"/>
        <v>0</v>
      </c>
      <c r="AF599" s="90">
        <f t="shared" si="615"/>
        <v>0</v>
      </c>
      <c r="AG599" s="90">
        <f t="shared" si="616"/>
        <v>0</v>
      </c>
      <c r="AH599" s="90">
        <f t="shared" si="617"/>
        <v>0</v>
      </c>
      <c r="AI599" s="154" t="s">
        <v>60</v>
      </c>
      <c r="AJ599" s="90">
        <f t="shared" si="618"/>
        <v>0</v>
      </c>
      <c r="AK599" s="90">
        <f t="shared" si="619"/>
        <v>0</v>
      </c>
      <c r="AL599" s="90">
        <f t="shared" si="620"/>
        <v>0</v>
      </c>
      <c r="AN599" s="90">
        <v>21</v>
      </c>
      <c r="AO599" s="90">
        <f t="shared" si="621"/>
        <v>0</v>
      </c>
      <c r="AP599" s="90">
        <f t="shared" si="622"/>
        <v>0</v>
      </c>
      <c r="AQ599" s="91" t="s">
        <v>79</v>
      </c>
      <c r="AV599" s="90">
        <f t="shared" si="623"/>
        <v>0</v>
      </c>
      <c r="AW599" s="90">
        <f t="shared" si="624"/>
        <v>0</v>
      </c>
      <c r="AX599" s="90">
        <f t="shared" si="625"/>
        <v>0</v>
      </c>
      <c r="AY599" s="91" t="s">
        <v>649</v>
      </c>
      <c r="AZ599" s="91" t="s">
        <v>1536</v>
      </c>
      <c r="BA599" s="154" t="s">
        <v>1542</v>
      </c>
      <c r="BC599" s="90">
        <f t="shared" si="626"/>
        <v>0</v>
      </c>
      <c r="BD599" s="90">
        <f t="shared" si="627"/>
        <v>0</v>
      </c>
      <c r="BE599" s="90">
        <v>0</v>
      </c>
      <c r="BF599" s="90">
        <f t="shared" si="628"/>
        <v>0</v>
      </c>
      <c r="BH599" s="90">
        <f t="shared" si="629"/>
        <v>0</v>
      </c>
      <c r="BI599" s="90">
        <f t="shared" si="630"/>
        <v>0</v>
      </c>
      <c r="BJ599" s="90">
        <f t="shared" si="631"/>
        <v>0</v>
      </c>
    </row>
    <row r="600" spans="1:62" ht="12.75">
      <c r="A600" s="88" t="s">
        <v>1839</v>
      </c>
      <c r="B600" s="88" t="s">
        <v>60</v>
      </c>
      <c r="C600" s="88" t="s">
        <v>1174</v>
      </c>
      <c r="D600" s="88" t="s">
        <v>1483</v>
      </c>
      <c r="E600" s="88" t="s">
        <v>606</v>
      </c>
      <c r="F600" s="90">
        <v>4</v>
      </c>
      <c r="G600" s="90">
        <f>'Stavební rozpočet (SO 13)'!G444</f>
        <v>0</v>
      </c>
      <c r="H600" s="90">
        <f t="shared" si="606"/>
        <v>0</v>
      </c>
      <c r="I600" s="90">
        <f t="shared" si="607"/>
        <v>0</v>
      </c>
      <c r="J600" s="90">
        <f t="shared" si="608"/>
        <v>0</v>
      </c>
      <c r="K600" s="90">
        <v>0</v>
      </c>
      <c r="L600" s="90">
        <f t="shared" si="609"/>
        <v>0</v>
      </c>
      <c r="M600" s="91" t="s">
        <v>622</v>
      </c>
      <c r="O600" s="90"/>
      <c r="P600" s="90"/>
      <c r="Z600" s="90">
        <f t="shared" si="610"/>
        <v>0</v>
      </c>
      <c r="AB600" s="90">
        <f t="shared" si="611"/>
        <v>0</v>
      </c>
      <c r="AC600" s="90">
        <f t="shared" si="612"/>
        <v>0</v>
      </c>
      <c r="AD600" s="90">
        <f t="shared" si="613"/>
        <v>0</v>
      </c>
      <c r="AE600" s="90">
        <f t="shared" si="614"/>
        <v>0</v>
      </c>
      <c r="AF600" s="90">
        <f t="shared" si="615"/>
        <v>0</v>
      </c>
      <c r="AG600" s="90">
        <f t="shared" si="616"/>
        <v>0</v>
      </c>
      <c r="AH600" s="90">
        <f t="shared" si="617"/>
        <v>0</v>
      </c>
      <c r="AI600" s="154" t="s">
        <v>60</v>
      </c>
      <c r="AJ600" s="90">
        <f t="shared" si="618"/>
        <v>0</v>
      </c>
      <c r="AK600" s="90">
        <f t="shared" si="619"/>
        <v>0</v>
      </c>
      <c r="AL600" s="90">
        <f t="shared" si="620"/>
        <v>0</v>
      </c>
      <c r="AN600" s="90">
        <v>21</v>
      </c>
      <c r="AO600" s="90">
        <f t="shared" si="621"/>
        <v>0</v>
      </c>
      <c r="AP600" s="90">
        <f t="shared" si="622"/>
        <v>0</v>
      </c>
      <c r="AQ600" s="91" t="s">
        <v>79</v>
      </c>
      <c r="AV600" s="90">
        <f t="shared" si="623"/>
        <v>0</v>
      </c>
      <c r="AW600" s="90">
        <f t="shared" si="624"/>
        <v>0</v>
      </c>
      <c r="AX600" s="90">
        <f t="shared" si="625"/>
        <v>0</v>
      </c>
      <c r="AY600" s="91" t="s">
        <v>649</v>
      </c>
      <c r="AZ600" s="91" t="s">
        <v>1536</v>
      </c>
      <c r="BA600" s="154" t="s">
        <v>1542</v>
      </c>
      <c r="BC600" s="90">
        <f t="shared" si="626"/>
        <v>0</v>
      </c>
      <c r="BD600" s="90">
        <f t="shared" si="627"/>
        <v>0</v>
      </c>
      <c r="BE600" s="90">
        <v>0</v>
      </c>
      <c r="BF600" s="90">
        <f t="shared" si="628"/>
        <v>0</v>
      </c>
      <c r="BH600" s="90">
        <f t="shared" si="629"/>
        <v>0</v>
      </c>
      <c r="BI600" s="90">
        <f t="shared" si="630"/>
        <v>0</v>
      </c>
      <c r="BJ600" s="90">
        <f t="shared" si="631"/>
        <v>0</v>
      </c>
    </row>
    <row r="601" spans="1:62" ht="12.75">
      <c r="A601" s="88" t="s">
        <v>1840</v>
      </c>
      <c r="B601" s="88" t="s">
        <v>60</v>
      </c>
      <c r="C601" s="88" t="s">
        <v>1175</v>
      </c>
      <c r="D601" s="88" t="s">
        <v>1484</v>
      </c>
      <c r="E601" s="88" t="s">
        <v>606</v>
      </c>
      <c r="F601" s="90">
        <v>0</v>
      </c>
      <c r="G601" s="90">
        <f>'Stavební rozpočet (SO 13)'!G445</f>
        <v>0</v>
      </c>
      <c r="H601" s="90">
        <f t="shared" si="606"/>
        <v>0</v>
      </c>
      <c r="I601" s="90">
        <f t="shared" si="607"/>
        <v>0</v>
      </c>
      <c r="J601" s="90">
        <f t="shared" si="608"/>
        <v>0</v>
      </c>
      <c r="K601" s="90">
        <v>0</v>
      </c>
      <c r="L601" s="90">
        <f t="shared" si="609"/>
        <v>0</v>
      </c>
      <c r="M601" s="91" t="s">
        <v>622</v>
      </c>
      <c r="O601" s="90"/>
      <c r="P601" s="90"/>
      <c r="Z601" s="90">
        <f t="shared" si="610"/>
        <v>0</v>
      </c>
      <c r="AB601" s="90">
        <f t="shared" si="611"/>
        <v>0</v>
      </c>
      <c r="AC601" s="90">
        <f t="shared" si="612"/>
        <v>0</v>
      </c>
      <c r="AD601" s="90">
        <f t="shared" si="613"/>
        <v>0</v>
      </c>
      <c r="AE601" s="90">
        <f t="shared" si="614"/>
        <v>0</v>
      </c>
      <c r="AF601" s="90">
        <f t="shared" si="615"/>
        <v>0</v>
      </c>
      <c r="AG601" s="90">
        <f t="shared" si="616"/>
        <v>0</v>
      </c>
      <c r="AH601" s="90">
        <f t="shared" si="617"/>
        <v>0</v>
      </c>
      <c r="AI601" s="154" t="s">
        <v>60</v>
      </c>
      <c r="AJ601" s="90">
        <f t="shared" si="618"/>
        <v>0</v>
      </c>
      <c r="AK601" s="90">
        <f t="shared" si="619"/>
        <v>0</v>
      </c>
      <c r="AL601" s="90">
        <f t="shared" si="620"/>
        <v>0</v>
      </c>
      <c r="AN601" s="90">
        <v>21</v>
      </c>
      <c r="AO601" s="90">
        <f t="shared" si="621"/>
        <v>0</v>
      </c>
      <c r="AP601" s="90">
        <f t="shared" si="622"/>
        <v>0</v>
      </c>
      <c r="AQ601" s="91" t="s">
        <v>79</v>
      </c>
      <c r="AV601" s="90">
        <f t="shared" si="623"/>
        <v>0</v>
      </c>
      <c r="AW601" s="90">
        <f t="shared" si="624"/>
        <v>0</v>
      </c>
      <c r="AX601" s="90">
        <f t="shared" si="625"/>
        <v>0</v>
      </c>
      <c r="AY601" s="91" t="s">
        <v>649</v>
      </c>
      <c r="AZ601" s="91" t="s">
        <v>1536</v>
      </c>
      <c r="BA601" s="154" t="s">
        <v>1542</v>
      </c>
      <c r="BC601" s="90">
        <f t="shared" si="626"/>
        <v>0</v>
      </c>
      <c r="BD601" s="90">
        <f t="shared" si="627"/>
        <v>0</v>
      </c>
      <c r="BE601" s="90">
        <v>0</v>
      </c>
      <c r="BF601" s="90">
        <f t="shared" si="628"/>
        <v>0</v>
      </c>
      <c r="BH601" s="90">
        <f t="shared" si="629"/>
        <v>0</v>
      </c>
      <c r="BI601" s="90">
        <f t="shared" si="630"/>
        <v>0</v>
      </c>
      <c r="BJ601" s="90">
        <f t="shared" si="631"/>
        <v>0</v>
      </c>
    </row>
    <row r="602" spans="1:62" ht="12.75">
      <c r="A602" s="88" t="s">
        <v>1841</v>
      </c>
      <c r="B602" s="88" t="s">
        <v>60</v>
      </c>
      <c r="C602" s="88" t="s">
        <v>1176</v>
      </c>
      <c r="D602" s="88" t="s">
        <v>1485</v>
      </c>
      <c r="E602" s="88" t="s">
        <v>606</v>
      </c>
      <c r="F602" s="90">
        <v>0</v>
      </c>
      <c r="G602" s="90">
        <f>'Stavební rozpočet (SO 13)'!G446</f>
        <v>0</v>
      </c>
      <c r="H602" s="90">
        <f t="shared" si="606"/>
        <v>0</v>
      </c>
      <c r="I602" s="90">
        <f t="shared" si="607"/>
        <v>0</v>
      </c>
      <c r="J602" s="90">
        <f t="shared" si="608"/>
        <v>0</v>
      </c>
      <c r="K602" s="90">
        <v>0</v>
      </c>
      <c r="L602" s="90">
        <f t="shared" si="609"/>
        <v>0</v>
      </c>
      <c r="M602" s="91" t="s">
        <v>622</v>
      </c>
      <c r="O602" s="90"/>
      <c r="P602" s="90"/>
      <c r="Z602" s="90">
        <f t="shared" si="610"/>
        <v>0</v>
      </c>
      <c r="AB602" s="90">
        <f t="shared" si="611"/>
        <v>0</v>
      </c>
      <c r="AC602" s="90">
        <f t="shared" si="612"/>
        <v>0</v>
      </c>
      <c r="AD602" s="90">
        <f t="shared" si="613"/>
        <v>0</v>
      </c>
      <c r="AE602" s="90">
        <f t="shared" si="614"/>
        <v>0</v>
      </c>
      <c r="AF602" s="90">
        <f t="shared" si="615"/>
        <v>0</v>
      </c>
      <c r="AG602" s="90">
        <f t="shared" si="616"/>
        <v>0</v>
      </c>
      <c r="AH602" s="90">
        <f t="shared" si="617"/>
        <v>0</v>
      </c>
      <c r="AI602" s="154" t="s">
        <v>60</v>
      </c>
      <c r="AJ602" s="90">
        <f t="shared" si="618"/>
        <v>0</v>
      </c>
      <c r="AK602" s="90">
        <f t="shared" si="619"/>
        <v>0</v>
      </c>
      <c r="AL602" s="90">
        <f t="shared" si="620"/>
        <v>0</v>
      </c>
      <c r="AN602" s="90">
        <v>21</v>
      </c>
      <c r="AO602" s="90">
        <f t="shared" si="621"/>
        <v>0</v>
      </c>
      <c r="AP602" s="90">
        <f t="shared" si="622"/>
        <v>0</v>
      </c>
      <c r="AQ602" s="91" t="s">
        <v>79</v>
      </c>
      <c r="AV602" s="90">
        <f t="shared" si="623"/>
        <v>0</v>
      </c>
      <c r="AW602" s="90">
        <f t="shared" si="624"/>
        <v>0</v>
      </c>
      <c r="AX602" s="90">
        <f t="shared" si="625"/>
        <v>0</v>
      </c>
      <c r="AY602" s="91" t="s">
        <v>649</v>
      </c>
      <c r="AZ602" s="91" t="s">
        <v>1536</v>
      </c>
      <c r="BA602" s="154" t="s">
        <v>1542</v>
      </c>
      <c r="BC602" s="90">
        <f t="shared" si="626"/>
        <v>0</v>
      </c>
      <c r="BD602" s="90">
        <f t="shared" si="627"/>
        <v>0</v>
      </c>
      <c r="BE602" s="90">
        <v>0</v>
      </c>
      <c r="BF602" s="90">
        <f t="shared" si="628"/>
        <v>0</v>
      </c>
      <c r="BH602" s="90">
        <f t="shared" si="629"/>
        <v>0</v>
      </c>
      <c r="BI602" s="90">
        <f t="shared" si="630"/>
        <v>0</v>
      </c>
      <c r="BJ602" s="90">
        <f t="shared" si="631"/>
        <v>0</v>
      </c>
    </row>
    <row r="603" spans="1:62" ht="12.75">
      <c r="A603" s="88" t="s">
        <v>1842</v>
      </c>
      <c r="B603" s="88" t="s">
        <v>60</v>
      </c>
      <c r="C603" s="88" t="s">
        <v>1177</v>
      </c>
      <c r="D603" s="88" t="s">
        <v>1486</v>
      </c>
      <c r="E603" s="88" t="s">
        <v>606</v>
      </c>
      <c r="F603" s="90">
        <v>0</v>
      </c>
      <c r="G603" s="90">
        <f>'Stavební rozpočet (SO 13)'!G447</f>
        <v>0</v>
      </c>
      <c r="H603" s="90">
        <f t="shared" si="606"/>
        <v>0</v>
      </c>
      <c r="I603" s="90">
        <f t="shared" si="607"/>
        <v>0</v>
      </c>
      <c r="J603" s="90">
        <f t="shared" si="608"/>
        <v>0</v>
      </c>
      <c r="K603" s="90">
        <v>0</v>
      </c>
      <c r="L603" s="90">
        <f t="shared" si="609"/>
        <v>0</v>
      </c>
      <c r="M603" s="91" t="s">
        <v>622</v>
      </c>
      <c r="O603" s="90"/>
      <c r="P603" s="90"/>
      <c r="Z603" s="90">
        <f t="shared" si="610"/>
        <v>0</v>
      </c>
      <c r="AB603" s="90">
        <f t="shared" si="611"/>
        <v>0</v>
      </c>
      <c r="AC603" s="90">
        <f t="shared" si="612"/>
        <v>0</v>
      </c>
      <c r="AD603" s="90">
        <f t="shared" si="613"/>
        <v>0</v>
      </c>
      <c r="AE603" s="90">
        <f t="shared" si="614"/>
        <v>0</v>
      </c>
      <c r="AF603" s="90">
        <f t="shared" si="615"/>
        <v>0</v>
      </c>
      <c r="AG603" s="90">
        <f t="shared" si="616"/>
        <v>0</v>
      </c>
      <c r="AH603" s="90">
        <f t="shared" si="617"/>
        <v>0</v>
      </c>
      <c r="AI603" s="154" t="s">
        <v>60</v>
      </c>
      <c r="AJ603" s="90">
        <f t="shared" si="618"/>
        <v>0</v>
      </c>
      <c r="AK603" s="90">
        <f t="shared" si="619"/>
        <v>0</v>
      </c>
      <c r="AL603" s="90">
        <f t="shared" si="620"/>
        <v>0</v>
      </c>
      <c r="AN603" s="90">
        <v>21</v>
      </c>
      <c r="AO603" s="90">
        <f t="shared" si="621"/>
        <v>0</v>
      </c>
      <c r="AP603" s="90">
        <f t="shared" si="622"/>
        <v>0</v>
      </c>
      <c r="AQ603" s="91" t="s">
        <v>79</v>
      </c>
      <c r="AV603" s="90">
        <f t="shared" si="623"/>
        <v>0</v>
      </c>
      <c r="AW603" s="90">
        <f t="shared" si="624"/>
        <v>0</v>
      </c>
      <c r="AX603" s="90">
        <f t="shared" si="625"/>
        <v>0</v>
      </c>
      <c r="AY603" s="91" t="s">
        <v>649</v>
      </c>
      <c r="AZ603" s="91" t="s">
        <v>1536</v>
      </c>
      <c r="BA603" s="154" t="s">
        <v>1542</v>
      </c>
      <c r="BC603" s="90">
        <f t="shared" si="626"/>
        <v>0</v>
      </c>
      <c r="BD603" s="90">
        <f t="shared" si="627"/>
        <v>0</v>
      </c>
      <c r="BE603" s="90">
        <v>0</v>
      </c>
      <c r="BF603" s="90">
        <f t="shared" si="628"/>
        <v>0</v>
      </c>
      <c r="BH603" s="90">
        <f t="shared" si="629"/>
        <v>0</v>
      </c>
      <c r="BI603" s="90">
        <f t="shared" si="630"/>
        <v>0</v>
      </c>
      <c r="BJ603" s="90">
        <f t="shared" si="631"/>
        <v>0</v>
      </c>
    </row>
    <row r="604" spans="1:62" ht="12.75">
      <c r="A604" s="88" t="s">
        <v>1843</v>
      </c>
      <c r="B604" s="88" t="s">
        <v>60</v>
      </c>
      <c r="C604" s="88" t="s">
        <v>1178</v>
      </c>
      <c r="D604" s="88" t="s">
        <v>1487</v>
      </c>
      <c r="E604" s="88" t="s">
        <v>606</v>
      </c>
      <c r="F604" s="90">
        <v>0</v>
      </c>
      <c r="G604" s="90">
        <f>'Stavební rozpočet (SO 13)'!G448</f>
        <v>0</v>
      </c>
      <c r="H604" s="90">
        <f t="shared" si="606"/>
        <v>0</v>
      </c>
      <c r="I604" s="90">
        <f t="shared" si="607"/>
        <v>0</v>
      </c>
      <c r="J604" s="90">
        <f t="shared" si="608"/>
        <v>0</v>
      </c>
      <c r="K604" s="90">
        <v>0</v>
      </c>
      <c r="L604" s="90">
        <f t="shared" si="609"/>
        <v>0</v>
      </c>
      <c r="M604" s="91" t="s">
        <v>622</v>
      </c>
      <c r="O604" s="90"/>
      <c r="P604" s="90"/>
      <c r="Z604" s="90">
        <f t="shared" si="610"/>
        <v>0</v>
      </c>
      <c r="AB604" s="90">
        <f t="shared" si="611"/>
        <v>0</v>
      </c>
      <c r="AC604" s="90">
        <f t="shared" si="612"/>
        <v>0</v>
      </c>
      <c r="AD604" s="90">
        <f t="shared" si="613"/>
        <v>0</v>
      </c>
      <c r="AE604" s="90">
        <f t="shared" si="614"/>
        <v>0</v>
      </c>
      <c r="AF604" s="90">
        <f t="shared" si="615"/>
        <v>0</v>
      </c>
      <c r="AG604" s="90">
        <f t="shared" si="616"/>
        <v>0</v>
      </c>
      <c r="AH604" s="90">
        <f t="shared" si="617"/>
        <v>0</v>
      </c>
      <c r="AI604" s="154" t="s">
        <v>60</v>
      </c>
      <c r="AJ604" s="90">
        <f t="shared" si="618"/>
        <v>0</v>
      </c>
      <c r="AK604" s="90">
        <f t="shared" si="619"/>
        <v>0</v>
      </c>
      <c r="AL604" s="90">
        <f t="shared" si="620"/>
        <v>0</v>
      </c>
      <c r="AN604" s="90">
        <v>21</v>
      </c>
      <c r="AO604" s="90">
        <f t="shared" si="621"/>
        <v>0</v>
      </c>
      <c r="AP604" s="90">
        <f t="shared" si="622"/>
        <v>0</v>
      </c>
      <c r="AQ604" s="91" t="s">
        <v>79</v>
      </c>
      <c r="AV604" s="90">
        <f t="shared" si="623"/>
        <v>0</v>
      </c>
      <c r="AW604" s="90">
        <f t="shared" si="624"/>
        <v>0</v>
      </c>
      <c r="AX604" s="90">
        <f t="shared" si="625"/>
        <v>0</v>
      </c>
      <c r="AY604" s="91" t="s">
        <v>649</v>
      </c>
      <c r="AZ604" s="91" t="s">
        <v>1536</v>
      </c>
      <c r="BA604" s="154" t="s">
        <v>1542</v>
      </c>
      <c r="BC604" s="90">
        <f t="shared" si="626"/>
        <v>0</v>
      </c>
      <c r="BD604" s="90">
        <f t="shared" si="627"/>
        <v>0</v>
      </c>
      <c r="BE604" s="90">
        <v>0</v>
      </c>
      <c r="BF604" s="90">
        <f t="shared" si="628"/>
        <v>0</v>
      </c>
      <c r="BH604" s="90">
        <f t="shared" si="629"/>
        <v>0</v>
      </c>
      <c r="BI604" s="90">
        <f t="shared" si="630"/>
        <v>0</v>
      </c>
      <c r="BJ604" s="90">
        <f t="shared" si="631"/>
        <v>0</v>
      </c>
    </row>
    <row r="605" spans="1:62" ht="12.75">
      <c r="A605" s="88" t="s">
        <v>1844</v>
      </c>
      <c r="B605" s="88" t="s">
        <v>60</v>
      </c>
      <c r="C605" s="88" t="s">
        <v>1179</v>
      </c>
      <c r="D605" s="88" t="s">
        <v>1488</v>
      </c>
      <c r="E605" s="88" t="s">
        <v>606</v>
      </c>
      <c r="F605" s="90">
        <v>19</v>
      </c>
      <c r="G605" s="90">
        <f>'Stavební rozpočet (SO 13)'!G449</f>
        <v>0</v>
      </c>
      <c r="H605" s="90">
        <f t="shared" si="606"/>
        <v>0</v>
      </c>
      <c r="I605" s="90">
        <f t="shared" si="607"/>
        <v>0</v>
      </c>
      <c r="J605" s="90">
        <f t="shared" si="608"/>
        <v>0</v>
      </c>
      <c r="K605" s="90">
        <v>0</v>
      </c>
      <c r="L605" s="90">
        <f t="shared" si="609"/>
        <v>0</v>
      </c>
      <c r="M605" s="91" t="s">
        <v>622</v>
      </c>
      <c r="O605" s="90"/>
      <c r="P605" s="90"/>
      <c r="Z605" s="90">
        <f t="shared" si="610"/>
        <v>0</v>
      </c>
      <c r="AB605" s="90">
        <f t="shared" si="611"/>
        <v>0</v>
      </c>
      <c r="AC605" s="90">
        <f t="shared" si="612"/>
        <v>0</v>
      </c>
      <c r="AD605" s="90">
        <f t="shared" si="613"/>
        <v>0</v>
      </c>
      <c r="AE605" s="90">
        <f t="shared" si="614"/>
        <v>0</v>
      </c>
      <c r="AF605" s="90">
        <f t="shared" si="615"/>
        <v>0</v>
      </c>
      <c r="AG605" s="90">
        <f t="shared" si="616"/>
        <v>0</v>
      </c>
      <c r="AH605" s="90">
        <f t="shared" si="617"/>
        <v>0</v>
      </c>
      <c r="AI605" s="154" t="s">
        <v>60</v>
      </c>
      <c r="AJ605" s="90">
        <f t="shared" si="618"/>
        <v>0</v>
      </c>
      <c r="AK605" s="90">
        <f t="shared" si="619"/>
        <v>0</v>
      </c>
      <c r="AL605" s="90">
        <f t="shared" si="620"/>
        <v>0</v>
      </c>
      <c r="AN605" s="90">
        <v>21</v>
      </c>
      <c r="AO605" s="90">
        <f t="shared" si="621"/>
        <v>0</v>
      </c>
      <c r="AP605" s="90">
        <f t="shared" si="622"/>
        <v>0</v>
      </c>
      <c r="AQ605" s="91" t="s">
        <v>79</v>
      </c>
      <c r="AV605" s="90">
        <f t="shared" si="623"/>
        <v>0</v>
      </c>
      <c r="AW605" s="90">
        <f t="shared" si="624"/>
        <v>0</v>
      </c>
      <c r="AX605" s="90">
        <f t="shared" si="625"/>
        <v>0</v>
      </c>
      <c r="AY605" s="91" t="s">
        <v>649</v>
      </c>
      <c r="AZ605" s="91" t="s">
        <v>1536</v>
      </c>
      <c r="BA605" s="154" t="s">
        <v>1542</v>
      </c>
      <c r="BC605" s="90">
        <f t="shared" si="626"/>
        <v>0</v>
      </c>
      <c r="BD605" s="90">
        <f t="shared" si="627"/>
        <v>0</v>
      </c>
      <c r="BE605" s="90">
        <v>0</v>
      </c>
      <c r="BF605" s="90">
        <f t="shared" si="628"/>
        <v>0</v>
      </c>
      <c r="BH605" s="90">
        <f t="shared" si="629"/>
        <v>0</v>
      </c>
      <c r="BI605" s="90">
        <f t="shared" si="630"/>
        <v>0</v>
      </c>
      <c r="BJ605" s="90">
        <f t="shared" si="631"/>
        <v>0</v>
      </c>
    </row>
    <row r="606" spans="1:62" ht="12.75">
      <c r="A606" s="88" t="s">
        <v>1845</v>
      </c>
      <c r="B606" s="88" t="s">
        <v>60</v>
      </c>
      <c r="C606" s="88" t="s">
        <v>1180</v>
      </c>
      <c r="D606" s="88" t="s">
        <v>1489</v>
      </c>
      <c r="E606" s="88" t="s">
        <v>606</v>
      </c>
      <c r="F606" s="90">
        <v>13</v>
      </c>
      <c r="G606" s="90">
        <f>'Stavební rozpočet (SO 13)'!G450</f>
        <v>0</v>
      </c>
      <c r="H606" s="90">
        <f t="shared" si="606"/>
        <v>0</v>
      </c>
      <c r="I606" s="90">
        <f t="shared" si="607"/>
        <v>0</v>
      </c>
      <c r="J606" s="90">
        <f t="shared" si="608"/>
        <v>0</v>
      </c>
      <c r="K606" s="90">
        <v>0</v>
      </c>
      <c r="L606" s="90">
        <f t="shared" si="609"/>
        <v>0</v>
      </c>
      <c r="M606" s="91" t="s">
        <v>622</v>
      </c>
      <c r="O606" s="90"/>
      <c r="P606" s="90"/>
      <c r="Z606" s="90">
        <f t="shared" si="610"/>
        <v>0</v>
      </c>
      <c r="AB606" s="90">
        <f t="shared" si="611"/>
        <v>0</v>
      </c>
      <c r="AC606" s="90">
        <f t="shared" si="612"/>
        <v>0</v>
      </c>
      <c r="AD606" s="90">
        <f t="shared" si="613"/>
        <v>0</v>
      </c>
      <c r="AE606" s="90">
        <f t="shared" si="614"/>
        <v>0</v>
      </c>
      <c r="AF606" s="90">
        <f t="shared" si="615"/>
        <v>0</v>
      </c>
      <c r="AG606" s="90">
        <f t="shared" si="616"/>
        <v>0</v>
      </c>
      <c r="AH606" s="90">
        <f t="shared" si="617"/>
        <v>0</v>
      </c>
      <c r="AI606" s="154" t="s">
        <v>60</v>
      </c>
      <c r="AJ606" s="90">
        <f t="shared" si="618"/>
        <v>0</v>
      </c>
      <c r="AK606" s="90">
        <f t="shared" si="619"/>
        <v>0</v>
      </c>
      <c r="AL606" s="90">
        <f t="shared" si="620"/>
        <v>0</v>
      </c>
      <c r="AN606" s="90">
        <v>21</v>
      </c>
      <c r="AO606" s="90">
        <f t="shared" si="621"/>
        <v>0</v>
      </c>
      <c r="AP606" s="90">
        <f t="shared" si="622"/>
        <v>0</v>
      </c>
      <c r="AQ606" s="91" t="s">
        <v>79</v>
      </c>
      <c r="AV606" s="90">
        <f t="shared" si="623"/>
        <v>0</v>
      </c>
      <c r="AW606" s="90">
        <f t="shared" si="624"/>
        <v>0</v>
      </c>
      <c r="AX606" s="90">
        <f t="shared" si="625"/>
        <v>0</v>
      </c>
      <c r="AY606" s="91" t="s">
        <v>649</v>
      </c>
      <c r="AZ606" s="91" t="s">
        <v>1536</v>
      </c>
      <c r="BA606" s="154" t="s">
        <v>1542</v>
      </c>
      <c r="BC606" s="90">
        <f t="shared" si="626"/>
        <v>0</v>
      </c>
      <c r="BD606" s="90">
        <f t="shared" si="627"/>
        <v>0</v>
      </c>
      <c r="BE606" s="90">
        <v>0</v>
      </c>
      <c r="BF606" s="90">
        <f t="shared" si="628"/>
        <v>0</v>
      </c>
      <c r="BH606" s="90">
        <f t="shared" si="629"/>
        <v>0</v>
      </c>
      <c r="BI606" s="90">
        <f t="shared" si="630"/>
        <v>0</v>
      </c>
      <c r="BJ606" s="90">
        <f t="shared" si="631"/>
        <v>0</v>
      </c>
    </row>
    <row r="607" spans="1:62" ht="12.75">
      <c r="A607" s="88" t="s">
        <v>1846</v>
      </c>
      <c r="B607" s="88" t="s">
        <v>60</v>
      </c>
      <c r="C607" s="88" t="s">
        <v>1181</v>
      </c>
      <c r="D607" s="88" t="s">
        <v>1490</v>
      </c>
      <c r="E607" s="88" t="s">
        <v>606</v>
      </c>
      <c r="F607" s="90">
        <v>6</v>
      </c>
      <c r="G607" s="90">
        <f>'Stavební rozpočet (SO 13)'!G451</f>
        <v>0</v>
      </c>
      <c r="H607" s="90">
        <f t="shared" si="606"/>
        <v>0</v>
      </c>
      <c r="I607" s="90">
        <f t="shared" si="607"/>
        <v>0</v>
      </c>
      <c r="J607" s="90">
        <f t="shared" si="608"/>
        <v>0</v>
      </c>
      <c r="K607" s="90">
        <v>0</v>
      </c>
      <c r="L607" s="90">
        <f t="shared" si="609"/>
        <v>0</v>
      </c>
      <c r="M607" s="91" t="s">
        <v>622</v>
      </c>
      <c r="O607" s="90"/>
      <c r="P607" s="90"/>
      <c r="Z607" s="90">
        <f t="shared" si="610"/>
        <v>0</v>
      </c>
      <c r="AB607" s="90">
        <f t="shared" si="611"/>
        <v>0</v>
      </c>
      <c r="AC607" s="90">
        <f t="shared" si="612"/>
        <v>0</v>
      </c>
      <c r="AD607" s="90">
        <f t="shared" si="613"/>
        <v>0</v>
      </c>
      <c r="AE607" s="90">
        <f t="shared" si="614"/>
        <v>0</v>
      </c>
      <c r="AF607" s="90">
        <f t="shared" si="615"/>
        <v>0</v>
      </c>
      <c r="AG607" s="90">
        <f t="shared" si="616"/>
        <v>0</v>
      </c>
      <c r="AH607" s="90">
        <f t="shared" si="617"/>
        <v>0</v>
      </c>
      <c r="AI607" s="154" t="s">
        <v>60</v>
      </c>
      <c r="AJ607" s="90">
        <f t="shared" si="618"/>
        <v>0</v>
      </c>
      <c r="AK607" s="90">
        <f t="shared" si="619"/>
        <v>0</v>
      </c>
      <c r="AL607" s="90">
        <f t="shared" si="620"/>
        <v>0</v>
      </c>
      <c r="AN607" s="90">
        <v>21</v>
      </c>
      <c r="AO607" s="90">
        <f t="shared" si="621"/>
        <v>0</v>
      </c>
      <c r="AP607" s="90">
        <f t="shared" si="622"/>
        <v>0</v>
      </c>
      <c r="AQ607" s="91" t="s">
        <v>79</v>
      </c>
      <c r="AV607" s="90">
        <f t="shared" si="623"/>
        <v>0</v>
      </c>
      <c r="AW607" s="90">
        <f t="shared" si="624"/>
        <v>0</v>
      </c>
      <c r="AX607" s="90">
        <f t="shared" si="625"/>
        <v>0</v>
      </c>
      <c r="AY607" s="91" t="s">
        <v>649</v>
      </c>
      <c r="AZ607" s="91" t="s">
        <v>1536</v>
      </c>
      <c r="BA607" s="154" t="s">
        <v>1542</v>
      </c>
      <c r="BC607" s="90">
        <f t="shared" si="626"/>
        <v>0</v>
      </c>
      <c r="BD607" s="90">
        <f t="shared" si="627"/>
        <v>0</v>
      </c>
      <c r="BE607" s="90">
        <v>0</v>
      </c>
      <c r="BF607" s="90">
        <f t="shared" si="628"/>
        <v>0</v>
      </c>
      <c r="BH607" s="90">
        <f t="shared" si="629"/>
        <v>0</v>
      </c>
      <c r="BI607" s="90">
        <f t="shared" si="630"/>
        <v>0</v>
      </c>
      <c r="BJ607" s="90">
        <f t="shared" si="631"/>
        <v>0</v>
      </c>
    </row>
    <row r="608" spans="1:62" ht="12.75">
      <c r="A608" s="88" t="s">
        <v>1847</v>
      </c>
      <c r="B608" s="88" t="s">
        <v>60</v>
      </c>
      <c r="C608" s="88" t="s">
        <v>1182</v>
      </c>
      <c r="D608" s="88" t="s">
        <v>1491</v>
      </c>
      <c r="E608" s="88" t="s">
        <v>606</v>
      </c>
      <c r="F608" s="90">
        <v>0</v>
      </c>
      <c r="G608" s="90">
        <f>'Stavební rozpočet (SO 13)'!G452</f>
        <v>0</v>
      </c>
      <c r="H608" s="90">
        <f aca="true" t="shared" si="632" ref="H608:H639">F608*AO608</f>
        <v>0</v>
      </c>
      <c r="I608" s="90">
        <f aca="true" t="shared" si="633" ref="I608:I639">F608*AP608</f>
        <v>0</v>
      </c>
      <c r="J608" s="90">
        <f aca="true" t="shared" si="634" ref="J608:J639">F608*G608</f>
        <v>0</v>
      </c>
      <c r="K608" s="90">
        <v>0</v>
      </c>
      <c r="L608" s="90">
        <f aca="true" t="shared" si="635" ref="L608:L639">F608*K608</f>
        <v>0</v>
      </c>
      <c r="M608" s="91" t="s">
        <v>622</v>
      </c>
      <c r="O608" s="90"/>
      <c r="P608" s="90"/>
      <c r="Z608" s="90">
        <f aca="true" t="shared" si="636" ref="Z608:Z639">IF(AQ608="5",BJ608,0)</f>
        <v>0</v>
      </c>
      <c r="AB608" s="90">
        <f aca="true" t="shared" si="637" ref="AB608:AB639">IF(AQ608="1",BH608,0)</f>
        <v>0</v>
      </c>
      <c r="AC608" s="90">
        <f aca="true" t="shared" si="638" ref="AC608:AC639">IF(AQ608="1",BI608,0)</f>
        <v>0</v>
      </c>
      <c r="AD608" s="90">
        <f aca="true" t="shared" si="639" ref="AD608:AD639">IF(AQ608="7",BH608,0)</f>
        <v>0</v>
      </c>
      <c r="AE608" s="90">
        <f aca="true" t="shared" si="640" ref="AE608:AE639">IF(AQ608="7",BI608,0)</f>
        <v>0</v>
      </c>
      <c r="AF608" s="90">
        <f aca="true" t="shared" si="641" ref="AF608:AF639">IF(AQ608="2",BH608,0)</f>
        <v>0</v>
      </c>
      <c r="AG608" s="90">
        <f aca="true" t="shared" si="642" ref="AG608:AG639">IF(AQ608="2",BI608,0)</f>
        <v>0</v>
      </c>
      <c r="AH608" s="90">
        <f aca="true" t="shared" si="643" ref="AH608:AH639">IF(AQ608="0",BJ608,0)</f>
        <v>0</v>
      </c>
      <c r="AI608" s="154" t="s">
        <v>60</v>
      </c>
      <c r="AJ608" s="90">
        <f aca="true" t="shared" si="644" ref="AJ608:AJ639">IF(AN608=0,J608,0)</f>
        <v>0</v>
      </c>
      <c r="AK608" s="90">
        <f aca="true" t="shared" si="645" ref="AK608:AK639">IF(AN608=15,J608,0)</f>
        <v>0</v>
      </c>
      <c r="AL608" s="90">
        <f aca="true" t="shared" si="646" ref="AL608:AL639">IF(AN608=21,J608,0)</f>
        <v>0</v>
      </c>
      <c r="AN608" s="90">
        <v>21</v>
      </c>
      <c r="AO608" s="90">
        <f aca="true" t="shared" si="647" ref="AO608:AO639">G608*0</f>
        <v>0</v>
      </c>
      <c r="AP608" s="90">
        <f aca="true" t="shared" si="648" ref="AP608:AP639">G608*(1-0)</f>
        <v>0</v>
      </c>
      <c r="AQ608" s="91" t="s">
        <v>79</v>
      </c>
      <c r="AV608" s="90">
        <f aca="true" t="shared" si="649" ref="AV608:AV639">AW608+AX608</f>
        <v>0</v>
      </c>
      <c r="AW608" s="90">
        <f aca="true" t="shared" si="650" ref="AW608:AW639">F608*AO608</f>
        <v>0</v>
      </c>
      <c r="AX608" s="90">
        <f aca="true" t="shared" si="651" ref="AX608:AX639">F608*AP608</f>
        <v>0</v>
      </c>
      <c r="AY608" s="91" t="s">
        <v>649</v>
      </c>
      <c r="AZ608" s="91" t="s">
        <v>1536</v>
      </c>
      <c r="BA608" s="154" t="s">
        <v>1542</v>
      </c>
      <c r="BC608" s="90">
        <f aca="true" t="shared" si="652" ref="BC608:BC639">AW608+AX608</f>
        <v>0</v>
      </c>
      <c r="BD608" s="90">
        <f aca="true" t="shared" si="653" ref="BD608:BD639">G608/(100-BE608)*100</f>
        <v>0</v>
      </c>
      <c r="BE608" s="90">
        <v>0</v>
      </c>
      <c r="BF608" s="90">
        <f aca="true" t="shared" si="654" ref="BF608:BF639">L608</f>
        <v>0</v>
      </c>
      <c r="BH608" s="90">
        <f aca="true" t="shared" si="655" ref="BH608:BH639">F608*AO608</f>
        <v>0</v>
      </c>
      <c r="BI608" s="90">
        <f aca="true" t="shared" si="656" ref="BI608:BI639">F608*AP608</f>
        <v>0</v>
      </c>
      <c r="BJ608" s="90">
        <f aca="true" t="shared" si="657" ref="BJ608:BJ639">F608*G608</f>
        <v>0</v>
      </c>
    </row>
    <row r="609" spans="1:62" ht="12.75">
      <c r="A609" s="88" t="s">
        <v>1848</v>
      </c>
      <c r="B609" s="88" t="s">
        <v>60</v>
      </c>
      <c r="C609" s="88" t="s">
        <v>1183</v>
      </c>
      <c r="D609" s="88" t="s">
        <v>1492</v>
      </c>
      <c r="E609" s="88" t="s">
        <v>606</v>
      </c>
      <c r="F609" s="90">
        <v>7</v>
      </c>
      <c r="G609" s="90">
        <f>'Stavební rozpočet (SO 13)'!G453</f>
        <v>0</v>
      </c>
      <c r="H609" s="90">
        <f t="shared" si="632"/>
        <v>0</v>
      </c>
      <c r="I609" s="90">
        <f t="shared" si="633"/>
        <v>0</v>
      </c>
      <c r="J609" s="90">
        <f t="shared" si="634"/>
        <v>0</v>
      </c>
      <c r="K609" s="90">
        <v>0</v>
      </c>
      <c r="L609" s="90">
        <f t="shared" si="635"/>
        <v>0</v>
      </c>
      <c r="M609" s="91" t="s">
        <v>622</v>
      </c>
      <c r="O609" s="90"/>
      <c r="P609" s="90"/>
      <c r="Z609" s="90">
        <f t="shared" si="636"/>
        <v>0</v>
      </c>
      <c r="AB609" s="90">
        <f t="shared" si="637"/>
        <v>0</v>
      </c>
      <c r="AC609" s="90">
        <f t="shared" si="638"/>
        <v>0</v>
      </c>
      <c r="AD609" s="90">
        <f t="shared" si="639"/>
        <v>0</v>
      </c>
      <c r="AE609" s="90">
        <f t="shared" si="640"/>
        <v>0</v>
      </c>
      <c r="AF609" s="90">
        <f t="shared" si="641"/>
        <v>0</v>
      </c>
      <c r="AG609" s="90">
        <f t="shared" si="642"/>
        <v>0</v>
      </c>
      <c r="AH609" s="90">
        <f t="shared" si="643"/>
        <v>0</v>
      </c>
      <c r="AI609" s="154" t="s">
        <v>60</v>
      </c>
      <c r="AJ609" s="90">
        <f t="shared" si="644"/>
        <v>0</v>
      </c>
      <c r="AK609" s="90">
        <f t="shared" si="645"/>
        <v>0</v>
      </c>
      <c r="AL609" s="90">
        <f t="shared" si="646"/>
        <v>0</v>
      </c>
      <c r="AN609" s="90">
        <v>21</v>
      </c>
      <c r="AO609" s="90">
        <f t="shared" si="647"/>
        <v>0</v>
      </c>
      <c r="AP609" s="90">
        <f t="shared" si="648"/>
        <v>0</v>
      </c>
      <c r="AQ609" s="91" t="s">
        <v>79</v>
      </c>
      <c r="AV609" s="90">
        <f t="shared" si="649"/>
        <v>0</v>
      </c>
      <c r="AW609" s="90">
        <f t="shared" si="650"/>
        <v>0</v>
      </c>
      <c r="AX609" s="90">
        <f t="shared" si="651"/>
        <v>0</v>
      </c>
      <c r="AY609" s="91" t="s">
        <v>649</v>
      </c>
      <c r="AZ609" s="91" t="s">
        <v>1536</v>
      </c>
      <c r="BA609" s="154" t="s">
        <v>1542</v>
      </c>
      <c r="BC609" s="90">
        <f t="shared" si="652"/>
        <v>0</v>
      </c>
      <c r="BD609" s="90">
        <f t="shared" si="653"/>
        <v>0</v>
      </c>
      <c r="BE609" s="90">
        <v>0</v>
      </c>
      <c r="BF609" s="90">
        <f t="shared" si="654"/>
        <v>0</v>
      </c>
      <c r="BH609" s="90">
        <f t="shared" si="655"/>
        <v>0</v>
      </c>
      <c r="BI609" s="90">
        <f t="shared" si="656"/>
        <v>0</v>
      </c>
      <c r="BJ609" s="90">
        <f t="shared" si="657"/>
        <v>0</v>
      </c>
    </row>
    <row r="610" spans="1:62" ht="12.75">
      <c r="A610" s="88" t="s">
        <v>1849</v>
      </c>
      <c r="B610" s="88" t="s">
        <v>60</v>
      </c>
      <c r="C610" s="88" t="s">
        <v>1184</v>
      </c>
      <c r="D610" s="88" t="s">
        <v>1493</v>
      </c>
      <c r="E610" s="88" t="s">
        <v>606</v>
      </c>
      <c r="F610" s="90">
        <v>7</v>
      </c>
      <c r="G610" s="90">
        <f>'Stavební rozpočet (SO 13)'!G454</f>
        <v>0</v>
      </c>
      <c r="H610" s="90">
        <f t="shared" si="632"/>
        <v>0</v>
      </c>
      <c r="I610" s="90">
        <f t="shared" si="633"/>
        <v>0</v>
      </c>
      <c r="J610" s="90">
        <f t="shared" si="634"/>
        <v>0</v>
      </c>
      <c r="K610" s="90">
        <v>0</v>
      </c>
      <c r="L610" s="90">
        <f t="shared" si="635"/>
        <v>0</v>
      </c>
      <c r="M610" s="91" t="s">
        <v>622</v>
      </c>
      <c r="O610" s="90"/>
      <c r="P610" s="90"/>
      <c r="Z610" s="90">
        <f t="shared" si="636"/>
        <v>0</v>
      </c>
      <c r="AB610" s="90">
        <f t="shared" si="637"/>
        <v>0</v>
      </c>
      <c r="AC610" s="90">
        <f t="shared" si="638"/>
        <v>0</v>
      </c>
      <c r="AD610" s="90">
        <f t="shared" si="639"/>
        <v>0</v>
      </c>
      <c r="AE610" s="90">
        <f t="shared" si="640"/>
        <v>0</v>
      </c>
      <c r="AF610" s="90">
        <f t="shared" si="641"/>
        <v>0</v>
      </c>
      <c r="AG610" s="90">
        <f t="shared" si="642"/>
        <v>0</v>
      </c>
      <c r="AH610" s="90">
        <f t="shared" si="643"/>
        <v>0</v>
      </c>
      <c r="AI610" s="154" t="s">
        <v>60</v>
      </c>
      <c r="AJ610" s="90">
        <f t="shared" si="644"/>
        <v>0</v>
      </c>
      <c r="AK610" s="90">
        <f t="shared" si="645"/>
        <v>0</v>
      </c>
      <c r="AL610" s="90">
        <f t="shared" si="646"/>
        <v>0</v>
      </c>
      <c r="AN610" s="90">
        <v>21</v>
      </c>
      <c r="AO610" s="90">
        <f t="shared" si="647"/>
        <v>0</v>
      </c>
      <c r="AP610" s="90">
        <f t="shared" si="648"/>
        <v>0</v>
      </c>
      <c r="AQ610" s="91" t="s">
        <v>79</v>
      </c>
      <c r="AV610" s="90">
        <f t="shared" si="649"/>
        <v>0</v>
      </c>
      <c r="AW610" s="90">
        <f t="shared" si="650"/>
        <v>0</v>
      </c>
      <c r="AX610" s="90">
        <f t="shared" si="651"/>
        <v>0</v>
      </c>
      <c r="AY610" s="91" t="s">
        <v>649</v>
      </c>
      <c r="AZ610" s="91" t="s">
        <v>1536</v>
      </c>
      <c r="BA610" s="154" t="s">
        <v>1542</v>
      </c>
      <c r="BC610" s="90">
        <f t="shared" si="652"/>
        <v>0</v>
      </c>
      <c r="BD610" s="90">
        <f t="shared" si="653"/>
        <v>0</v>
      </c>
      <c r="BE610" s="90">
        <v>0</v>
      </c>
      <c r="BF610" s="90">
        <f t="shared" si="654"/>
        <v>0</v>
      </c>
      <c r="BH610" s="90">
        <f t="shared" si="655"/>
        <v>0</v>
      </c>
      <c r="BI610" s="90">
        <f t="shared" si="656"/>
        <v>0</v>
      </c>
      <c r="BJ610" s="90">
        <f t="shared" si="657"/>
        <v>0</v>
      </c>
    </row>
    <row r="611" spans="1:62" ht="12.75">
      <c r="A611" s="88" t="s">
        <v>1850</v>
      </c>
      <c r="B611" s="88" t="s">
        <v>60</v>
      </c>
      <c r="C611" s="88" t="s">
        <v>1185</v>
      </c>
      <c r="D611" s="88" t="s">
        <v>1494</v>
      </c>
      <c r="E611" s="88" t="s">
        <v>606</v>
      </c>
      <c r="F611" s="90">
        <v>2</v>
      </c>
      <c r="G611" s="90">
        <f>'Stavební rozpočet (SO 13)'!G455</f>
        <v>0</v>
      </c>
      <c r="H611" s="90">
        <f t="shared" si="632"/>
        <v>0</v>
      </c>
      <c r="I611" s="90">
        <f t="shared" si="633"/>
        <v>0</v>
      </c>
      <c r="J611" s="90">
        <f t="shared" si="634"/>
        <v>0</v>
      </c>
      <c r="K611" s="90">
        <v>0</v>
      </c>
      <c r="L611" s="90">
        <f t="shared" si="635"/>
        <v>0</v>
      </c>
      <c r="M611" s="91" t="s">
        <v>622</v>
      </c>
      <c r="O611" s="90"/>
      <c r="P611" s="90"/>
      <c r="Z611" s="90">
        <f t="shared" si="636"/>
        <v>0</v>
      </c>
      <c r="AB611" s="90">
        <f t="shared" si="637"/>
        <v>0</v>
      </c>
      <c r="AC611" s="90">
        <f t="shared" si="638"/>
        <v>0</v>
      </c>
      <c r="AD611" s="90">
        <f t="shared" si="639"/>
        <v>0</v>
      </c>
      <c r="AE611" s="90">
        <f t="shared" si="640"/>
        <v>0</v>
      </c>
      <c r="AF611" s="90">
        <f t="shared" si="641"/>
        <v>0</v>
      </c>
      <c r="AG611" s="90">
        <f t="shared" si="642"/>
        <v>0</v>
      </c>
      <c r="AH611" s="90">
        <f t="shared" si="643"/>
        <v>0</v>
      </c>
      <c r="AI611" s="154" t="s">
        <v>60</v>
      </c>
      <c r="AJ611" s="90">
        <f t="shared" si="644"/>
        <v>0</v>
      </c>
      <c r="AK611" s="90">
        <f t="shared" si="645"/>
        <v>0</v>
      </c>
      <c r="AL611" s="90">
        <f t="shared" si="646"/>
        <v>0</v>
      </c>
      <c r="AN611" s="90">
        <v>21</v>
      </c>
      <c r="AO611" s="90">
        <f t="shared" si="647"/>
        <v>0</v>
      </c>
      <c r="AP611" s="90">
        <f t="shared" si="648"/>
        <v>0</v>
      </c>
      <c r="AQ611" s="91" t="s">
        <v>79</v>
      </c>
      <c r="AV611" s="90">
        <f t="shared" si="649"/>
        <v>0</v>
      </c>
      <c r="AW611" s="90">
        <f t="shared" si="650"/>
        <v>0</v>
      </c>
      <c r="AX611" s="90">
        <f t="shared" si="651"/>
        <v>0</v>
      </c>
      <c r="AY611" s="91" t="s">
        <v>649</v>
      </c>
      <c r="AZ611" s="91" t="s">
        <v>1536</v>
      </c>
      <c r="BA611" s="154" t="s">
        <v>1542</v>
      </c>
      <c r="BC611" s="90">
        <f t="shared" si="652"/>
        <v>0</v>
      </c>
      <c r="BD611" s="90">
        <f t="shared" si="653"/>
        <v>0</v>
      </c>
      <c r="BE611" s="90">
        <v>0</v>
      </c>
      <c r="BF611" s="90">
        <f t="shared" si="654"/>
        <v>0</v>
      </c>
      <c r="BH611" s="90">
        <f t="shared" si="655"/>
        <v>0</v>
      </c>
      <c r="BI611" s="90">
        <f t="shared" si="656"/>
        <v>0</v>
      </c>
      <c r="BJ611" s="90">
        <f t="shared" si="657"/>
        <v>0</v>
      </c>
    </row>
    <row r="612" spans="1:62" ht="12.75">
      <c r="A612" s="88" t="s">
        <v>1851</v>
      </c>
      <c r="B612" s="88" t="s">
        <v>60</v>
      </c>
      <c r="C612" s="88" t="s">
        <v>1186</v>
      </c>
      <c r="D612" s="88" t="s">
        <v>1495</v>
      </c>
      <c r="E612" s="88" t="s">
        <v>606</v>
      </c>
      <c r="F612" s="90">
        <v>1</v>
      </c>
      <c r="G612" s="90">
        <f>'Stavební rozpočet (SO 13)'!G456</f>
        <v>0</v>
      </c>
      <c r="H612" s="90">
        <f t="shared" si="632"/>
        <v>0</v>
      </c>
      <c r="I612" s="90">
        <f t="shared" si="633"/>
        <v>0</v>
      </c>
      <c r="J612" s="90">
        <f t="shared" si="634"/>
        <v>0</v>
      </c>
      <c r="K612" s="90">
        <v>0</v>
      </c>
      <c r="L612" s="90">
        <f t="shared" si="635"/>
        <v>0</v>
      </c>
      <c r="M612" s="91" t="s">
        <v>622</v>
      </c>
      <c r="O612" s="90"/>
      <c r="P612" s="90"/>
      <c r="Z612" s="90">
        <f t="shared" si="636"/>
        <v>0</v>
      </c>
      <c r="AB612" s="90">
        <f t="shared" si="637"/>
        <v>0</v>
      </c>
      <c r="AC612" s="90">
        <f t="shared" si="638"/>
        <v>0</v>
      </c>
      <c r="AD612" s="90">
        <f t="shared" si="639"/>
        <v>0</v>
      </c>
      <c r="AE612" s="90">
        <f t="shared" si="640"/>
        <v>0</v>
      </c>
      <c r="AF612" s="90">
        <f t="shared" si="641"/>
        <v>0</v>
      </c>
      <c r="AG612" s="90">
        <f t="shared" si="642"/>
        <v>0</v>
      </c>
      <c r="AH612" s="90">
        <f t="shared" si="643"/>
        <v>0</v>
      </c>
      <c r="AI612" s="154" t="s">
        <v>60</v>
      </c>
      <c r="AJ612" s="90">
        <f t="shared" si="644"/>
        <v>0</v>
      </c>
      <c r="AK612" s="90">
        <f t="shared" si="645"/>
        <v>0</v>
      </c>
      <c r="AL612" s="90">
        <f t="shared" si="646"/>
        <v>0</v>
      </c>
      <c r="AN612" s="90">
        <v>21</v>
      </c>
      <c r="AO612" s="90">
        <f t="shared" si="647"/>
        <v>0</v>
      </c>
      <c r="AP612" s="90">
        <f t="shared" si="648"/>
        <v>0</v>
      </c>
      <c r="AQ612" s="91" t="s">
        <v>79</v>
      </c>
      <c r="AV612" s="90">
        <f t="shared" si="649"/>
        <v>0</v>
      </c>
      <c r="AW612" s="90">
        <f t="shared" si="650"/>
        <v>0</v>
      </c>
      <c r="AX612" s="90">
        <f t="shared" si="651"/>
        <v>0</v>
      </c>
      <c r="AY612" s="91" t="s">
        <v>649</v>
      </c>
      <c r="AZ612" s="91" t="s">
        <v>1536</v>
      </c>
      <c r="BA612" s="154" t="s">
        <v>1542</v>
      </c>
      <c r="BC612" s="90">
        <f t="shared" si="652"/>
        <v>0</v>
      </c>
      <c r="BD612" s="90">
        <f t="shared" si="653"/>
        <v>0</v>
      </c>
      <c r="BE612" s="90">
        <v>0</v>
      </c>
      <c r="BF612" s="90">
        <f t="shared" si="654"/>
        <v>0</v>
      </c>
      <c r="BH612" s="90">
        <f t="shared" si="655"/>
        <v>0</v>
      </c>
      <c r="BI612" s="90">
        <f t="shared" si="656"/>
        <v>0</v>
      </c>
      <c r="BJ612" s="90">
        <f t="shared" si="657"/>
        <v>0</v>
      </c>
    </row>
    <row r="613" spans="1:62" ht="12.75">
      <c r="A613" s="88" t="s">
        <v>1852</v>
      </c>
      <c r="B613" s="88" t="s">
        <v>60</v>
      </c>
      <c r="C613" s="88" t="s">
        <v>1187</v>
      </c>
      <c r="D613" s="88" t="s">
        <v>1496</v>
      </c>
      <c r="E613" s="88" t="s">
        <v>606</v>
      </c>
      <c r="F613" s="90">
        <v>1</v>
      </c>
      <c r="G613" s="90">
        <f>'Stavební rozpočet (SO 13)'!G457</f>
        <v>0</v>
      </c>
      <c r="H613" s="90">
        <f t="shared" si="632"/>
        <v>0</v>
      </c>
      <c r="I613" s="90">
        <f t="shared" si="633"/>
        <v>0</v>
      </c>
      <c r="J613" s="90">
        <f t="shared" si="634"/>
        <v>0</v>
      </c>
      <c r="K613" s="90">
        <v>0</v>
      </c>
      <c r="L613" s="90">
        <f t="shared" si="635"/>
        <v>0</v>
      </c>
      <c r="M613" s="91" t="s">
        <v>622</v>
      </c>
      <c r="O613" s="90"/>
      <c r="P613" s="90"/>
      <c r="Z613" s="90">
        <f t="shared" si="636"/>
        <v>0</v>
      </c>
      <c r="AB613" s="90">
        <f t="shared" si="637"/>
        <v>0</v>
      </c>
      <c r="AC613" s="90">
        <f t="shared" si="638"/>
        <v>0</v>
      </c>
      <c r="AD613" s="90">
        <f t="shared" si="639"/>
        <v>0</v>
      </c>
      <c r="AE613" s="90">
        <f t="shared" si="640"/>
        <v>0</v>
      </c>
      <c r="AF613" s="90">
        <f t="shared" si="641"/>
        <v>0</v>
      </c>
      <c r="AG613" s="90">
        <f t="shared" si="642"/>
        <v>0</v>
      </c>
      <c r="AH613" s="90">
        <f t="shared" si="643"/>
        <v>0</v>
      </c>
      <c r="AI613" s="154" t="s">
        <v>60</v>
      </c>
      <c r="AJ613" s="90">
        <f t="shared" si="644"/>
        <v>0</v>
      </c>
      <c r="AK613" s="90">
        <f t="shared" si="645"/>
        <v>0</v>
      </c>
      <c r="AL613" s="90">
        <f t="shared" si="646"/>
        <v>0</v>
      </c>
      <c r="AN613" s="90">
        <v>21</v>
      </c>
      <c r="AO613" s="90">
        <f t="shared" si="647"/>
        <v>0</v>
      </c>
      <c r="AP613" s="90">
        <f t="shared" si="648"/>
        <v>0</v>
      </c>
      <c r="AQ613" s="91" t="s">
        <v>79</v>
      </c>
      <c r="AV613" s="90">
        <f t="shared" si="649"/>
        <v>0</v>
      </c>
      <c r="AW613" s="90">
        <f t="shared" si="650"/>
        <v>0</v>
      </c>
      <c r="AX613" s="90">
        <f t="shared" si="651"/>
        <v>0</v>
      </c>
      <c r="AY613" s="91" t="s">
        <v>649</v>
      </c>
      <c r="AZ613" s="91" t="s">
        <v>1536</v>
      </c>
      <c r="BA613" s="154" t="s">
        <v>1542</v>
      </c>
      <c r="BC613" s="90">
        <f t="shared" si="652"/>
        <v>0</v>
      </c>
      <c r="BD613" s="90">
        <f t="shared" si="653"/>
        <v>0</v>
      </c>
      <c r="BE613" s="90">
        <v>0</v>
      </c>
      <c r="BF613" s="90">
        <f t="shared" si="654"/>
        <v>0</v>
      </c>
      <c r="BH613" s="90">
        <f t="shared" si="655"/>
        <v>0</v>
      </c>
      <c r="BI613" s="90">
        <f t="shared" si="656"/>
        <v>0</v>
      </c>
      <c r="BJ613" s="90">
        <f t="shared" si="657"/>
        <v>0</v>
      </c>
    </row>
    <row r="614" spans="1:62" ht="12.75">
      <c r="A614" s="88" t="s">
        <v>1853</v>
      </c>
      <c r="B614" s="88" t="s">
        <v>60</v>
      </c>
      <c r="C614" s="88" t="s">
        <v>1188</v>
      </c>
      <c r="D614" s="88" t="s">
        <v>1497</v>
      </c>
      <c r="E614" s="88" t="s">
        <v>606</v>
      </c>
      <c r="F614" s="90">
        <v>1</v>
      </c>
      <c r="G614" s="90">
        <f>'Stavební rozpočet (SO 13)'!G458</f>
        <v>0</v>
      </c>
      <c r="H614" s="90">
        <f t="shared" si="632"/>
        <v>0</v>
      </c>
      <c r="I614" s="90">
        <f t="shared" si="633"/>
        <v>0</v>
      </c>
      <c r="J614" s="90">
        <f t="shared" si="634"/>
        <v>0</v>
      </c>
      <c r="K614" s="90">
        <v>0</v>
      </c>
      <c r="L614" s="90">
        <f t="shared" si="635"/>
        <v>0</v>
      </c>
      <c r="M614" s="91" t="s">
        <v>622</v>
      </c>
      <c r="O614" s="90"/>
      <c r="P614" s="90"/>
      <c r="Z614" s="90">
        <f t="shared" si="636"/>
        <v>0</v>
      </c>
      <c r="AB614" s="90">
        <f t="shared" si="637"/>
        <v>0</v>
      </c>
      <c r="AC614" s="90">
        <f t="shared" si="638"/>
        <v>0</v>
      </c>
      <c r="AD614" s="90">
        <f t="shared" si="639"/>
        <v>0</v>
      </c>
      <c r="AE614" s="90">
        <f t="shared" si="640"/>
        <v>0</v>
      </c>
      <c r="AF614" s="90">
        <f t="shared" si="641"/>
        <v>0</v>
      </c>
      <c r="AG614" s="90">
        <f t="shared" si="642"/>
        <v>0</v>
      </c>
      <c r="AH614" s="90">
        <f t="shared" si="643"/>
        <v>0</v>
      </c>
      <c r="AI614" s="154" t="s">
        <v>60</v>
      </c>
      <c r="AJ614" s="90">
        <f t="shared" si="644"/>
        <v>0</v>
      </c>
      <c r="AK614" s="90">
        <f t="shared" si="645"/>
        <v>0</v>
      </c>
      <c r="AL614" s="90">
        <f t="shared" si="646"/>
        <v>0</v>
      </c>
      <c r="AN614" s="90">
        <v>21</v>
      </c>
      <c r="AO614" s="90">
        <f t="shared" si="647"/>
        <v>0</v>
      </c>
      <c r="AP614" s="90">
        <f t="shared" si="648"/>
        <v>0</v>
      </c>
      <c r="AQ614" s="91" t="s">
        <v>79</v>
      </c>
      <c r="AV614" s="90">
        <f t="shared" si="649"/>
        <v>0</v>
      </c>
      <c r="AW614" s="90">
        <f t="shared" si="650"/>
        <v>0</v>
      </c>
      <c r="AX614" s="90">
        <f t="shared" si="651"/>
        <v>0</v>
      </c>
      <c r="AY614" s="91" t="s">
        <v>649</v>
      </c>
      <c r="AZ614" s="91" t="s">
        <v>1536</v>
      </c>
      <c r="BA614" s="154" t="s">
        <v>1542</v>
      </c>
      <c r="BC614" s="90">
        <f t="shared" si="652"/>
        <v>0</v>
      </c>
      <c r="BD614" s="90">
        <f t="shared" si="653"/>
        <v>0</v>
      </c>
      <c r="BE614" s="90">
        <v>0</v>
      </c>
      <c r="BF614" s="90">
        <f t="shared" si="654"/>
        <v>0</v>
      </c>
      <c r="BH614" s="90">
        <f t="shared" si="655"/>
        <v>0</v>
      </c>
      <c r="BI614" s="90">
        <f t="shared" si="656"/>
        <v>0</v>
      </c>
      <c r="BJ614" s="90">
        <f t="shared" si="657"/>
        <v>0</v>
      </c>
    </row>
    <row r="615" spans="1:62" ht="12.75">
      <c r="A615" s="88" t="s">
        <v>1854</v>
      </c>
      <c r="B615" s="88" t="s">
        <v>60</v>
      </c>
      <c r="C615" s="88" t="s">
        <v>1189</v>
      </c>
      <c r="D615" s="88" t="s">
        <v>1498</v>
      </c>
      <c r="E615" s="88" t="s">
        <v>606</v>
      </c>
      <c r="F615" s="90">
        <v>1</v>
      </c>
      <c r="G615" s="90">
        <f>'Stavební rozpočet (SO 13)'!G459</f>
        <v>0</v>
      </c>
      <c r="H615" s="90">
        <f t="shared" si="632"/>
        <v>0</v>
      </c>
      <c r="I615" s="90">
        <f t="shared" si="633"/>
        <v>0</v>
      </c>
      <c r="J615" s="90">
        <f t="shared" si="634"/>
        <v>0</v>
      </c>
      <c r="K615" s="90">
        <v>0</v>
      </c>
      <c r="L615" s="90">
        <f t="shared" si="635"/>
        <v>0</v>
      </c>
      <c r="M615" s="91" t="s">
        <v>622</v>
      </c>
      <c r="O615" s="90"/>
      <c r="P615" s="90"/>
      <c r="Z615" s="90">
        <f t="shared" si="636"/>
        <v>0</v>
      </c>
      <c r="AB615" s="90">
        <f t="shared" si="637"/>
        <v>0</v>
      </c>
      <c r="AC615" s="90">
        <f t="shared" si="638"/>
        <v>0</v>
      </c>
      <c r="AD615" s="90">
        <f t="shared" si="639"/>
        <v>0</v>
      </c>
      <c r="AE615" s="90">
        <f t="shared" si="640"/>
        <v>0</v>
      </c>
      <c r="AF615" s="90">
        <f t="shared" si="641"/>
        <v>0</v>
      </c>
      <c r="AG615" s="90">
        <f t="shared" si="642"/>
        <v>0</v>
      </c>
      <c r="AH615" s="90">
        <f t="shared" si="643"/>
        <v>0</v>
      </c>
      <c r="AI615" s="154" t="s">
        <v>60</v>
      </c>
      <c r="AJ615" s="90">
        <f t="shared" si="644"/>
        <v>0</v>
      </c>
      <c r="AK615" s="90">
        <f t="shared" si="645"/>
        <v>0</v>
      </c>
      <c r="AL615" s="90">
        <f t="shared" si="646"/>
        <v>0</v>
      </c>
      <c r="AN615" s="90">
        <v>21</v>
      </c>
      <c r="AO615" s="90">
        <f t="shared" si="647"/>
        <v>0</v>
      </c>
      <c r="AP615" s="90">
        <f t="shared" si="648"/>
        <v>0</v>
      </c>
      <c r="AQ615" s="91" t="s">
        <v>79</v>
      </c>
      <c r="AV615" s="90">
        <f t="shared" si="649"/>
        <v>0</v>
      </c>
      <c r="AW615" s="90">
        <f t="shared" si="650"/>
        <v>0</v>
      </c>
      <c r="AX615" s="90">
        <f t="shared" si="651"/>
        <v>0</v>
      </c>
      <c r="AY615" s="91" t="s">
        <v>649</v>
      </c>
      <c r="AZ615" s="91" t="s">
        <v>1536</v>
      </c>
      <c r="BA615" s="154" t="s">
        <v>1542</v>
      </c>
      <c r="BC615" s="90">
        <f t="shared" si="652"/>
        <v>0</v>
      </c>
      <c r="BD615" s="90">
        <f t="shared" si="653"/>
        <v>0</v>
      </c>
      <c r="BE615" s="90">
        <v>0</v>
      </c>
      <c r="BF615" s="90">
        <f t="shared" si="654"/>
        <v>0</v>
      </c>
      <c r="BH615" s="90">
        <f t="shared" si="655"/>
        <v>0</v>
      </c>
      <c r="BI615" s="90">
        <f t="shared" si="656"/>
        <v>0</v>
      </c>
      <c r="BJ615" s="90">
        <f t="shared" si="657"/>
        <v>0</v>
      </c>
    </row>
    <row r="616" spans="1:62" ht="12.75">
      <c r="A616" s="88" t="s">
        <v>1855</v>
      </c>
      <c r="B616" s="88" t="s">
        <v>60</v>
      </c>
      <c r="C616" s="88" t="s">
        <v>1190</v>
      </c>
      <c r="D616" s="88" t="s">
        <v>1499</v>
      </c>
      <c r="E616" s="88" t="s">
        <v>606</v>
      </c>
      <c r="F616" s="90">
        <v>2</v>
      </c>
      <c r="G616" s="90">
        <f>'Stavební rozpočet (SO 13)'!G460</f>
        <v>0</v>
      </c>
      <c r="H616" s="90">
        <f t="shared" si="632"/>
        <v>0</v>
      </c>
      <c r="I616" s="90">
        <f t="shared" si="633"/>
        <v>0</v>
      </c>
      <c r="J616" s="90">
        <f t="shared" si="634"/>
        <v>0</v>
      </c>
      <c r="K616" s="90">
        <v>0</v>
      </c>
      <c r="L616" s="90">
        <f t="shared" si="635"/>
        <v>0</v>
      </c>
      <c r="M616" s="91" t="s">
        <v>622</v>
      </c>
      <c r="O616" s="90"/>
      <c r="P616" s="90"/>
      <c r="Z616" s="90">
        <f t="shared" si="636"/>
        <v>0</v>
      </c>
      <c r="AB616" s="90">
        <f t="shared" si="637"/>
        <v>0</v>
      </c>
      <c r="AC616" s="90">
        <f t="shared" si="638"/>
        <v>0</v>
      </c>
      <c r="AD616" s="90">
        <f t="shared" si="639"/>
        <v>0</v>
      </c>
      <c r="AE616" s="90">
        <f t="shared" si="640"/>
        <v>0</v>
      </c>
      <c r="AF616" s="90">
        <f t="shared" si="641"/>
        <v>0</v>
      </c>
      <c r="AG616" s="90">
        <f t="shared" si="642"/>
        <v>0</v>
      </c>
      <c r="AH616" s="90">
        <f t="shared" si="643"/>
        <v>0</v>
      </c>
      <c r="AI616" s="154" t="s">
        <v>60</v>
      </c>
      <c r="AJ616" s="90">
        <f t="shared" si="644"/>
        <v>0</v>
      </c>
      <c r="AK616" s="90">
        <f t="shared" si="645"/>
        <v>0</v>
      </c>
      <c r="AL616" s="90">
        <f t="shared" si="646"/>
        <v>0</v>
      </c>
      <c r="AN616" s="90">
        <v>21</v>
      </c>
      <c r="AO616" s="90">
        <f t="shared" si="647"/>
        <v>0</v>
      </c>
      <c r="AP616" s="90">
        <f t="shared" si="648"/>
        <v>0</v>
      </c>
      <c r="AQ616" s="91" t="s">
        <v>79</v>
      </c>
      <c r="AV616" s="90">
        <f t="shared" si="649"/>
        <v>0</v>
      </c>
      <c r="AW616" s="90">
        <f t="shared" si="650"/>
        <v>0</v>
      </c>
      <c r="AX616" s="90">
        <f t="shared" si="651"/>
        <v>0</v>
      </c>
      <c r="AY616" s="91" t="s">
        <v>649</v>
      </c>
      <c r="AZ616" s="91" t="s">
        <v>1536</v>
      </c>
      <c r="BA616" s="154" t="s">
        <v>1542</v>
      </c>
      <c r="BC616" s="90">
        <f t="shared" si="652"/>
        <v>0</v>
      </c>
      <c r="BD616" s="90">
        <f t="shared" si="653"/>
        <v>0</v>
      </c>
      <c r="BE616" s="90">
        <v>0</v>
      </c>
      <c r="BF616" s="90">
        <f t="shared" si="654"/>
        <v>0</v>
      </c>
      <c r="BH616" s="90">
        <f t="shared" si="655"/>
        <v>0</v>
      </c>
      <c r="BI616" s="90">
        <f t="shared" si="656"/>
        <v>0</v>
      </c>
      <c r="BJ616" s="90">
        <f t="shared" si="657"/>
        <v>0</v>
      </c>
    </row>
    <row r="617" spans="1:62" ht="12.75">
      <c r="A617" s="88" t="s">
        <v>1856</v>
      </c>
      <c r="B617" s="88" t="s">
        <v>60</v>
      </c>
      <c r="C617" s="88" t="s">
        <v>1191</v>
      </c>
      <c r="D617" s="88" t="s">
        <v>1499</v>
      </c>
      <c r="E617" s="88" t="s">
        <v>606</v>
      </c>
      <c r="F617" s="90">
        <v>2</v>
      </c>
      <c r="G617" s="90">
        <f>'Stavební rozpočet (SO 13)'!G461</f>
        <v>0</v>
      </c>
      <c r="H617" s="90">
        <f t="shared" si="632"/>
        <v>0</v>
      </c>
      <c r="I617" s="90">
        <f t="shared" si="633"/>
        <v>0</v>
      </c>
      <c r="J617" s="90">
        <f t="shared" si="634"/>
        <v>0</v>
      </c>
      <c r="K617" s="90">
        <v>0</v>
      </c>
      <c r="L617" s="90">
        <f t="shared" si="635"/>
        <v>0</v>
      </c>
      <c r="M617" s="91" t="s">
        <v>622</v>
      </c>
      <c r="O617" s="90"/>
      <c r="P617" s="90"/>
      <c r="Z617" s="90">
        <f t="shared" si="636"/>
        <v>0</v>
      </c>
      <c r="AB617" s="90">
        <f t="shared" si="637"/>
        <v>0</v>
      </c>
      <c r="AC617" s="90">
        <f t="shared" si="638"/>
        <v>0</v>
      </c>
      <c r="AD617" s="90">
        <f t="shared" si="639"/>
        <v>0</v>
      </c>
      <c r="AE617" s="90">
        <f t="shared" si="640"/>
        <v>0</v>
      </c>
      <c r="AF617" s="90">
        <f t="shared" si="641"/>
        <v>0</v>
      </c>
      <c r="AG617" s="90">
        <f t="shared" si="642"/>
        <v>0</v>
      </c>
      <c r="AH617" s="90">
        <f t="shared" si="643"/>
        <v>0</v>
      </c>
      <c r="AI617" s="154" t="s">
        <v>60</v>
      </c>
      <c r="AJ617" s="90">
        <f t="shared" si="644"/>
        <v>0</v>
      </c>
      <c r="AK617" s="90">
        <f t="shared" si="645"/>
        <v>0</v>
      </c>
      <c r="AL617" s="90">
        <f t="shared" si="646"/>
        <v>0</v>
      </c>
      <c r="AN617" s="90">
        <v>21</v>
      </c>
      <c r="AO617" s="90">
        <f t="shared" si="647"/>
        <v>0</v>
      </c>
      <c r="AP617" s="90">
        <f t="shared" si="648"/>
        <v>0</v>
      </c>
      <c r="AQ617" s="91" t="s">
        <v>79</v>
      </c>
      <c r="AV617" s="90">
        <f t="shared" si="649"/>
        <v>0</v>
      </c>
      <c r="AW617" s="90">
        <f t="shared" si="650"/>
        <v>0</v>
      </c>
      <c r="AX617" s="90">
        <f t="shared" si="651"/>
        <v>0</v>
      </c>
      <c r="AY617" s="91" t="s">
        <v>649</v>
      </c>
      <c r="AZ617" s="91" t="s">
        <v>1536</v>
      </c>
      <c r="BA617" s="154" t="s">
        <v>1542</v>
      </c>
      <c r="BC617" s="90">
        <f t="shared" si="652"/>
        <v>0</v>
      </c>
      <c r="BD617" s="90">
        <f t="shared" si="653"/>
        <v>0</v>
      </c>
      <c r="BE617" s="90">
        <v>0</v>
      </c>
      <c r="BF617" s="90">
        <f t="shared" si="654"/>
        <v>0</v>
      </c>
      <c r="BH617" s="90">
        <f t="shared" si="655"/>
        <v>0</v>
      </c>
      <c r="BI617" s="90">
        <f t="shared" si="656"/>
        <v>0</v>
      </c>
      <c r="BJ617" s="90">
        <f t="shared" si="657"/>
        <v>0</v>
      </c>
    </row>
    <row r="618" spans="1:62" ht="12.75">
      <c r="A618" s="88" t="s">
        <v>1857</v>
      </c>
      <c r="B618" s="88" t="s">
        <v>60</v>
      </c>
      <c r="C618" s="88" t="s">
        <v>1192</v>
      </c>
      <c r="D618" s="88" t="s">
        <v>1500</v>
      </c>
      <c r="E618" s="88" t="s">
        <v>606</v>
      </c>
      <c r="F618" s="90">
        <v>2</v>
      </c>
      <c r="G618" s="90">
        <f>'Stavební rozpočet (SO 13)'!G462</f>
        <v>0</v>
      </c>
      <c r="H618" s="90">
        <f t="shared" si="632"/>
        <v>0</v>
      </c>
      <c r="I618" s="90">
        <f t="shared" si="633"/>
        <v>0</v>
      </c>
      <c r="J618" s="90">
        <f t="shared" si="634"/>
        <v>0</v>
      </c>
      <c r="K618" s="90">
        <v>0</v>
      </c>
      <c r="L618" s="90">
        <f t="shared" si="635"/>
        <v>0</v>
      </c>
      <c r="M618" s="91" t="s">
        <v>622</v>
      </c>
      <c r="O618" s="90"/>
      <c r="P618" s="90"/>
      <c r="Z618" s="90">
        <f t="shared" si="636"/>
        <v>0</v>
      </c>
      <c r="AB618" s="90">
        <f t="shared" si="637"/>
        <v>0</v>
      </c>
      <c r="AC618" s="90">
        <f t="shared" si="638"/>
        <v>0</v>
      </c>
      <c r="AD618" s="90">
        <f t="shared" si="639"/>
        <v>0</v>
      </c>
      <c r="AE618" s="90">
        <f t="shared" si="640"/>
        <v>0</v>
      </c>
      <c r="AF618" s="90">
        <f t="shared" si="641"/>
        <v>0</v>
      </c>
      <c r="AG618" s="90">
        <f t="shared" si="642"/>
        <v>0</v>
      </c>
      <c r="AH618" s="90">
        <f t="shared" si="643"/>
        <v>0</v>
      </c>
      <c r="AI618" s="154" t="s">
        <v>60</v>
      </c>
      <c r="AJ618" s="90">
        <f t="shared" si="644"/>
        <v>0</v>
      </c>
      <c r="AK618" s="90">
        <f t="shared" si="645"/>
        <v>0</v>
      </c>
      <c r="AL618" s="90">
        <f t="shared" si="646"/>
        <v>0</v>
      </c>
      <c r="AN618" s="90">
        <v>21</v>
      </c>
      <c r="AO618" s="90">
        <f t="shared" si="647"/>
        <v>0</v>
      </c>
      <c r="AP618" s="90">
        <f t="shared" si="648"/>
        <v>0</v>
      </c>
      <c r="AQ618" s="91" t="s">
        <v>79</v>
      </c>
      <c r="AV618" s="90">
        <f t="shared" si="649"/>
        <v>0</v>
      </c>
      <c r="AW618" s="90">
        <f t="shared" si="650"/>
        <v>0</v>
      </c>
      <c r="AX618" s="90">
        <f t="shared" si="651"/>
        <v>0</v>
      </c>
      <c r="AY618" s="91" t="s">
        <v>649</v>
      </c>
      <c r="AZ618" s="91" t="s">
        <v>1536</v>
      </c>
      <c r="BA618" s="154" t="s">
        <v>1542</v>
      </c>
      <c r="BC618" s="90">
        <f t="shared" si="652"/>
        <v>0</v>
      </c>
      <c r="BD618" s="90">
        <f t="shared" si="653"/>
        <v>0</v>
      </c>
      <c r="BE618" s="90">
        <v>0</v>
      </c>
      <c r="BF618" s="90">
        <f t="shared" si="654"/>
        <v>0</v>
      </c>
      <c r="BH618" s="90">
        <f t="shared" si="655"/>
        <v>0</v>
      </c>
      <c r="BI618" s="90">
        <f t="shared" si="656"/>
        <v>0</v>
      </c>
      <c r="BJ618" s="90">
        <f t="shared" si="657"/>
        <v>0</v>
      </c>
    </row>
    <row r="619" spans="1:62" ht="12.75">
      <c r="A619" s="88" t="s">
        <v>1858</v>
      </c>
      <c r="B619" s="88" t="s">
        <v>60</v>
      </c>
      <c r="C619" s="88" t="s">
        <v>1193</v>
      </c>
      <c r="D619" s="88" t="s">
        <v>1500</v>
      </c>
      <c r="E619" s="88" t="s">
        <v>606</v>
      </c>
      <c r="F619" s="90">
        <v>2</v>
      </c>
      <c r="G619" s="90">
        <f>'Stavební rozpočet (SO 13)'!G463</f>
        <v>0</v>
      </c>
      <c r="H619" s="90">
        <f t="shared" si="632"/>
        <v>0</v>
      </c>
      <c r="I619" s="90">
        <f t="shared" si="633"/>
        <v>0</v>
      </c>
      <c r="J619" s="90">
        <f t="shared" si="634"/>
        <v>0</v>
      </c>
      <c r="K619" s="90">
        <v>0</v>
      </c>
      <c r="L619" s="90">
        <f t="shared" si="635"/>
        <v>0</v>
      </c>
      <c r="M619" s="91" t="s">
        <v>622</v>
      </c>
      <c r="O619" s="90"/>
      <c r="P619" s="90"/>
      <c r="Z619" s="90">
        <f t="shared" si="636"/>
        <v>0</v>
      </c>
      <c r="AB619" s="90">
        <f t="shared" si="637"/>
        <v>0</v>
      </c>
      <c r="AC619" s="90">
        <f t="shared" si="638"/>
        <v>0</v>
      </c>
      <c r="AD619" s="90">
        <f t="shared" si="639"/>
        <v>0</v>
      </c>
      <c r="AE619" s="90">
        <f t="shared" si="640"/>
        <v>0</v>
      </c>
      <c r="AF619" s="90">
        <f t="shared" si="641"/>
        <v>0</v>
      </c>
      <c r="AG619" s="90">
        <f t="shared" si="642"/>
        <v>0</v>
      </c>
      <c r="AH619" s="90">
        <f t="shared" si="643"/>
        <v>0</v>
      </c>
      <c r="AI619" s="154" t="s">
        <v>60</v>
      </c>
      <c r="AJ619" s="90">
        <f t="shared" si="644"/>
        <v>0</v>
      </c>
      <c r="AK619" s="90">
        <f t="shared" si="645"/>
        <v>0</v>
      </c>
      <c r="AL619" s="90">
        <f t="shared" si="646"/>
        <v>0</v>
      </c>
      <c r="AN619" s="90">
        <v>21</v>
      </c>
      <c r="AO619" s="90">
        <f t="shared" si="647"/>
        <v>0</v>
      </c>
      <c r="AP619" s="90">
        <f t="shared" si="648"/>
        <v>0</v>
      </c>
      <c r="AQ619" s="91" t="s">
        <v>79</v>
      </c>
      <c r="AV619" s="90">
        <f t="shared" si="649"/>
        <v>0</v>
      </c>
      <c r="AW619" s="90">
        <f t="shared" si="650"/>
        <v>0</v>
      </c>
      <c r="AX619" s="90">
        <f t="shared" si="651"/>
        <v>0</v>
      </c>
      <c r="AY619" s="91" t="s">
        <v>649</v>
      </c>
      <c r="AZ619" s="91" t="s">
        <v>1536</v>
      </c>
      <c r="BA619" s="154" t="s">
        <v>1542</v>
      </c>
      <c r="BC619" s="90">
        <f t="shared" si="652"/>
        <v>0</v>
      </c>
      <c r="BD619" s="90">
        <f t="shared" si="653"/>
        <v>0</v>
      </c>
      <c r="BE619" s="90">
        <v>0</v>
      </c>
      <c r="BF619" s="90">
        <f t="shared" si="654"/>
        <v>0</v>
      </c>
      <c r="BH619" s="90">
        <f t="shared" si="655"/>
        <v>0</v>
      </c>
      <c r="BI619" s="90">
        <f t="shared" si="656"/>
        <v>0</v>
      </c>
      <c r="BJ619" s="90">
        <f t="shared" si="657"/>
        <v>0</v>
      </c>
    </row>
    <row r="620" spans="1:62" ht="12.75">
      <c r="A620" s="88" t="s">
        <v>1859</v>
      </c>
      <c r="B620" s="88" t="s">
        <v>60</v>
      </c>
      <c r="C620" s="88" t="s">
        <v>1194</v>
      </c>
      <c r="D620" s="88" t="s">
        <v>1501</v>
      </c>
      <c r="E620" s="88" t="s">
        <v>606</v>
      </c>
      <c r="F620" s="90">
        <v>3</v>
      </c>
      <c r="G620" s="90">
        <f>'Stavební rozpočet (SO 13)'!G464</f>
        <v>0</v>
      </c>
      <c r="H620" s="90">
        <f t="shared" si="632"/>
        <v>0</v>
      </c>
      <c r="I620" s="90">
        <f t="shared" si="633"/>
        <v>0</v>
      </c>
      <c r="J620" s="90">
        <f t="shared" si="634"/>
        <v>0</v>
      </c>
      <c r="K620" s="90">
        <v>0</v>
      </c>
      <c r="L620" s="90">
        <f t="shared" si="635"/>
        <v>0</v>
      </c>
      <c r="M620" s="91" t="s">
        <v>622</v>
      </c>
      <c r="O620" s="90"/>
      <c r="P620" s="90"/>
      <c r="Z620" s="90">
        <f t="shared" si="636"/>
        <v>0</v>
      </c>
      <c r="AB620" s="90">
        <f t="shared" si="637"/>
        <v>0</v>
      </c>
      <c r="AC620" s="90">
        <f t="shared" si="638"/>
        <v>0</v>
      </c>
      <c r="AD620" s="90">
        <f t="shared" si="639"/>
        <v>0</v>
      </c>
      <c r="AE620" s="90">
        <f t="shared" si="640"/>
        <v>0</v>
      </c>
      <c r="AF620" s="90">
        <f t="shared" si="641"/>
        <v>0</v>
      </c>
      <c r="AG620" s="90">
        <f t="shared" si="642"/>
        <v>0</v>
      </c>
      <c r="AH620" s="90">
        <f t="shared" si="643"/>
        <v>0</v>
      </c>
      <c r="AI620" s="154" t="s">
        <v>60</v>
      </c>
      <c r="AJ620" s="90">
        <f t="shared" si="644"/>
        <v>0</v>
      </c>
      <c r="AK620" s="90">
        <f t="shared" si="645"/>
        <v>0</v>
      </c>
      <c r="AL620" s="90">
        <f t="shared" si="646"/>
        <v>0</v>
      </c>
      <c r="AN620" s="90">
        <v>21</v>
      </c>
      <c r="AO620" s="90">
        <f t="shared" si="647"/>
        <v>0</v>
      </c>
      <c r="AP620" s="90">
        <f t="shared" si="648"/>
        <v>0</v>
      </c>
      <c r="AQ620" s="91" t="s">
        <v>79</v>
      </c>
      <c r="AV620" s="90">
        <f t="shared" si="649"/>
        <v>0</v>
      </c>
      <c r="AW620" s="90">
        <f t="shared" si="650"/>
        <v>0</v>
      </c>
      <c r="AX620" s="90">
        <f t="shared" si="651"/>
        <v>0</v>
      </c>
      <c r="AY620" s="91" t="s">
        <v>649</v>
      </c>
      <c r="AZ620" s="91" t="s">
        <v>1536</v>
      </c>
      <c r="BA620" s="154" t="s">
        <v>1542</v>
      </c>
      <c r="BC620" s="90">
        <f t="shared" si="652"/>
        <v>0</v>
      </c>
      <c r="BD620" s="90">
        <f t="shared" si="653"/>
        <v>0</v>
      </c>
      <c r="BE620" s="90">
        <v>0</v>
      </c>
      <c r="BF620" s="90">
        <f t="shared" si="654"/>
        <v>0</v>
      </c>
      <c r="BH620" s="90">
        <f t="shared" si="655"/>
        <v>0</v>
      </c>
      <c r="BI620" s="90">
        <f t="shared" si="656"/>
        <v>0</v>
      </c>
      <c r="BJ620" s="90">
        <f t="shared" si="657"/>
        <v>0</v>
      </c>
    </row>
    <row r="621" spans="1:62" ht="12.75">
      <c r="A621" s="88" t="s">
        <v>1860</v>
      </c>
      <c r="B621" s="88" t="s">
        <v>60</v>
      </c>
      <c r="C621" s="88" t="s">
        <v>1195</v>
      </c>
      <c r="D621" s="88" t="s">
        <v>1501</v>
      </c>
      <c r="E621" s="88" t="s">
        <v>606</v>
      </c>
      <c r="F621" s="90">
        <v>3</v>
      </c>
      <c r="G621" s="90">
        <f>'Stavební rozpočet (SO 13)'!G465</f>
        <v>0</v>
      </c>
      <c r="H621" s="90">
        <f t="shared" si="632"/>
        <v>0</v>
      </c>
      <c r="I621" s="90">
        <f t="shared" si="633"/>
        <v>0</v>
      </c>
      <c r="J621" s="90">
        <f t="shared" si="634"/>
        <v>0</v>
      </c>
      <c r="K621" s="90">
        <v>0</v>
      </c>
      <c r="L621" s="90">
        <f t="shared" si="635"/>
        <v>0</v>
      </c>
      <c r="M621" s="91" t="s">
        <v>622</v>
      </c>
      <c r="O621" s="90"/>
      <c r="P621" s="90"/>
      <c r="Z621" s="90">
        <f t="shared" si="636"/>
        <v>0</v>
      </c>
      <c r="AB621" s="90">
        <f t="shared" si="637"/>
        <v>0</v>
      </c>
      <c r="AC621" s="90">
        <f t="shared" si="638"/>
        <v>0</v>
      </c>
      <c r="AD621" s="90">
        <f t="shared" si="639"/>
        <v>0</v>
      </c>
      <c r="AE621" s="90">
        <f t="shared" si="640"/>
        <v>0</v>
      </c>
      <c r="AF621" s="90">
        <f t="shared" si="641"/>
        <v>0</v>
      </c>
      <c r="AG621" s="90">
        <f t="shared" si="642"/>
        <v>0</v>
      </c>
      <c r="AH621" s="90">
        <f t="shared" si="643"/>
        <v>0</v>
      </c>
      <c r="AI621" s="154" t="s">
        <v>60</v>
      </c>
      <c r="AJ621" s="90">
        <f t="shared" si="644"/>
        <v>0</v>
      </c>
      <c r="AK621" s="90">
        <f t="shared" si="645"/>
        <v>0</v>
      </c>
      <c r="AL621" s="90">
        <f t="shared" si="646"/>
        <v>0</v>
      </c>
      <c r="AN621" s="90">
        <v>21</v>
      </c>
      <c r="AO621" s="90">
        <f t="shared" si="647"/>
        <v>0</v>
      </c>
      <c r="AP621" s="90">
        <f t="shared" si="648"/>
        <v>0</v>
      </c>
      <c r="AQ621" s="91" t="s">
        <v>79</v>
      </c>
      <c r="AV621" s="90">
        <f t="shared" si="649"/>
        <v>0</v>
      </c>
      <c r="AW621" s="90">
        <f t="shared" si="650"/>
        <v>0</v>
      </c>
      <c r="AX621" s="90">
        <f t="shared" si="651"/>
        <v>0</v>
      </c>
      <c r="AY621" s="91" t="s">
        <v>649</v>
      </c>
      <c r="AZ621" s="91" t="s">
        <v>1536</v>
      </c>
      <c r="BA621" s="154" t="s">
        <v>1542</v>
      </c>
      <c r="BC621" s="90">
        <f t="shared" si="652"/>
        <v>0</v>
      </c>
      <c r="BD621" s="90">
        <f t="shared" si="653"/>
        <v>0</v>
      </c>
      <c r="BE621" s="90">
        <v>0</v>
      </c>
      <c r="BF621" s="90">
        <f t="shared" si="654"/>
        <v>0</v>
      </c>
      <c r="BH621" s="90">
        <f t="shared" si="655"/>
        <v>0</v>
      </c>
      <c r="BI621" s="90">
        <f t="shared" si="656"/>
        <v>0</v>
      </c>
      <c r="BJ621" s="90">
        <f t="shared" si="657"/>
        <v>0</v>
      </c>
    </row>
    <row r="622" spans="1:62" ht="12.75">
      <c r="A622" s="88" t="s">
        <v>1861</v>
      </c>
      <c r="B622" s="88" t="s">
        <v>60</v>
      </c>
      <c r="C622" s="88" t="s">
        <v>1196</v>
      </c>
      <c r="D622" s="88" t="s">
        <v>1502</v>
      </c>
      <c r="E622" s="88" t="s">
        <v>606</v>
      </c>
      <c r="F622" s="90">
        <v>3</v>
      </c>
      <c r="G622" s="90">
        <f>'Stavební rozpočet (SO 13)'!G466</f>
        <v>0</v>
      </c>
      <c r="H622" s="90">
        <f t="shared" si="632"/>
        <v>0</v>
      </c>
      <c r="I622" s="90">
        <f t="shared" si="633"/>
        <v>0</v>
      </c>
      <c r="J622" s="90">
        <f t="shared" si="634"/>
        <v>0</v>
      </c>
      <c r="K622" s="90">
        <v>0</v>
      </c>
      <c r="L622" s="90">
        <f t="shared" si="635"/>
        <v>0</v>
      </c>
      <c r="M622" s="91" t="s">
        <v>622</v>
      </c>
      <c r="O622" s="90"/>
      <c r="P622" s="90"/>
      <c r="Z622" s="90">
        <f t="shared" si="636"/>
        <v>0</v>
      </c>
      <c r="AB622" s="90">
        <f t="shared" si="637"/>
        <v>0</v>
      </c>
      <c r="AC622" s="90">
        <f t="shared" si="638"/>
        <v>0</v>
      </c>
      <c r="AD622" s="90">
        <f t="shared" si="639"/>
        <v>0</v>
      </c>
      <c r="AE622" s="90">
        <f t="shared" si="640"/>
        <v>0</v>
      </c>
      <c r="AF622" s="90">
        <f t="shared" si="641"/>
        <v>0</v>
      </c>
      <c r="AG622" s="90">
        <f t="shared" si="642"/>
        <v>0</v>
      </c>
      <c r="AH622" s="90">
        <f t="shared" si="643"/>
        <v>0</v>
      </c>
      <c r="AI622" s="154" t="s">
        <v>60</v>
      </c>
      <c r="AJ622" s="90">
        <f t="shared" si="644"/>
        <v>0</v>
      </c>
      <c r="AK622" s="90">
        <f t="shared" si="645"/>
        <v>0</v>
      </c>
      <c r="AL622" s="90">
        <f t="shared" si="646"/>
        <v>0</v>
      </c>
      <c r="AN622" s="90">
        <v>21</v>
      </c>
      <c r="AO622" s="90">
        <f t="shared" si="647"/>
        <v>0</v>
      </c>
      <c r="AP622" s="90">
        <f t="shared" si="648"/>
        <v>0</v>
      </c>
      <c r="AQ622" s="91" t="s">
        <v>79</v>
      </c>
      <c r="AV622" s="90">
        <f t="shared" si="649"/>
        <v>0</v>
      </c>
      <c r="AW622" s="90">
        <f t="shared" si="650"/>
        <v>0</v>
      </c>
      <c r="AX622" s="90">
        <f t="shared" si="651"/>
        <v>0</v>
      </c>
      <c r="AY622" s="91" t="s">
        <v>649</v>
      </c>
      <c r="AZ622" s="91" t="s">
        <v>1536</v>
      </c>
      <c r="BA622" s="154" t="s">
        <v>1542</v>
      </c>
      <c r="BC622" s="90">
        <f t="shared" si="652"/>
        <v>0</v>
      </c>
      <c r="BD622" s="90">
        <f t="shared" si="653"/>
        <v>0</v>
      </c>
      <c r="BE622" s="90">
        <v>0</v>
      </c>
      <c r="BF622" s="90">
        <f t="shared" si="654"/>
        <v>0</v>
      </c>
      <c r="BH622" s="90">
        <f t="shared" si="655"/>
        <v>0</v>
      </c>
      <c r="BI622" s="90">
        <f t="shared" si="656"/>
        <v>0</v>
      </c>
      <c r="BJ622" s="90">
        <f t="shared" si="657"/>
        <v>0</v>
      </c>
    </row>
    <row r="623" spans="1:62" ht="12.75">
      <c r="A623" s="88" t="s">
        <v>1862</v>
      </c>
      <c r="B623" s="88" t="s">
        <v>60</v>
      </c>
      <c r="C623" s="88" t="s">
        <v>1197</v>
      </c>
      <c r="D623" s="88" t="s">
        <v>1502</v>
      </c>
      <c r="E623" s="88" t="s">
        <v>606</v>
      </c>
      <c r="F623" s="90">
        <v>3</v>
      </c>
      <c r="G623" s="90">
        <f>'Stavební rozpočet (SO 13)'!G467</f>
        <v>0</v>
      </c>
      <c r="H623" s="90">
        <f t="shared" si="632"/>
        <v>0</v>
      </c>
      <c r="I623" s="90">
        <f t="shared" si="633"/>
        <v>0</v>
      </c>
      <c r="J623" s="90">
        <f t="shared" si="634"/>
        <v>0</v>
      </c>
      <c r="K623" s="90">
        <v>0</v>
      </c>
      <c r="L623" s="90">
        <f t="shared" si="635"/>
        <v>0</v>
      </c>
      <c r="M623" s="91" t="s">
        <v>622</v>
      </c>
      <c r="O623" s="90"/>
      <c r="P623" s="90"/>
      <c r="Z623" s="90">
        <f t="shared" si="636"/>
        <v>0</v>
      </c>
      <c r="AB623" s="90">
        <f t="shared" si="637"/>
        <v>0</v>
      </c>
      <c r="AC623" s="90">
        <f t="shared" si="638"/>
        <v>0</v>
      </c>
      <c r="AD623" s="90">
        <f t="shared" si="639"/>
        <v>0</v>
      </c>
      <c r="AE623" s="90">
        <f t="shared" si="640"/>
        <v>0</v>
      </c>
      <c r="AF623" s="90">
        <f t="shared" si="641"/>
        <v>0</v>
      </c>
      <c r="AG623" s="90">
        <f t="shared" si="642"/>
        <v>0</v>
      </c>
      <c r="AH623" s="90">
        <f t="shared" si="643"/>
        <v>0</v>
      </c>
      <c r="AI623" s="154" t="s">
        <v>60</v>
      </c>
      <c r="AJ623" s="90">
        <f t="shared" si="644"/>
        <v>0</v>
      </c>
      <c r="AK623" s="90">
        <f t="shared" si="645"/>
        <v>0</v>
      </c>
      <c r="AL623" s="90">
        <f t="shared" si="646"/>
        <v>0</v>
      </c>
      <c r="AN623" s="90">
        <v>21</v>
      </c>
      <c r="AO623" s="90">
        <f t="shared" si="647"/>
        <v>0</v>
      </c>
      <c r="AP623" s="90">
        <f t="shared" si="648"/>
        <v>0</v>
      </c>
      <c r="AQ623" s="91" t="s">
        <v>79</v>
      </c>
      <c r="AV623" s="90">
        <f t="shared" si="649"/>
        <v>0</v>
      </c>
      <c r="AW623" s="90">
        <f t="shared" si="650"/>
        <v>0</v>
      </c>
      <c r="AX623" s="90">
        <f t="shared" si="651"/>
        <v>0</v>
      </c>
      <c r="AY623" s="91" t="s">
        <v>649</v>
      </c>
      <c r="AZ623" s="91" t="s">
        <v>1536</v>
      </c>
      <c r="BA623" s="154" t="s">
        <v>1542</v>
      </c>
      <c r="BC623" s="90">
        <f t="shared" si="652"/>
        <v>0</v>
      </c>
      <c r="BD623" s="90">
        <f t="shared" si="653"/>
        <v>0</v>
      </c>
      <c r="BE623" s="90">
        <v>0</v>
      </c>
      <c r="BF623" s="90">
        <f t="shared" si="654"/>
        <v>0</v>
      </c>
      <c r="BH623" s="90">
        <f t="shared" si="655"/>
        <v>0</v>
      </c>
      <c r="BI623" s="90">
        <f t="shared" si="656"/>
        <v>0</v>
      </c>
      <c r="BJ623" s="90">
        <f t="shared" si="657"/>
        <v>0</v>
      </c>
    </row>
    <row r="624" spans="1:62" ht="12.75">
      <c r="A624" s="88" t="s">
        <v>1863</v>
      </c>
      <c r="B624" s="88" t="s">
        <v>60</v>
      </c>
      <c r="C624" s="88" t="s">
        <v>1198</v>
      </c>
      <c r="D624" s="88" t="s">
        <v>1503</v>
      </c>
      <c r="E624" s="88" t="s">
        <v>606</v>
      </c>
      <c r="F624" s="90">
        <v>2</v>
      </c>
      <c r="G624" s="90">
        <f>'Stavební rozpočet (SO 13)'!G468</f>
        <v>0</v>
      </c>
      <c r="H624" s="90">
        <f t="shared" si="632"/>
        <v>0</v>
      </c>
      <c r="I624" s="90">
        <f t="shared" si="633"/>
        <v>0</v>
      </c>
      <c r="J624" s="90">
        <f t="shared" si="634"/>
        <v>0</v>
      </c>
      <c r="K624" s="90">
        <v>0</v>
      </c>
      <c r="L624" s="90">
        <f t="shared" si="635"/>
        <v>0</v>
      </c>
      <c r="M624" s="91" t="s">
        <v>622</v>
      </c>
      <c r="O624" s="90"/>
      <c r="P624" s="90"/>
      <c r="Z624" s="90">
        <f t="shared" si="636"/>
        <v>0</v>
      </c>
      <c r="AB624" s="90">
        <f t="shared" si="637"/>
        <v>0</v>
      </c>
      <c r="AC624" s="90">
        <f t="shared" si="638"/>
        <v>0</v>
      </c>
      <c r="AD624" s="90">
        <f t="shared" si="639"/>
        <v>0</v>
      </c>
      <c r="AE624" s="90">
        <f t="shared" si="640"/>
        <v>0</v>
      </c>
      <c r="AF624" s="90">
        <f t="shared" si="641"/>
        <v>0</v>
      </c>
      <c r="AG624" s="90">
        <f t="shared" si="642"/>
        <v>0</v>
      </c>
      <c r="AH624" s="90">
        <f t="shared" si="643"/>
        <v>0</v>
      </c>
      <c r="AI624" s="154" t="s">
        <v>60</v>
      </c>
      <c r="AJ624" s="90">
        <f t="shared" si="644"/>
        <v>0</v>
      </c>
      <c r="AK624" s="90">
        <f t="shared" si="645"/>
        <v>0</v>
      </c>
      <c r="AL624" s="90">
        <f t="shared" si="646"/>
        <v>0</v>
      </c>
      <c r="AN624" s="90">
        <v>21</v>
      </c>
      <c r="AO624" s="90">
        <f t="shared" si="647"/>
        <v>0</v>
      </c>
      <c r="AP624" s="90">
        <f t="shared" si="648"/>
        <v>0</v>
      </c>
      <c r="AQ624" s="91" t="s">
        <v>79</v>
      </c>
      <c r="AV624" s="90">
        <f t="shared" si="649"/>
        <v>0</v>
      </c>
      <c r="AW624" s="90">
        <f t="shared" si="650"/>
        <v>0</v>
      </c>
      <c r="AX624" s="90">
        <f t="shared" si="651"/>
        <v>0</v>
      </c>
      <c r="AY624" s="91" t="s">
        <v>649</v>
      </c>
      <c r="AZ624" s="91" t="s">
        <v>1536</v>
      </c>
      <c r="BA624" s="154" t="s">
        <v>1542</v>
      </c>
      <c r="BC624" s="90">
        <f t="shared" si="652"/>
        <v>0</v>
      </c>
      <c r="BD624" s="90">
        <f t="shared" si="653"/>
        <v>0</v>
      </c>
      <c r="BE624" s="90">
        <v>0</v>
      </c>
      <c r="BF624" s="90">
        <f t="shared" si="654"/>
        <v>0</v>
      </c>
      <c r="BH624" s="90">
        <f t="shared" si="655"/>
        <v>0</v>
      </c>
      <c r="BI624" s="90">
        <f t="shared" si="656"/>
        <v>0</v>
      </c>
      <c r="BJ624" s="90">
        <f t="shared" si="657"/>
        <v>0</v>
      </c>
    </row>
    <row r="625" spans="1:62" ht="12.75">
      <c r="A625" s="88" t="s">
        <v>1864</v>
      </c>
      <c r="B625" s="88" t="s">
        <v>60</v>
      </c>
      <c r="C625" s="88" t="s">
        <v>1199</v>
      </c>
      <c r="D625" s="88" t="s">
        <v>1503</v>
      </c>
      <c r="E625" s="88" t="s">
        <v>606</v>
      </c>
      <c r="F625" s="90">
        <v>2</v>
      </c>
      <c r="G625" s="90">
        <f>'Stavební rozpočet (SO 13)'!G469</f>
        <v>0</v>
      </c>
      <c r="H625" s="90">
        <f t="shared" si="632"/>
        <v>0</v>
      </c>
      <c r="I625" s="90">
        <f t="shared" si="633"/>
        <v>0</v>
      </c>
      <c r="J625" s="90">
        <f t="shared" si="634"/>
        <v>0</v>
      </c>
      <c r="K625" s="90">
        <v>0</v>
      </c>
      <c r="L625" s="90">
        <f t="shared" si="635"/>
        <v>0</v>
      </c>
      <c r="M625" s="91" t="s">
        <v>622</v>
      </c>
      <c r="O625" s="90"/>
      <c r="P625" s="90"/>
      <c r="Z625" s="90">
        <f t="shared" si="636"/>
        <v>0</v>
      </c>
      <c r="AB625" s="90">
        <f t="shared" si="637"/>
        <v>0</v>
      </c>
      <c r="AC625" s="90">
        <f t="shared" si="638"/>
        <v>0</v>
      </c>
      <c r="AD625" s="90">
        <f t="shared" si="639"/>
        <v>0</v>
      </c>
      <c r="AE625" s="90">
        <f t="shared" si="640"/>
        <v>0</v>
      </c>
      <c r="AF625" s="90">
        <f t="shared" si="641"/>
        <v>0</v>
      </c>
      <c r="AG625" s="90">
        <f t="shared" si="642"/>
        <v>0</v>
      </c>
      <c r="AH625" s="90">
        <f t="shared" si="643"/>
        <v>0</v>
      </c>
      <c r="AI625" s="154" t="s">
        <v>60</v>
      </c>
      <c r="AJ625" s="90">
        <f t="shared" si="644"/>
        <v>0</v>
      </c>
      <c r="AK625" s="90">
        <f t="shared" si="645"/>
        <v>0</v>
      </c>
      <c r="AL625" s="90">
        <f t="shared" si="646"/>
        <v>0</v>
      </c>
      <c r="AN625" s="90">
        <v>21</v>
      </c>
      <c r="AO625" s="90">
        <f t="shared" si="647"/>
        <v>0</v>
      </c>
      <c r="AP625" s="90">
        <f t="shared" si="648"/>
        <v>0</v>
      </c>
      <c r="AQ625" s="91" t="s">
        <v>79</v>
      </c>
      <c r="AV625" s="90">
        <f t="shared" si="649"/>
        <v>0</v>
      </c>
      <c r="AW625" s="90">
        <f t="shared" si="650"/>
        <v>0</v>
      </c>
      <c r="AX625" s="90">
        <f t="shared" si="651"/>
        <v>0</v>
      </c>
      <c r="AY625" s="91" t="s">
        <v>649</v>
      </c>
      <c r="AZ625" s="91" t="s">
        <v>1536</v>
      </c>
      <c r="BA625" s="154" t="s">
        <v>1542</v>
      </c>
      <c r="BC625" s="90">
        <f t="shared" si="652"/>
        <v>0</v>
      </c>
      <c r="BD625" s="90">
        <f t="shared" si="653"/>
        <v>0</v>
      </c>
      <c r="BE625" s="90">
        <v>0</v>
      </c>
      <c r="BF625" s="90">
        <f t="shared" si="654"/>
        <v>0</v>
      </c>
      <c r="BH625" s="90">
        <f t="shared" si="655"/>
        <v>0</v>
      </c>
      <c r="BI625" s="90">
        <f t="shared" si="656"/>
        <v>0</v>
      </c>
      <c r="BJ625" s="90">
        <f t="shared" si="657"/>
        <v>0</v>
      </c>
    </row>
    <row r="626" spans="1:62" ht="12.75">
      <c r="A626" s="88" t="s">
        <v>1865</v>
      </c>
      <c r="B626" s="88" t="s">
        <v>60</v>
      </c>
      <c r="C626" s="88" t="s">
        <v>1200</v>
      </c>
      <c r="D626" s="88" t="s">
        <v>1504</v>
      </c>
      <c r="E626" s="88" t="s">
        <v>606</v>
      </c>
      <c r="F626" s="90">
        <v>9</v>
      </c>
      <c r="G626" s="90">
        <f>'Stavební rozpočet (SO 13)'!G470</f>
        <v>0</v>
      </c>
      <c r="H626" s="90">
        <f t="shared" si="632"/>
        <v>0</v>
      </c>
      <c r="I626" s="90">
        <f t="shared" si="633"/>
        <v>0</v>
      </c>
      <c r="J626" s="90">
        <f t="shared" si="634"/>
        <v>0</v>
      </c>
      <c r="K626" s="90">
        <v>0</v>
      </c>
      <c r="L626" s="90">
        <f t="shared" si="635"/>
        <v>0</v>
      </c>
      <c r="M626" s="91" t="s">
        <v>622</v>
      </c>
      <c r="O626" s="90"/>
      <c r="P626" s="90"/>
      <c r="Z626" s="90">
        <f t="shared" si="636"/>
        <v>0</v>
      </c>
      <c r="AB626" s="90">
        <f t="shared" si="637"/>
        <v>0</v>
      </c>
      <c r="AC626" s="90">
        <f t="shared" si="638"/>
        <v>0</v>
      </c>
      <c r="AD626" s="90">
        <f t="shared" si="639"/>
        <v>0</v>
      </c>
      <c r="AE626" s="90">
        <f t="shared" si="640"/>
        <v>0</v>
      </c>
      <c r="AF626" s="90">
        <f t="shared" si="641"/>
        <v>0</v>
      </c>
      <c r="AG626" s="90">
        <f t="shared" si="642"/>
        <v>0</v>
      </c>
      <c r="AH626" s="90">
        <f t="shared" si="643"/>
        <v>0</v>
      </c>
      <c r="AI626" s="154" t="s">
        <v>60</v>
      </c>
      <c r="AJ626" s="90">
        <f t="shared" si="644"/>
        <v>0</v>
      </c>
      <c r="AK626" s="90">
        <f t="shared" si="645"/>
        <v>0</v>
      </c>
      <c r="AL626" s="90">
        <f t="shared" si="646"/>
        <v>0</v>
      </c>
      <c r="AN626" s="90">
        <v>21</v>
      </c>
      <c r="AO626" s="90">
        <f t="shared" si="647"/>
        <v>0</v>
      </c>
      <c r="AP626" s="90">
        <f t="shared" si="648"/>
        <v>0</v>
      </c>
      <c r="AQ626" s="91" t="s">
        <v>79</v>
      </c>
      <c r="AV626" s="90">
        <f t="shared" si="649"/>
        <v>0</v>
      </c>
      <c r="AW626" s="90">
        <f t="shared" si="650"/>
        <v>0</v>
      </c>
      <c r="AX626" s="90">
        <f t="shared" si="651"/>
        <v>0</v>
      </c>
      <c r="AY626" s="91" t="s">
        <v>649</v>
      </c>
      <c r="AZ626" s="91" t="s">
        <v>1536</v>
      </c>
      <c r="BA626" s="154" t="s">
        <v>1542</v>
      </c>
      <c r="BC626" s="90">
        <f t="shared" si="652"/>
        <v>0</v>
      </c>
      <c r="BD626" s="90">
        <f t="shared" si="653"/>
        <v>0</v>
      </c>
      <c r="BE626" s="90">
        <v>0</v>
      </c>
      <c r="BF626" s="90">
        <f t="shared" si="654"/>
        <v>0</v>
      </c>
      <c r="BH626" s="90">
        <f t="shared" si="655"/>
        <v>0</v>
      </c>
      <c r="BI626" s="90">
        <f t="shared" si="656"/>
        <v>0</v>
      </c>
      <c r="BJ626" s="90">
        <f t="shared" si="657"/>
        <v>0</v>
      </c>
    </row>
    <row r="627" spans="1:62" ht="12.75">
      <c r="A627" s="88" t="s">
        <v>1866</v>
      </c>
      <c r="B627" s="88" t="s">
        <v>60</v>
      </c>
      <c r="C627" s="88" t="s">
        <v>1201</v>
      </c>
      <c r="D627" s="88" t="s">
        <v>1504</v>
      </c>
      <c r="E627" s="88" t="s">
        <v>606</v>
      </c>
      <c r="F627" s="90">
        <v>9</v>
      </c>
      <c r="G627" s="90">
        <f>'Stavební rozpočet (SO 13)'!G471</f>
        <v>0</v>
      </c>
      <c r="H627" s="90">
        <f t="shared" si="632"/>
        <v>0</v>
      </c>
      <c r="I627" s="90">
        <f t="shared" si="633"/>
        <v>0</v>
      </c>
      <c r="J627" s="90">
        <f t="shared" si="634"/>
        <v>0</v>
      </c>
      <c r="K627" s="90">
        <v>0</v>
      </c>
      <c r="L627" s="90">
        <f t="shared" si="635"/>
        <v>0</v>
      </c>
      <c r="M627" s="91" t="s">
        <v>622</v>
      </c>
      <c r="O627" s="90"/>
      <c r="P627" s="90"/>
      <c r="Z627" s="90">
        <f t="shared" si="636"/>
        <v>0</v>
      </c>
      <c r="AB627" s="90">
        <f t="shared" si="637"/>
        <v>0</v>
      </c>
      <c r="AC627" s="90">
        <f t="shared" si="638"/>
        <v>0</v>
      </c>
      <c r="AD627" s="90">
        <f t="shared" si="639"/>
        <v>0</v>
      </c>
      <c r="AE627" s="90">
        <f t="shared" si="640"/>
        <v>0</v>
      </c>
      <c r="AF627" s="90">
        <f t="shared" si="641"/>
        <v>0</v>
      </c>
      <c r="AG627" s="90">
        <f t="shared" si="642"/>
        <v>0</v>
      </c>
      <c r="AH627" s="90">
        <f t="shared" si="643"/>
        <v>0</v>
      </c>
      <c r="AI627" s="154" t="s">
        <v>60</v>
      </c>
      <c r="AJ627" s="90">
        <f t="shared" si="644"/>
        <v>0</v>
      </c>
      <c r="AK627" s="90">
        <f t="shared" si="645"/>
        <v>0</v>
      </c>
      <c r="AL627" s="90">
        <f t="shared" si="646"/>
        <v>0</v>
      </c>
      <c r="AN627" s="90">
        <v>21</v>
      </c>
      <c r="AO627" s="90">
        <f t="shared" si="647"/>
        <v>0</v>
      </c>
      <c r="AP627" s="90">
        <f t="shared" si="648"/>
        <v>0</v>
      </c>
      <c r="AQ627" s="91" t="s">
        <v>79</v>
      </c>
      <c r="AV627" s="90">
        <f t="shared" si="649"/>
        <v>0</v>
      </c>
      <c r="AW627" s="90">
        <f t="shared" si="650"/>
        <v>0</v>
      </c>
      <c r="AX627" s="90">
        <f t="shared" si="651"/>
        <v>0</v>
      </c>
      <c r="AY627" s="91" t="s">
        <v>649</v>
      </c>
      <c r="AZ627" s="91" t="s">
        <v>1536</v>
      </c>
      <c r="BA627" s="154" t="s">
        <v>1542</v>
      </c>
      <c r="BC627" s="90">
        <f t="shared" si="652"/>
        <v>0</v>
      </c>
      <c r="BD627" s="90">
        <f t="shared" si="653"/>
        <v>0</v>
      </c>
      <c r="BE627" s="90">
        <v>0</v>
      </c>
      <c r="BF627" s="90">
        <f t="shared" si="654"/>
        <v>0</v>
      </c>
      <c r="BH627" s="90">
        <f t="shared" si="655"/>
        <v>0</v>
      </c>
      <c r="BI627" s="90">
        <f t="shared" si="656"/>
        <v>0</v>
      </c>
      <c r="BJ627" s="90">
        <f t="shared" si="657"/>
        <v>0</v>
      </c>
    </row>
    <row r="628" spans="1:62" ht="12.75">
      <c r="A628" s="88" t="s">
        <v>1867</v>
      </c>
      <c r="B628" s="88" t="s">
        <v>60</v>
      </c>
      <c r="C628" s="88" t="s">
        <v>1202</v>
      </c>
      <c r="D628" s="88" t="s">
        <v>1505</v>
      </c>
      <c r="E628" s="88" t="s">
        <v>606</v>
      </c>
      <c r="F628" s="90">
        <v>1</v>
      </c>
      <c r="G628" s="90">
        <f>'Stavební rozpočet (SO 13)'!G472</f>
        <v>0</v>
      </c>
      <c r="H628" s="90">
        <f t="shared" si="632"/>
        <v>0</v>
      </c>
      <c r="I628" s="90">
        <f t="shared" si="633"/>
        <v>0</v>
      </c>
      <c r="J628" s="90">
        <f t="shared" si="634"/>
        <v>0</v>
      </c>
      <c r="K628" s="90">
        <v>0</v>
      </c>
      <c r="L628" s="90">
        <f t="shared" si="635"/>
        <v>0</v>
      </c>
      <c r="M628" s="91" t="s">
        <v>622</v>
      </c>
      <c r="O628" s="90"/>
      <c r="P628" s="90"/>
      <c r="Z628" s="90">
        <f t="shared" si="636"/>
        <v>0</v>
      </c>
      <c r="AB628" s="90">
        <f t="shared" si="637"/>
        <v>0</v>
      </c>
      <c r="AC628" s="90">
        <f t="shared" si="638"/>
        <v>0</v>
      </c>
      <c r="AD628" s="90">
        <f t="shared" si="639"/>
        <v>0</v>
      </c>
      <c r="AE628" s="90">
        <f t="shared" si="640"/>
        <v>0</v>
      </c>
      <c r="AF628" s="90">
        <f t="shared" si="641"/>
        <v>0</v>
      </c>
      <c r="AG628" s="90">
        <f t="shared" si="642"/>
        <v>0</v>
      </c>
      <c r="AH628" s="90">
        <f t="shared" si="643"/>
        <v>0</v>
      </c>
      <c r="AI628" s="154" t="s">
        <v>60</v>
      </c>
      <c r="AJ628" s="90">
        <f t="shared" si="644"/>
        <v>0</v>
      </c>
      <c r="AK628" s="90">
        <f t="shared" si="645"/>
        <v>0</v>
      </c>
      <c r="AL628" s="90">
        <f t="shared" si="646"/>
        <v>0</v>
      </c>
      <c r="AN628" s="90">
        <v>21</v>
      </c>
      <c r="AO628" s="90">
        <f t="shared" si="647"/>
        <v>0</v>
      </c>
      <c r="AP628" s="90">
        <f t="shared" si="648"/>
        <v>0</v>
      </c>
      <c r="AQ628" s="91" t="s">
        <v>79</v>
      </c>
      <c r="AV628" s="90">
        <f t="shared" si="649"/>
        <v>0</v>
      </c>
      <c r="AW628" s="90">
        <f t="shared" si="650"/>
        <v>0</v>
      </c>
      <c r="AX628" s="90">
        <f t="shared" si="651"/>
        <v>0</v>
      </c>
      <c r="AY628" s="91" t="s">
        <v>649</v>
      </c>
      <c r="AZ628" s="91" t="s">
        <v>1536</v>
      </c>
      <c r="BA628" s="154" t="s">
        <v>1542</v>
      </c>
      <c r="BC628" s="90">
        <f t="shared" si="652"/>
        <v>0</v>
      </c>
      <c r="BD628" s="90">
        <f t="shared" si="653"/>
        <v>0</v>
      </c>
      <c r="BE628" s="90">
        <v>0</v>
      </c>
      <c r="BF628" s="90">
        <f t="shared" si="654"/>
        <v>0</v>
      </c>
      <c r="BH628" s="90">
        <f t="shared" si="655"/>
        <v>0</v>
      </c>
      <c r="BI628" s="90">
        <f t="shared" si="656"/>
        <v>0</v>
      </c>
      <c r="BJ628" s="90">
        <f t="shared" si="657"/>
        <v>0</v>
      </c>
    </row>
    <row r="629" spans="1:62" ht="12.75">
      <c r="A629" s="88" t="s">
        <v>1868</v>
      </c>
      <c r="B629" s="88" t="s">
        <v>60</v>
      </c>
      <c r="C629" s="88" t="s">
        <v>1203</v>
      </c>
      <c r="D629" s="88" t="s">
        <v>1506</v>
      </c>
      <c r="E629" s="88" t="s">
        <v>606</v>
      </c>
      <c r="F629" s="90">
        <v>1</v>
      </c>
      <c r="G629" s="90">
        <f>'Stavební rozpočet (SO 13)'!G473</f>
        <v>0</v>
      </c>
      <c r="H629" s="90">
        <f t="shared" si="632"/>
        <v>0</v>
      </c>
      <c r="I629" s="90">
        <f t="shared" si="633"/>
        <v>0</v>
      </c>
      <c r="J629" s="90">
        <f t="shared" si="634"/>
        <v>0</v>
      </c>
      <c r="K629" s="90">
        <v>0</v>
      </c>
      <c r="L629" s="90">
        <f t="shared" si="635"/>
        <v>0</v>
      </c>
      <c r="M629" s="91" t="s">
        <v>622</v>
      </c>
      <c r="O629" s="90"/>
      <c r="P629" s="90"/>
      <c r="Z629" s="90">
        <f t="shared" si="636"/>
        <v>0</v>
      </c>
      <c r="AB629" s="90">
        <f t="shared" si="637"/>
        <v>0</v>
      </c>
      <c r="AC629" s="90">
        <f t="shared" si="638"/>
        <v>0</v>
      </c>
      <c r="AD629" s="90">
        <f t="shared" si="639"/>
        <v>0</v>
      </c>
      <c r="AE629" s="90">
        <f t="shared" si="640"/>
        <v>0</v>
      </c>
      <c r="AF629" s="90">
        <f t="shared" si="641"/>
        <v>0</v>
      </c>
      <c r="AG629" s="90">
        <f t="shared" si="642"/>
        <v>0</v>
      </c>
      <c r="AH629" s="90">
        <f t="shared" si="643"/>
        <v>0</v>
      </c>
      <c r="AI629" s="154" t="s">
        <v>60</v>
      </c>
      <c r="AJ629" s="90">
        <f t="shared" si="644"/>
        <v>0</v>
      </c>
      <c r="AK629" s="90">
        <f t="shared" si="645"/>
        <v>0</v>
      </c>
      <c r="AL629" s="90">
        <f t="shared" si="646"/>
        <v>0</v>
      </c>
      <c r="AN629" s="90">
        <v>21</v>
      </c>
      <c r="AO629" s="90">
        <f t="shared" si="647"/>
        <v>0</v>
      </c>
      <c r="AP629" s="90">
        <f t="shared" si="648"/>
        <v>0</v>
      </c>
      <c r="AQ629" s="91" t="s">
        <v>79</v>
      </c>
      <c r="AV629" s="90">
        <f t="shared" si="649"/>
        <v>0</v>
      </c>
      <c r="AW629" s="90">
        <f t="shared" si="650"/>
        <v>0</v>
      </c>
      <c r="AX629" s="90">
        <f t="shared" si="651"/>
        <v>0</v>
      </c>
      <c r="AY629" s="91" t="s">
        <v>649</v>
      </c>
      <c r="AZ629" s="91" t="s">
        <v>1536</v>
      </c>
      <c r="BA629" s="154" t="s">
        <v>1542</v>
      </c>
      <c r="BC629" s="90">
        <f t="shared" si="652"/>
        <v>0</v>
      </c>
      <c r="BD629" s="90">
        <f t="shared" si="653"/>
        <v>0</v>
      </c>
      <c r="BE629" s="90">
        <v>0</v>
      </c>
      <c r="BF629" s="90">
        <f t="shared" si="654"/>
        <v>0</v>
      </c>
      <c r="BH629" s="90">
        <f t="shared" si="655"/>
        <v>0</v>
      </c>
      <c r="BI629" s="90">
        <f t="shared" si="656"/>
        <v>0</v>
      </c>
      <c r="BJ629" s="90">
        <f t="shared" si="657"/>
        <v>0</v>
      </c>
    </row>
    <row r="630" spans="1:62" ht="12.75">
      <c r="A630" s="88" t="s">
        <v>1869</v>
      </c>
      <c r="B630" s="88" t="s">
        <v>60</v>
      </c>
      <c r="C630" s="88" t="s">
        <v>1204</v>
      </c>
      <c r="D630" s="88" t="s">
        <v>1507</v>
      </c>
      <c r="E630" s="88" t="s">
        <v>606</v>
      </c>
      <c r="F630" s="90">
        <v>2</v>
      </c>
      <c r="G630" s="90">
        <f>'Stavební rozpočet (SO 13)'!G474</f>
        <v>0</v>
      </c>
      <c r="H630" s="90">
        <f t="shared" si="632"/>
        <v>0</v>
      </c>
      <c r="I630" s="90">
        <f t="shared" si="633"/>
        <v>0</v>
      </c>
      <c r="J630" s="90">
        <f t="shared" si="634"/>
        <v>0</v>
      </c>
      <c r="K630" s="90">
        <v>0</v>
      </c>
      <c r="L630" s="90">
        <f t="shared" si="635"/>
        <v>0</v>
      </c>
      <c r="M630" s="91" t="s">
        <v>622</v>
      </c>
      <c r="O630" s="90"/>
      <c r="P630" s="90"/>
      <c r="Z630" s="90">
        <f t="shared" si="636"/>
        <v>0</v>
      </c>
      <c r="AB630" s="90">
        <f t="shared" si="637"/>
        <v>0</v>
      </c>
      <c r="AC630" s="90">
        <f t="shared" si="638"/>
        <v>0</v>
      </c>
      <c r="AD630" s="90">
        <f t="shared" si="639"/>
        <v>0</v>
      </c>
      <c r="AE630" s="90">
        <f t="shared" si="640"/>
        <v>0</v>
      </c>
      <c r="AF630" s="90">
        <f t="shared" si="641"/>
        <v>0</v>
      </c>
      <c r="AG630" s="90">
        <f t="shared" si="642"/>
        <v>0</v>
      </c>
      <c r="AH630" s="90">
        <f t="shared" si="643"/>
        <v>0</v>
      </c>
      <c r="AI630" s="154" t="s">
        <v>60</v>
      </c>
      <c r="AJ630" s="90">
        <f t="shared" si="644"/>
        <v>0</v>
      </c>
      <c r="AK630" s="90">
        <f t="shared" si="645"/>
        <v>0</v>
      </c>
      <c r="AL630" s="90">
        <f t="shared" si="646"/>
        <v>0</v>
      </c>
      <c r="AN630" s="90">
        <v>21</v>
      </c>
      <c r="AO630" s="90">
        <f t="shared" si="647"/>
        <v>0</v>
      </c>
      <c r="AP630" s="90">
        <f t="shared" si="648"/>
        <v>0</v>
      </c>
      <c r="AQ630" s="91" t="s">
        <v>79</v>
      </c>
      <c r="AV630" s="90">
        <f t="shared" si="649"/>
        <v>0</v>
      </c>
      <c r="AW630" s="90">
        <f t="shared" si="650"/>
        <v>0</v>
      </c>
      <c r="AX630" s="90">
        <f t="shared" si="651"/>
        <v>0</v>
      </c>
      <c r="AY630" s="91" t="s">
        <v>649</v>
      </c>
      <c r="AZ630" s="91" t="s">
        <v>1536</v>
      </c>
      <c r="BA630" s="154" t="s">
        <v>1542</v>
      </c>
      <c r="BC630" s="90">
        <f t="shared" si="652"/>
        <v>0</v>
      </c>
      <c r="BD630" s="90">
        <f t="shared" si="653"/>
        <v>0</v>
      </c>
      <c r="BE630" s="90">
        <v>0</v>
      </c>
      <c r="BF630" s="90">
        <f t="shared" si="654"/>
        <v>0</v>
      </c>
      <c r="BH630" s="90">
        <f t="shared" si="655"/>
        <v>0</v>
      </c>
      <c r="BI630" s="90">
        <f t="shared" si="656"/>
        <v>0</v>
      </c>
      <c r="BJ630" s="90">
        <f t="shared" si="657"/>
        <v>0</v>
      </c>
    </row>
    <row r="631" spans="1:62" ht="12.75">
      <c r="A631" s="88" t="s">
        <v>1870</v>
      </c>
      <c r="B631" s="88" t="s">
        <v>60</v>
      </c>
      <c r="C631" s="88" t="s">
        <v>1205</v>
      </c>
      <c r="D631" s="88" t="s">
        <v>1508</v>
      </c>
      <c r="E631" s="88" t="s">
        <v>606</v>
      </c>
      <c r="F631" s="90">
        <v>2</v>
      </c>
      <c r="G631" s="90">
        <f>'Stavební rozpočet (SO 13)'!G475</f>
        <v>0</v>
      </c>
      <c r="H631" s="90">
        <f t="shared" si="632"/>
        <v>0</v>
      </c>
      <c r="I631" s="90">
        <f t="shared" si="633"/>
        <v>0</v>
      </c>
      <c r="J631" s="90">
        <f t="shared" si="634"/>
        <v>0</v>
      </c>
      <c r="K631" s="90">
        <v>0</v>
      </c>
      <c r="L631" s="90">
        <f t="shared" si="635"/>
        <v>0</v>
      </c>
      <c r="M631" s="91" t="s">
        <v>622</v>
      </c>
      <c r="O631" s="90"/>
      <c r="P631" s="90"/>
      <c r="Z631" s="90">
        <f t="shared" si="636"/>
        <v>0</v>
      </c>
      <c r="AB631" s="90">
        <f t="shared" si="637"/>
        <v>0</v>
      </c>
      <c r="AC631" s="90">
        <f t="shared" si="638"/>
        <v>0</v>
      </c>
      <c r="AD631" s="90">
        <f t="shared" si="639"/>
        <v>0</v>
      </c>
      <c r="AE631" s="90">
        <f t="shared" si="640"/>
        <v>0</v>
      </c>
      <c r="AF631" s="90">
        <f t="shared" si="641"/>
        <v>0</v>
      </c>
      <c r="AG631" s="90">
        <f t="shared" si="642"/>
        <v>0</v>
      </c>
      <c r="AH631" s="90">
        <f t="shared" si="643"/>
        <v>0</v>
      </c>
      <c r="AI631" s="154" t="s">
        <v>60</v>
      </c>
      <c r="AJ631" s="90">
        <f t="shared" si="644"/>
        <v>0</v>
      </c>
      <c r="AK631" s="90">
        <f t="shared" si="645"/>
        <v>0</v>
      </c>
      <c r="AL631" s="90">
        <f t="shared" si="646"/>
        <v>0</v>
      </c>
      <c r="AN631" s="90">
        <v>21</v>
      </c>
      <c r="AO631" s="90">
        <f t="shared" si="647"/>
        <v>0</v>
      </c>
      <c r="AP631" s="90">
        <f t="shared" si="648"/>
        <v>0</v>
      </c>
      <c r="AQ631" s="91" t="s">
        <v>79</v>
      </c>
      <c r="AV631" s="90">
        <f t="shared" si="649"/>
        <v>0</v>
      </c>
      <c r="AW631" s="90">
        <f t="shared" si="650"/>
        <v>0</v>
      </c>
      <c r="AX631" s="90">
        <f t="shared" si="651"/>
        <v>0</v>
      </c>
      <c r="AY631" s="91" t="s">
        <v>649</v>
      </c>
      <c r="AZ631" s="91" t="s">
        <v>1536</v>
      </c>
      <c r="BA631" s="154" t="s">
        <v>1542</v>
      </c>
      <c r="BC631" s="90">
        <f t="shared" si="652"/>
        <v>0</v>
      </c>
      <c r="BD631" s="90">
        <f t="shared" si="653"/>
        <v>0</v>
      </c>
      <c r="BE631" s="90">
        <v>0</v>
      </c>
      <c r="BF631" s="90">
        <f t="shared" si="654"/>
        <v>0</v>
      </c>
      <c r="BH631" s="90">
        <f t="shared" si="655"/>
        <v>0</v>
      </c>
      <c r="BI631" s="90">
        <f t="shared" si="656"/>
        <v>0</v>
      </c>
      <c r="BJ631" s="90">
        <f t="shared" si="657"/>
        <v>0</v>
      </c>
    </row>
    <row r="632" spans="1:62" ht="12.75">
      <c r="A632" s="88" t="s">
        <v>1871</v>
      </c>
      <c r="B632" s="88" t="s">
        <v>60</v>
      </c>
      <c r="C632" s="88" t="s">
        <v>1206</v>
      </c>
      <c r="D632" s="88" t="s">
        <v>1509</v>
      </c>
      <c r="E632" s="88" t="s">
        <v>606</v>
      </c>
      <c r="F632" s="90">
        <v>0</v>
      </c>
      <c r="G632" s="90">
        <f>'Stavební rozpočet (SO 13)'!G476</f>
        <v>0</v>
      </c>
      <c r="H632" s="90">
        <f t="shared" si="632"/>
        <v>0</v>
      </c>
      <c r="I632" s="90">
        <f t="shared" si="633"/>
        <v>0</v>
      </c>
      <c r="J632" s="90">
        <f t="shared" si="634"/>
        <v>0</v>
      </c>
      <c r="K632" s="90">
        <v>0</v>
      </c>
      <c r="L632" s="90">
        <f t="shared" si="635"/>
        <v>0</v>
      </c>
      <c r="M632" s="91" t="s">
        <v>622</v>
      </c>
      <c r="O632" s="90"/>
      <c r="P632" s="90"/>
      <c r="Z632" s="90">
        <f t="shared" si="636"/>
        <v>0</v>
      </c>
      <c r="AB632" s="90">
        <f t="shared" si="637"/>
        <v>0</v>
      </c>
      <c r="AC632" s="90">
        <f t="shared" si="638"/>
        <v>0</v>
      </c>
      <c r="AD632" s="90">
        <f t="shared" si="639"/>
        <v>0</v>
      </c>
      <c r="AE632" s="90">
        <f t="shared" si="640"/>
        <v>0</v>
      </c>
      <c r="AF632" s="90">
        <f t="shared" si="641"/>
        <v>0</v>
      </c>
      <c r="AG632" s="90">
        <f t="shared" si="642"/>
        <v>0</v>
      </c>
      <c r="AH632" s="90">
        <f t="shared" si="643"/>
        <v>0</v>
      </c>
      <c r="AI632" s="154" t="s">
        <v>60</v>
      </c>
      <c r="AJ632" s="90">
        <f t="shared" si="644"/>
        <v>0</v>
      </c>
      <c r="AK632" s="90">
        <f t="shared" si="645"/>
        <v>0</v>
      </c>
      <c r="AL632" s="90">
        <f t="shared" si="646"/>
        <v>0</v>
      </c>
      <c r="AN632" s="90">
        <v>21</v>
      </c>
      <c r="AO632" s="90">
        <f t="shared" si="647"/>
        <v>0</v>
      </c>
      <c r="AP632" s="90">
        <f t="shared" si="648"/>
        <v>0</v>
      </c>
      <c r="AQ632" s="91" t="s">
        <v>79</v>
      </c>
      <c r="AV632" s="90">
        <f t="shared" si="649"/>
        <v>0</v>
      </c>
      <c r="AW632" s="90">
        <f t="shared" si="650"/>
        <v>0</v>
      </c>
      <c r="AX632" s="90">
        <f t="shared" si="651"/>
        <v>0</v>
      </c>
      <c r="AY632" s="91" t="s">
        <v>649</v>
      </c>
      <c r="AZ632" s="91" t="s">
        <v>1536</v>
      </c>
      <c r="BA632" s="154" t="s">
        <v>1542</v>
      </c>
      <c r="BC632" s="90">
        <f t="shared" si="652"/>
        <v>0</v>
      </c>
      <c r="BD632" s="90">
        <f t="shared" si="653"/>
        <v>0</v>
      </c>
      <c r="BE632" s="90">
        <v>0</v>
      </c>
      <c r="BF632" s="90">
        <f t="shared" si="654"/>
        <v>0</v>
      </c>
      <c r="BH632" s="90">
        <f t="shared" si="655"/>
        <v>0</v>
      </c>
      <c r="BI632" s="90">
        <f t="shared" si="656"/>
        <v>0</v>
      </c>
      <c r="BJ632" s="90">
        <f t="shared" si="657"/>
        <v>0</v>
      </c>
    </row>
    <row r="633" spans="1:62" ht="12.75">
      <c r="A633" s="88" t="s">
        <v>1872</v>
      </c>
      <c r="B633" s="88" t="s">
        <v>60</v>
      </c>
      <c r="C633" s="88" t="s">
        <v>1207</v>
      </c>
      <c r="D633" s="88" t="s">
        <v>1510</v>
      </c>
      <c r="E633" s="88" t="s">
        <v>606</v>
      </c>
      <c r="F633" s="90">
        <v>1</v>
      </c>
      <c r="G633" s="90">
        <f>'Stavební rozpočet (SO 13)'!G477</f>
        <v>0</v>
      </c>
      <c r="H633" s="90">
        <f t="shared" si="632"/>
        <v>0</v>
      </c>
      <c r="I633" s="90">
        <f t="shared" si="633"/>
        <v>0</v>
      </c>
      <c r="J633" s="90">
        <f t="shared" si="634"/>
        <v>0</v>
      </c>
      <c r="K633" s="90">
        <v>0</v>
      </c>
      <c r="L633" s="90">
        <f t="shared" si="635"/>
        <v>0</v>
      </c>
      <c r="M633" s="91" t="s">
        <v>622</v>
      </c>
      <c r="O633" s="90"/>
      <c r="P633" s="90"/>
      <c r="Z633" s="90">
        <f t="shared" si="636"/>
        <v>0</v>
      </c>
      <c r="AB633" s="90">
        <f t="shared" si="637"/>
        <v>0</v>
      </c>
      <c r="AC633" s="90">
        <f t="shared" si="638"/>
        <v>0</v>
      </c>
      <c r="AD633" s="90">
        <f t="shared" si="639"/>
        <v>0</v>
      </c>
      <c r="AE633" s="90">
        <f t="shared" si="640"/>
        <v>0</v>
      </c>
      <c r="AF633" s="90">
        <f t="shared" si="641"/>
        <v>0</v>
      </c>
      <c r="AG633" s="90">
        <f t="shared" si="642"/>
        <v>0</v>
      </c>
      <c r="AH633" s="90">
        <f t="shared" si="643"/>
        <v>0</v>
      </c>
      <c r="AI633" s="154" t="s">
        <v>60</v>
      </c>
      <c r="AJ633" s="90">
        <f t="shared" si="644"/>
        <v>0</v>
      </c>
      <c r="AK633" s="90">
        <f t="shared" si="645"/>
        <v>0</v>
      </c>
      <c r="AL633" s="90">
        <f t="shared" si="646"/>
        <v>0</v>
      </c>
      <c r="AN633" s="90">
        <v>21</v>
      </c>
      <c r="AO633" s="90">
        <f t="shared" si="647"/>
        <v>0</v>
      </c>
      <c r="AP633" s="90">
        <f t="shared" si="648"/>
        <v>0</v>
      </c>
      <c r="AQ633" s="91" t="s">
        <v>79</v>
      </c>
      <c r="AV633" s="90">
        <f t="shared" si="649"/>
        <v>0</v>
      </c>
      <c r="AW633" s="90">
        <f t="shared" si="650"/>
        <v>0</v>
      </c>
      <c r="AX633" s="90">
        <f t="shared" si="651"/>
        <v>0</v>
      </c>
      <c r="AY633" s="91" t="s">
        <v>649</v>
      </c>
      <c r="AZ633" s="91" t="s">
        <v>1536</v>
      </c>
      <c r="BA633" s="154" t="s">
        <v>1542</v>
      </c>
      <c r="BC633" s="90">
        <f t="shared" si="652"/>
        <v>0</v>
      </c>
      <c r="BD633" s="90">
        <f t="shared" si="653"/>
        <v>0</v>
      </c>
      <c r="BE633" s="90">
        <v>0</v>
      </c>
      <c r="BF633" s="90">
        <f t="shared" si="654"/>
        <v>0</v>
      </c>
      <c r="BH633" s="90">
        <f t="shared" si="655"/>
        <v>0</v>
      </c>
      <c r="BI633" s="90">
        <f t="shared" si="656"/>
        <v>0</v>
      </c>
      <c r="BJ633" s="90">
        <f t="shared" si="657"/>
        <v>0</v>
      </c>
    </row>
    <row r="634" spans="1:62" ht="12.75">
      <c r="A634" s="88" t="s">
        <v>1873</v>
      </c>
      <c r="B634" s="88" t="s">
        <v>60</v>
      </c>
      <c r="C634" s="88" t="s">
        <v>1208</v>
      </c>
      <c r="D634" s="88" t="s">
        <v>1511</v>
      </c>
      <c r="E634" s="88" t="s">
        <v>606</v>
      </c>
      <c r="F634" s="90">
        <v>1</v>
      </c>
      <c r="G634" s="90">
        <f>'Stavební rozpočet (SO 13)'!G478</f>
        <v>0</v>
      </c>
      <c r="H634" s="90">
        <f t="shared" si="632"/>
        <v>0</v>
      </c>
      <c r="I634" s="90">
        <f t="shared" si="633"/>
        <v>0</v>
      </c>
      <c r="J634" s="90">
        <f t="shared" si="634"/>
        <v>0</v>
      </c>
      <c r="K634" s="90">
        <v>0</v>
      </c>
      <c r="L634" s="90">
        <f t="shared" si="635"/>
        <v>0</v>
      </c>
      <c r="M634" s="91" t="s">
        <v>622</v>
      </c>
      <c r="O634" s="90"/>
      <c r="P634" s="90"/>
      <c r="Z634" s="90">
        <f t="shared" si="636"/>
        <v>0</v>
      </c>
      <c r="AB634" s="90">
        <f t="shared" si="637"/>
        <v>0</v>
      </c>
      <c r="AC634" s="90">
        <f t="shared" si="638"/>
        <v>0</v>
      </c>
      <c r="AD634" s="90">
        <f t="shared" si="639"/>
        <v>0</v>
      </c>
      <c r="AE634" s="90">
        <f t="shared" si="640"/>
        <v>0</v>
      </c>
      <c r="AF634" s="90">
        <f t="shared" si="641"/>
        <v>0</v>
      </c>
      <c r="AG634" s="90">
        <f t="shared" si="642"/>
        <v>0</v>
      </c>
      <c r="AH634" s="90">
        <f t="shared" si="643"/>
        <v>0</v>
      </c>
      <c r="AI634" s="154" t="s">
        <v>60</v>
      </c>
      <c r="AJ634" s="90">
        <f t="shared" si="644"/>
        <v>0</v>
      </c>
      <c r="AK634" s="90">
        <f t="shared" si="645"/>
        <v>0</v>
      </c>
      <c r="AL634" s="90">
        <f t="shared" si="646"/>
        <v>0</v>
      </c>
      <c r="AN634" s="90">
        <v>21</v>
      </c>
      <c r="AO634" s="90">
        <f t="shared" si="647"/>
        <v>0</v>
      </c>
      <c r="AP634" s="90">
        <f t="shared" si="648"/>
        <v>0</v>
      </c>
      <c r="AQ634" s="91" t="s">
        <v>79</v>
      </c>
      <c r="AV634" s="90">
        <f t="shared" si="649"/>
        <v>0</v>
      </c>
      <c r="AW634" s="90">
        <f t="shared" si="650"/>
        <v>0</v>
      </c>
      <c r="AX634" s="90">
        <f t="shared" si="651"/>
        <v>0</v>
      </c>
      <c r="AY634" s="91" t="s">
        <v>649</v>
      </c>
      <c r="AZ634" s="91" t="s">
        <v>1536</v>
      </c>
      <c r="BA634" s="154" t="s">
        <v>1542</v>
      </c>
      <c r="BC634" s="90">
        <f t="shared" si="652"/>
        <v>0</v>
      </c>
      <c r="BD634" s="90">
        <f t="shared" si="653"/>
        <v>0</v>
      </c>
      <c r="BE634" s="90">
        <v>0</v>
      </c>
      <c r="BF634" s="90">
        <f t="shared" si="654"/>
        <v>0</v>
      </c>
      <c r="BH634" s="90">
        <f t="shared" si="655"/>
        <v>0</v>
      </c>
      <c r="BI634" s="90">
        <f t="shared" si="656"/>
        <v>0</v>
      </c>
      <c r="BJ634" s="90">
        <f t="shared" si="657"/>
        <v>0</v>
      </c>
    </row>
    <row r="635" spans="1:62" ht="12.75">
      <c r="A635" s="88" t="s">
        <v>1874</v>
      </c>
      <c r="B635" s="88" t="s">
        <v>60</v>
      </c>
      <c r="C635" s="88" t="s">
        <v>1209</v>
      </c>
      <c r="D635" s="88" t="s">
        <v>1512</v>
      </c>
      <c r="E635" s="88" t="s">
        <v>611</v>
      </c>
      <c r="F635" s="90">
        <v>6</v>
      </c>
      <c r="G635" s="90">
        <f>'Stavební rozpočet (SO 13)'!G479</f>
        <v>0</v>
      </c>
      <c r="H635" s="90">
        <f t="shared" si="632"/>
        <v>0</v>
      </c>
      <c r="I635" s="90">
        <f t="shared" si="633"/>
        <v>0</v>
      </c>
      <c r="J635" s="90">
        <f t="shared" si="634"/>
        <v>0</v>
      </c>
      <c r="K635" s="90">
        <v>0</v>
      </c>
      <c r="L635" s="90">
        <f t="shared" si="635"/>
        <v>0</v>
      </c>
      <c r="M635" s="91" t="s">
        <v>622</v>
      </c>
      <c r="O635" s="90"/>
      <c r="P635" s="90"/>
      <c r="Z635" s="90">
        <f t="shared" si="636"/>
        <v>0</v>
      </c>
      <c r="AB635" s="90">
        <f t="shared" si="637"/>
        <v>0</v>
      </c>
      <c r="AC635" s="90">
        <f t="shared" si="638"/>
        <v>0</v>
      </c>
      <c r="AD635" s="90">
        <f t="shared" si="639"/>
        <v>0</v>
      </c>
      <c r="AE635" s="90">
        <f t="shared" si="640"/>
        <v>0</v>
      </c>
      <c r="AF635" s="90">
        <f t="shared" si="641"/>
        <v>0</v>
      </c>
      <c r="AG635" s="90">
        <f t="shared" si="642"/>
        <v>0</v>
      </c>
      <c r="AH635" s="90">
        <f t="shared" si="643"/>
        <v>0</v>
      </c>
      <c r="AI635" s="154" t="s">
        <v>60</v>
      </c>
      <c r="AJ635" s="90">
        <f t="shared" si="644"/>
        <v>0</v>
      </c>
      <c r="AK635" s="90">
        <f t="shared" si="645"/>
        <v>0</v>
      </c>
      <c r="AL635" s="90">
        <f t="shared" si="646"/>
        <v>0</v>
      </c>
      <c r="AN635" s="90">
        <v>21</v>
      </c>
      <c r="AO635" s="90">
        <f t="shared" si="647"/>
        <v>0</v>
      </c>
      <c r="AP635" s="90">
        <f t="shared" si="648"/>
        <v>0</v>
      </c>
      <c r="AQ635" s="91" t="s">
        <v>79</v>
      </c>
      <c r="AV635" s="90">
        <f t="shared" si="649"/>
        <v>0</v>
      </c>
      <c r="AW635" s="90">
        <f t="shared" si="650"/>
        <v>0</v>
      </c>
      <c r="AX635" s="90">
        <f t="shared" si="651"/>
        <v>0</v>
      </c>
      <c r="AY635" s="91" t="s">
        <v>649</v>
      </c>
      <c r="AZ635" s="91" t="s">
        <v>1536</v>
      </c>
      <c r="BA635" s="154" t="s">
        <v>1542</v>
      </c>
      <c r="BC635" s="90">
        <f t="shared" si="652"/>
        <v>0</v>
      </c>
      <c r="BD635" s="90">
        <f t="shared" si="653"/>
        <v>0</v>
      </c>
      <c r="BE635" s="90">
        <v>0</v>
      </c>
      <c r="BF635" s="90">
        <f t="shared" si="654"/>
        <v>0</v>
      </c>
      <c r="BH635" s="90">
        <f t="shared" si="655"/>
        <v>0</v>
      </c>
      <c r="BI635" s="90">
        <f t="shared" si="656"/>
        <v>0</v>
      </c>
      <c r="BJ635" s="90">
        <f t="shared" si="657"/>
        <v>0</v>
      </c>
    </row>
    <row r="636" spans="1:62" ht="12.75">
      <c r="A636" s="88" t="s">
        <v>1875</v>
      </c>
      <c r="B636" s="88" t="s">
        <v>60</v>
      </c>
      <c r="C636" s="88" t="s">
        <v>1210</v>
      </c>
      <c r="D636" s="88" t="s">
        <v>1513</v>
      </c>
      <c r="E636" s="88" t="s">
        <v>614</v>
      </c>
      <c r="F636" s="90">
        <v>1</v>
      </c>
      <c r="G636" s="90">
        <f>'Stavební rozpočet (SO 13)'!G480</f>
        <v>0</v>
      </c>
      <c r="H636" s="90">
        <f t="shared" si="632"/>
        <v>0</v>
      </c>
      <c r="I636" s="90">
        <f t="shared" si="633"/>
        <v>0</v>
      </c>
      <c r="J636" s="90">
        <f t="shared" si="634"/>
        <v>0</v>
      </c>
      <c r="K636" s="90">
        <v>0</v>
      </c>
      <c r="L636" s="90">
        <f t="shared" si="635"/>
        <v>0</v>
      </c>
      <c r="M636" s="91" t="s">
        <v>622</v>
      </c>
      <c r="O636" s="90"/>
      <c r="P636" s="90"/>
      <c r="Z636" s="90">
        <f t="shared" si="636"/>
        <v>0</v>
      </c>
      <c r="AB636" s="90">
        <f t="shared" si="637"/>
        <v>0</v>
      </c>
      <c r="AC636" s="90">
        <f t="shared" si="638"/>
        <v>0</v>
      </c>
      <c r="AD636" s="90">
        <f t="shared" si="639"/>
        <v>0</v>
      </c>
      <c r="AE636" s="90">
        <f t="shared" si="640"/>
        <v>0</v>
      </c>
      <c r="AF636" s="90">
        <f t="shared" si="641"/>
        <v>0</v>
      </c>
      <c r="AG636" s="90">
        <f t="shared" si="642"/>
        <v>0</v>
      </c>
      <c r="AH636" s="90">
        <f t="shared" si="643"/>
        <v>0</v>
      </c>
      <c r="AI636" s="154" t="s">
        <v>60</v>
      </c>
      <c r="AJ636" s="90">
        <f t="shared" si="644"/>
        <v>0</v>
      </c>
      <c r="AK636" s="90">
        <f t="shared" si="645"/>
        <v>0</v>
      </c>
      <c r="AL636" s="90">
        <f t="shared" si="646"/>
        <v>0</v>
      </c>
      <c r="AN636" s="90">
        <v>21</v>
      </c>
      <c r="AO636" s="90">
        <f t="shared" si="647"/>
        <v>0</v>
      </c>
      <c r="AP636" s="90">
        <f t="shared" si="648"/>
        <v>0</v>
      </c>
      <c r="AQ636" s="91" t="s">
        <v>79</v>
      </c>
      <c r="AV636" s="90">
        <f t="shared" si="649"/>
        <v>0</v>
      </c>
      <c r="AW636" s="90">
        <f t="shared" si="650"/>
        <v>0</v>
      </c>
      <c r="AX636" s="90">
        <f t="shared" si="651"/>
        <v>0</v>
      </c>
      <c r="AY636" s="91" t="s">
        <v>649</v>
      </c>
      <c r="AZ636" s="91" t="s">
        <v>1536</v>
      </c>
      <c r="BA636" s="154" t="s">
        <v>1542</v>
      </c>
      <c r="BC636" s="90">
        <f t="shared" si="652"/>
        <v>0</v>
      </c>
      <c r="BD636" s="90">
        <f t="shared" si="653"/>
        <v>0</v>
      </c>
      <c r="BE636" s="90">
        <v>0</v>
      </c>
      <c r="BF636" s="90">
        <f t="shared" si="654"/>
        <v>0</v>
      </c>
      <c r="BH636" s="90">
        <f t="shared" si="655"/>
        <v>0</v>
      </c>
      <c r="BI636" s="90">
        <f t="shared" si="656"/>
        <v>0</v>
      </c>
      <c r="BJ636" s="90">
        <f t="shared" si="657"/>
        <v>0</v>
      </c>
    </row>
    <row r="637" spans="1:62" ht="12.75">
      <c r="A637" s="88" t="s">
        <v>1876</v>
      </c>
      <c r="B637" s="88" t="s">
        <v>60</v>
      </c>
      <c r="C637" s="88" t="s">
        <v>1211</v>
      </c>
      <c r="D637" s="88" t="s">
        <v>1514</v>
      </c>
      <c r="E637" s="88" t="s">
        <v>611</v>
      </c>
      <c r="F637" s="90">
        <v>3</v>
      </c>
      <c r="G637" s="90">
        <f>'Stavební rozpočet (SO 13)'!G481</f>
        <v>0</v>
      </c>
      <c r="H637" s="90">
        <f t="shared" si="632"/>
        <v>0</v>
      </c>
      <c r="I637" s="90">
        <f t="shared" si="633"/>
        <v>0</v>
      </c>
      <c r="J637" s="90">
        <f t="shared" si="634"/>
        <v>0</v>
      </c>
      <c r="K637" s="90">
        <v>0</v>
      </c>
      <c r="L637" s="90">
        <f t="shared" si="635"/>
        <v>0</v>
      </c>
      <c r="M637" s="91" t="s">
        <v>622</v>
      </c>
      <c r="O637" s="90"/>
      <c r="P637" s="90"/>
      <c r="Z637" s="90">
        <f t="shared" si="636"/>
        <v>0</v>
      </c>
      <c r="AB637" s="90">
        <f t="shared" si="637"/>
        <v>0</v>
      </c>
      <c r="AC637" s="90">
        <f t="shared" si="638"/>
        <v>0</v>
      </c>
      <c r="AD637" s="90">
        <f t="shared" si="639"/>
        <v>0</v>
      </c>
      <c r="AE637" s="90">
        <f t="shared" si="640"/>
        <v>0</v>
      </c>
      <c r="AF637" s="90">
        <f t="shared" si="641"/>
        <v>0</v>
      </c>
      <c r="AG637" s="90">
        <f t="shared" si="642"/>
        <v>0</v>
      </c>
      <c r="AH637" s="90">
        <f t="shared" si="643"/>
        <v>0</v>
      </c>
      <c r="AI637" s="154" t="s">
        <v>60</v>
      </c>
      <c r="AJ637" s="90">
        <f t="shared" si="644"/>
        <v>0</v>
      </c>
      <c r="AK637" s="90">
        <f t="shared" si="645"/>
        <v>0</v>
      </c>
      <c r="AL637" s="90">
        <f t="shared" si="646"/>
        <v>0</v>
      </c>
      <c r="AN637" s="90">
        <v>21</v>
      </c>
      <c r="AO637" s="90">
        <f t="shared" si="647"/>
        <v>0</v>
      </c>
      <c r="AP637" s="90">
        <f t="shared" si="648"/>
        <v>0</v>
      </c>
      <c r="AQ637" s="91" t="s">
        <v>79</v>
      </c>
      <c r="AV637" s="90">
        <f t="shared" si="649"/>
        <v>0</v>
      </c>
      <c r="AW637" s="90">
        <f t="shared" si="650"/>
        <v>0</v>
      </c>
      <c r="AX637" s="90">
        <f t="shared" si="651"/>
        <v>0</v>
      </c>
      <c r="AY637" s="91" t="s">
        <v>649</v>
      </c>
      <c r="AZ637" s="91" t="s">
        <v>1536</v>
      </c>
      <c r="BA637" s="154" t="s">
        <v>1542</v>
      </c>
      <c r="BC637" s="90">
        <f t="shared" si="652"/>
        <v>0</v>
      </c>
      <c r="BD637" s="90">
        <f t="shared" si="653"/>
        <v>0</v>
      </c>
      <c r="BE637" s="90">
        <v>0</v>
      </c>
      <c r="BF637" s="90">
        <f t="shared" si="654"/>
        <v>0</v>
      </c>
      <c r="BH637" s="90">
        <f t="shared" si="655"/>
        <v>0</v>
      </c>
      <c r="BI637" s="90">
        <f t="shared" si="656"/>
        <v>0</v>
      </c>
      <c r="BJ637" s="90">
        <f t="shared" si="657"/>
        <v>0</v>
      </c>
    </row>
    <row r="638" spans="1:62" ht="12.75">
      <c r="A638" s="88" t="s">
        <v>1877</v>
      </c>
      <c r="B638" s="88" t="s">
        <v>60</v>
      </c>
      <c r="C638" s="88" t="s">
        <v>1212</v>
      </c>
      <c r="D638" s="88" t="s">
        <v>1514</v>
      </c>
      <c r="E638" s="88" t="s">
        <v>613</v>
      </c>
      <c r="F638" s="90">
        <v>1</v>
      </c>
      <c r="G638" s="90">
        <f>'Stavební rozpočet (SO 13)'!G482</f>
        <v>0</v>
      </c>
      <c r="H638" s="90">
        <f t="shared" si="632"/>
        <v>0</v>
      </c>
      <c r="I638" s="90">
        <f t="shared" si="633"/>
        <v>0</v>
      </c>
      <c r="J638" s="90">
        <f t="shared" si="634"/>
        <v>0</v>
      </c>
      <c r="K638" s="90">
        <v>0</v>
      </c>
      <c r="L638" s="90">
        <f t="shared" si="635"/>
        <v>0</v>
      </c>
      <c r="M638" s="91" t="s">
        <v>622</v>
      </c>
      <c r="O638" s="90"/>
      <c r="P638" s="90"/>
      <c r="Z638" s="90">
        <f t="shared" si="636"/>
        <v>0</v>
      </c>
      <c r="AB638" s="90">
        <f t="shared" si="637"/>
        <v>0</v>
      </c>
      <c r="AC638" s="90">
        <f t="shared" si="638"/>
        <v>0</v>
      </c>
      <c r="AD638" s="90">
        <f t="shared" si="639"/>
        <v>0</v>
      </c>
      <c r="AE638" s="90">
        <f t="shared" si="640"/>
        <v>0</v>
      </c>
      <c r="AF638" s="90">
        <f t="shared" si="641"/>
        <v>0</v>
      </c>
      <c r="AG638" s="90">
        <f t="shared" si="642"/>
        <v>0</v>
      </c>
      <c r="AH638" s="90">
        <f t="shared" si="643"/>
        <v>0</v>
      </c>
      <c r="AI638" s="154" t="s">
        <v>60</v>
      </c>
      <c r="AJ638" s="90">
        <f t="shared" si="644"/>
        <v>0</v>
      </c>
      <c r="AK638" s="90">
        <f t="shared" si="645"/>
        <v>0</v>
      </c>
      <c r="AL638" s="90">
        <f t="shared" si="646"/>
        <v>0</v>
      </c>
      <c r="AN638" s="90">
        <v>21</v>
      </c>
      <c r="AO638" s="90">
        <f t="shared" si="647"/>
        <v>0</v>
      </c>
      <c r="AP638" s="90">
        <f t="shared" si="648"/>
        <v>0</v>
      </c>
      <c r="AQ638" s="91" t="s">
        <v>79</v>
      </c>
      <c r="AV638" s="90">
        <f t="shared" si="649"/>
        <v>0</v>
      </c>
      <c r="AW638" s="90">
        <f t="shared" si="650"/>
        <v>0</v>
      </c>
      <c r="AX638" s="90">
        <f t="shared" si="651"/>
        <v>0</v>
      </c>
      <c r="AY638" s="91" t="s">
        <v>649</v>
      </c>
      <c r="AZ638" s="91" t="s">
        <v>1536</v>
      </c>
      <c r="BA638" s="154" t="s">
        <v>1542</v>
      </c>
      <c r="BC638" s="90">
        <f t="shared" si="652"/>
        <v>0</v>
      </c>
      <c r="BD638" s="90">
        <f t="shared" si="653"/>
        <v>0</v>
      </c>
      <c r="BE638" s="90">
        <v>0</v>
      </c>
      <c r="BF638" s="90">
        <f t="shared" si="654"/>
        <v>0</v>
      </c>
      <c r="BH638" s="90">
        <f t="shared" si="655"/>
        <v>0</v>
      </c>
      <c r="BI638" s="90">
        <f t="shared" si="656"/>
        <v>0</v>
      </c>
      <c r="BJ638" s="90">
        <f t="shared" si="657"/>
        <v>0</v>
      </c>
    </row>
    <row r="639" spans="1:62" ht="12.75">
      <c r="A639" s="88" t="s">
        <v>1878</v>
      </c>
      <c r="B639" s="88" t="s">
        <v>60</v>
      </c>
      <c r="C639" s="88" t="s">
        <v>1213</v>
      </c>
      <c r="D639" s="88" t="s">
        <v>1515</v>
      </c>
      <c r="E639" s="88" t="s">
        <v>613</v>
      </c>
      <c r="F639" s="90">
        <v>1</v>
      </c>
      <c r="G639" s="90">
        <f>'Stavební rozpočet (SO 13)'!G483</f>
        <v>0</v>
      </c>
      <c r="H639" s="90">
        <f t="shared" si="632"/>
        <v>0</v>
      </c>
      <c r="I639" s="90">
        <f t="shared" si="633"/>
        <v>0</v>
      </c>
      <c r="J639" s="90">
        <f t="shared" si="634"/>
        <v>0</v>
      </c>
      <c r="K639" s="90">
        <v>0</v>
      </c>
      <c r="L639" s="90">
        <f t="shared" si="635"/>
        <v>0</v>
      </c>
      <c r="M639" s="91" t="s">
        <v>622</v>
      </c>
      <c r="O639" s="90"/>
      <c r="P639" s="90"/>
      <c r="Z639" s="90">
        <f t="shared" si="636"/>
        <v>0</v>
      </c>
      <c r="AB639" s="90">
        <f t="shared" si="637"/>
        <v>0</v>
      </c>
      <c r="AC639" s="90">
        <f t="shared" si="638"/>
        <v>0</v>
      </c>
      <c r="AD639" s="90">
        <f t="shared" si="639"/>
        <v>0</v>
      </c>
      <c r="AE639" s="90">
        <f t="shared" si="640"/>
        <v>0</v>
      </c>
      <c r="AF639" s="90">
        <f t="shared" si="641"/>
        <v>0</v>
      </c>
      <c r="AG639" s="90">
        <f t="shared" si="642"/>
        <v>0</v>
      </c>
      <c r="AH639" s="90">
        <f t="shared" si="643"/>
        <v>0</v>
      </c>
      <c r="AI639" s="154" t="s">
        <v>60</v>
      </c>
      <c r="AJ639" s="90">
        <f t="shared" si="644"/>
        <v>0</v>
      </c>
      <c r="AK639" s="90">
        <f t="shared" si="645"/>
        <v>0</v>
      </c>
      <c r="AL639" s="90">
        <f t="shared" si="646"/>
        <v>0</v>
      </c>
      <c r="AN639" s="90">
        <v>21</v>
      </c>
      <c r="AO639" s="90">
        <f t="shared" si="647"/>
        <v>0</v>
      </c>
      <c r="AP639" s="90">
        <f t="shared" si="648"/>
        <v>0</v>
      </c>
      <c r="AQ639" s="91" t="s">
        <v>79</v>
      </c>
      <c r="AV639" s="90">
        <f t="shared" si="649"/>
        <v>0</v>
      </c>
      <c r="AW639" s="90">
        <f t="shared" si="650"/>
        <v>0</v>
      </c>
      <c r="AX639" s="90">
        <f t="shared" si="651"/>
        <v>0</v>
      </c>
      <c r="AY639" s="91" t="s">
        <v>649</v>
      </c>
      <c r="AZ639" s="91" t="s">
        <v>1536</v>
      </c>
      <c r="BA639" s="154" t="s">
        <v>1542</v>
      </c>
      <c r="BC639" s="90">
        <f t="shared" si="652"/>
        <v>0</v>
      </c>
      <c r="BD639" s="90">
        <f t="shared" si="653"/>
        <v>0</v>
      </c>
      <c r="BE639" s="90">
        <v>0</v>
      </c>
      <c r="BF639" s="90">
        <f t="shared" si="654"/>
        <v>0</v>
      </c>
      <c r="BH639" s="90">
        <f t="shared" si="655"/>
        <v>0</v>
      </c>
      <c r="BI639" s="90">
        <f t="shared" si="656"/>
        <v>0</v>
      </c>
      <c r="BJ639" s="90">
        <f t="shared" si="657"/>
        <v>0</v>
      </c>
    </row>
    <row r="640" spans="1:62" ht="12.75">
      <c r="A640" s="88" t="s">
        <v>1879</v>
      </c>
      <c r="B640" s="88" t="s">
        <v>60</v>
      </c>
      <c r="C640" s="88" t="s">
        <v>1214</v>
      </c>
      <c r="D640" s="88" t="s">
        <v>1515</v>
      </c>
      <c r="E640" s="88" t="s">
        <v>613</v>
      </c>
      <c r="F640" s="90">
        <v>1</v>
      </c>
      <c r="G640" s="90">
        <f>'Stavební rozpočet (SO 13)'!G484</f>
        <v>0</v>
      </c>
      <c r="H640" s="90">
        <f aca="true" t="shared" si="658" ref="H640:H667">F640*AO640</f>
        <v>0</v>
      </c>
      <c r="I640" s="90">
        <f aca="true" t="shared" si="659" ref="I640:I667">F640*AP640</f>
        <v>0</v>
      </c>
      <c r="J640" s="90">
        <f aca="true" t="shared" si="660" ref="J640:J667">F640*G640</f>
        <v>0</v>
      </c>
      <c r="K640" s="90">
        <v>0</v>
      </c>
      <c r="L640" s="90">
        <f aca="true" t="shared" si="661" ref="L640:L667">F640*K640</f>
        <v>0</v>
      </c>
      <c r="M640" s="91" t="s">
        <v>622</v>
      </c>
      <c r="O640" s="90"/>
      <c r="P640" s="90"/>
      <c r="Z640" s="90">
        <f aca="true" t="shared" si="662" ref="Z640:Z667">IF(AQ640="5",BJ640,0)</f>
        <v>0</v>
      </c>
      <c r="AB640" s="90">
        <f aca="true" t="shared" si="663" ref="AB640:AB667">IF(AQ640="1",BH640,0)</f>
        <v>0</v>
      </c>
      <c r="AC640" s="90">
        <f aca="true" t="shared" si="664" ref="AC640:AC667">IF(AQ640="1",BI640,0)</f>
        <v>0</v>
      </c>
      <c r="AD640" s="90">
        <f aca="true" t="shared" si="665" ref="AD640:AD667">IF(AQ640="7",BH640,0)</f>
        <v>0</v>
      </c>
      <c r="AE640" s="90">
        <f aca="true" t="shared" si="666" ref="AE640:AE667">IF(AQ640="7",BI640,0)</f>
        <v>0</v>
      </c>
      <c r="AF640" s="90">
        <f aca="true" t="shared" si="667" ref="AF640:AF667">IF(AQ640="2",BH640,0)</f>
        <v>0</v>
      </c>
      <c r="AG640" s="90">
        <f aca="true" t="shared" si="668" ref="AG640:AG667">IF(AQ640="2",BI640,0)</f>
        <v>0</v>
      </c>
      <c r="AH640" s="90">
        <f aca="true" t="shared" si="669" ref="AH640:AH667">IF(AQ640="0",BJ640,0)</f>
        <v>0</v>
      </c>
      <c r="AI640" s="154" t="s">
        <v>60</v>
      </c>
      <c r="AJ640" s="90">
        <f aca="true" t="shared" si="670" ref="AJ640:AJ667">IF(AN640=0,J640,0)</f>
        <v>0</v>
      </c>
      <c r="AK640" s="90">
        <f aca="true" t="shared" si="671" ref="AK640:AK667">IF(AN640=15,J640,0)</f>
        <v>0</v>
      </c>
      <c r="AL640" s="90">
        <f aca="true" t="shared" si="672" ref="AL640:AL667">IF(AN640=21,J640,0)</f>
        <v>0</v>
      </c>
      <c r="AN640" s="90">
        <v>21</v>
      </c>
      <c r="AO640" s="90">
        <f aca="true" t="shared" si="673" ref="AO640:AO666">G640*0</f>
        <v>0</v>
      </c>
      <c r="AP640" s="90">
        <f aca="true" t="shared" si="674" ref="AP640:AP666">G640*(1-0)</f>
        <v>0</v>
      </c>
      <c r="AQ640" s="91" t="s">
        <v>79</v>
      </c>
      <c r="AV640" s="90">
        <f aca="true" t="shared" si="675" ref="AV640:AV667">AW640+AX640</f>
        <v>0</v>
      </c>
      <c r="AW640" s="90">
        <f aca="true" t="shared" si="676" ref="AW640:AW667">F640*AO640</f>
        <v>0</v>
      </c>
      <c r="AX640" s="90">
        <f aca="true" t="shared" si="677" ref="AX640:AX667">F640*AP640</f>
        <v>0</v>
      </c>
      <c r="AY640" s="91" t="s">
        <v>649</v>
      </c>
      <c r="AZ640" s="91" t="s">
        <v>1536</v>
      </c>
      <c r="BA640" s="154" t="s">
        <v>1542</v>
      </c>
      <c r="BC640" s="90">
        <f aca="true" t="shared" si="678" ref="BC640:BC667">AW640+AX640</f>
        <v>0</v>
      </c>
      <c r="BD640" s="90">
        <f aca="true" t="shared" si="679" ref="BD640:BD667">G640/(100-BE640)*100</f>
        <v>0</v>
      </c>
      <c r="BE640" s="90">
        <v>0</v>
      </c>
      <c r="BF640" s="90">
        <f aca="true" t="shared" si="680" ref="BF640:BF667">L640</f>
        <v>0</v>
      </c>
      <c r="BH640" s="90">
        <f aca="true" t="shared" si="681" ref="BH640:BH667">F640*AO640</f>
        <v>0</v>
      </c>
      <c r="BI640" s="90">
        <f aca="true" t="shared" si="682" ref="BI640:BI667">F640*AP640</f>
        <v>0</v>
      </c>
      <c r="BJ640" s="90">
        <f aca="true" t="shared" si="683" ref="BJ640:BJ667">F640*G640</f>
        <v>0</v>
      </c>
    </row>
    <row r="641" spans="1:62" ht="12.75">
      <c r="A641" s="88" t="s">
        <v>1880</v>
      </c>
      <c r="B641" s="88" t="s">
        <v>60</v>
      </c>
      <c r="C641" s="88" t="s">
        <v>1215</v>
      </c>
      <c r="D641" s="88" t="s">
        <v>1516</v>
      </c>
      <c r="E641" s="88" t="s">
        <v>613</v>
      </c>
      <c r="F641" s="90">
        <v>1</v>
      </c>
      <c r="G641" s="90">
        <f>'Stavební rozpočet (SO 13)'!G485</f>
        <v>0</v>
      </c>
      <c r="H641" s="90">
        <f t="shared" si="658"/>
        <v>0</v>
      </c>
      <c r="I641" s="90">
        <f t="shared" si="659"/>
        <v>0</v>
      </c>
      <c r="J641" s="90">
        <f t="shared" si="660"/>
        <v>0</v>
      </c>
      <c r="K641" s="90">
        <v>0</v>
      </c>
      <c r="L641" s="90">
        <f t="shared" si="661"/>
        <v>0</v>
      </c>
      <c r="M641" s="91" t="s">
        <v>622</v>
      </c>
      <c r="O641" s="90"/>
      <c r="P641" s="90"/>
      <c r="Z641" s="90">
        <f t="shared" si="662"/>
        <v>0</v>
      </c>
      <c r="AB641" s="90">
        <f t="shared" si="663"/>
        <v>0</v>
      </c>
      <c r="AC641" s="90">
        <f t="shared" si="664"/>
        <v>0</v>
      </c>
      <c r="AD641" s="90">
        <f t="shared" si="665"/>
        <v>0</v>
      </c>
      <c r="AE641" s="90">
        <f t="shared" si="666"/>
        <v>0</v>
      </c>
      <c r="AF641" s="90">
        <f t="shared" si="667"/>
        <v>0</v>
      </c>
      <c r="AG641" s="90">
        <f t="shared" si="668"/>
        <v>0</v>
      </c>
      <c r="AH641" s="90">
        <f t="shared" si="669"/>
        <v>0</v>
      </c>
      <c r="AI641" s="154" t="s">
        <v>60</v>
      </c>
      <c r="AJ641" s="90">
        <f t="shared" si="670"/>
        <v>0</v>
      </c>
      <c r="AK641" s="90">
        <f t="shared" si="671"/>
        <v>0</v>
      </c>
      <c r="AL641" s="90">
        <f t="shared" si="672"/>
        <v>0</v>
      </c>
      <c r="AN641" s="90">
        <v>21</v>
      </c>
      <c r="AO641" s="90">
        <f t="shared" si="673"/>
        <v>0</v>
      </c>
      <c r="AP641" s="90">
        <f t="shared" si="674"/>
        <v>0</v>
      </c>
      <c r="AQ641" s="91" t="s">
        <v>79</v>
      </c>
      <c r="AV641" s="90">
        <f t="shared" si="675"/>
        <v>0</v>
      </c>
      <c r="AW641" s="90">
        <f t="shared" si="676"/>
        <v>0</v>
      </c>
      <c r="AX641" s="90">
        <f t="shared" si="677"/>
        <v>0</v>
      </c>
      <c r="AY641" s="91" t="s">
        <v>649</v>
      </c>
      <c r="AZ641" s="91" t="s">
        <v>1536</v>
      </c>
      <c r="BA641" s="154" t="s">
        <v>1542</v>
      </c>
      <c r="BC641" s="90">
        <f t="shared" si="678"/>
        <v>0</v>
      </c>
      <c r="BD641" s="90">
        <f t="shared" si="679"/>
        <v>0</v>
      </c>
      <c r="BE641" s="90">
        <v>0</v>
      </c>
      <c r="BF641" s="90">
        <f t="shared" si="680"/>
        <v>0</v>
      </c>
      <c r="BH641" s="90">
        <f t="shared" si="681"/>
        <v>0</v>
      </c>
      <c r="BI641" s="90">
        <f t="shared" si="682"/>
        <v>0</v>
      </c>
      <c r="BJ641" s="90">
        <f t="shared" si="683"/>
        <v>0</v>
      </c>
    </row>
    <row r="642" spans="1:62" ht="12.75">
      <c r="A642" s="88" t="s">
        <v>1881</v>
      </c>
      <c r="B642" s="88" t="s">
        <v>60</v>
      </c>
      <c r="C642" s="88" t="s">
        <v>1205</v>
      </c>
      <c r="D642" s="88" t="s">
        <v>1516</v>
      </c>
      <c r="E642" s="88" t="s">
        <v>613</v>
      </c>
      <c r="F642" s="90">
        <v>1</v>
      </c>
      <c r="G642" s="90">
        <f>'Stavební rozpočet (SO 13)'!G486</f>
        <v>0</v>
      </c>
      <c r="H642" s="90">
        <f t="shared" si="658"/>
        <v>0</v>
      </c>
      <c r="I642" s="90">
        <f t="shared" si="659"/>
        <v>0</v>
      </c>
      <c r="J642" s="90">
        <f t="shared" si="660"/>
        <v>0</v>
      </c>
      <c r="K642" s="90">
        <v>0</v>
      </c>
      <c r="L642" s="90">
        <f t="shared" si="661"/>
        <v>0</v>
      </c>
      <c r="M642" s="91" t="s">
        <v>622</v>
      </c>
      <c r="O642" s="90"/>
      <c r="P642" s="90"/>
      <c r="Z642" s="90">
        <f t="shared" si="662"/>
        <v>0</v>
      </c>
      <c r="AB642" s="90">
        <f t="shared" si="663"/>
        <v>0</v>
      </c>
      <c r="AC642" s="90">
        <f t="shared" si="664"/>
        <v>0</v>
      </c>
      <c r="AD642" s="90">
        <f t="shared" si="665"/>
        <v>0</v>
      </c>
      <c r="AE642" s="90">
        <f t="shared" si="666"/>
        <v>0</v>
      </c>
      <c r="AF642" s="90">
        <f t="shared" si="667"/>
        <v>0</v>
      </c>
      <c r="AG642" s="90">
        <f t="shared" si="668"/>
        <v>0</v>
      </c>
      <c r="AH642" s="90">
        <f t="shared" si="669"/>
        <v>0</v>
      </c>
      <c r="AI642" s="154" t="s">
        <v>60</v>
      </c>
      <c r="AJ642" s="90">
        <f t="shared" si="670"/>
        <v>0</v>
      </c>
      <c r="AK642" s="90">
        <f t="shared" si="671"/>
        <v>0</v>
      </c>
      <c r="AL642" s="90">
        <f t="shared" si="672"/>
        <v>0</v>
      </c>
      <c r="AN642" s="90">
        <v>21</v>
      </c>
      <c r="AO642" s="90">
        <f t="shared" si="673"/>
        <v>0</v>
      </c>
      <c r="AP642" s="90">
        <f t="shared" si="674"/>
        <v>0</v>
      </c>
      <c r="AQ642" s="91" t="s">
        <v>79</v>
      </c>
      <c r="AV642" s="90">
        <f t="shared" si="675"/>
        <v>0</v>
      </c>
      <c r="AW642" s="90">
        <f t="shared" si="676"/>
        <v>0</v>
      </c>
      <c r="AX642" s="90">
        <f t="shared" si="677"/>
        <v>0</v>
      </c>
      <c r="AY642" s="91" t="s">
        <v>649</v>
      </c>
      <c r="AZ642" s="91" t="s">
        <v>1536</v>
      </c>
      <c r="BA642" s="154" t="s">
        <v>1542</v>
      </c>
      <c r="BC642" s="90">
        <f t="shared" si="678"/>
        <v>0</v>
      </c>
      <c r="BD642" s="90">
        <f t="shared" si="679"/>
        <v>0</v>
      </c>
      <c r="BE642" s="90">
        <v>0</v>
      </c>
      <c r="BF642" s="90">
        <f t="shared" si="680"/>
        <v>0</v>
      </c>
      <c r="BH642" s="90">
        <f t="shared" si="681"/>
        <v>0</v>
      </c>
      <c r="BI642" s="90">
        <f t="shared" si="682"/>
        <v>0</v>
      </c>
      <c r="BJ642" s="90">
        <f t="shared" si="683"/>
        <v>0</v>
      </c>
    </row>
    <row r="643" spans="1:62" ht="12.75">
      <c r="A643" s="88" t="s">
        <v>1882</v>
      </c>
      <c r="B643" s="88" t="s">
        <v>60</v>
      </c>
      <c r="C643" s="88" t="s">
        <v>1216</v>
      </c>
      <c r="D643" s="88" t="s">
        <v>1517</v>
      </c>
      <c r="E643" s="88" t="s">
        <v>613</v>
      </c>
      <c r="F643" s="90">
        <v>1</v>
      </c>
      <c r="G643" s="90">
        <f>'Stavební rozpočet (SO 13)'!G487</f>
        <v>0</v>
      </c>
      <c r="H643" s="90">
        <f t="shared" si="658"/>
        <v>0</v>
      </c>
      <c r="I643" s="90">
        <f t="shared" si="659"/>
        <v>0</v>
      </c>
      <c r="J643" s="90">
        <f t="shared" si="660"/>
        <v>0</v>
      </c>
      <c r="K643" s="90">
        <v>0</v>
      </c>
      <c r="L643" s="90">
        <f t="shared" si="661"/>
        <v>0</v>
      </c>
      <c r="M643" s="91" t="s">
        <v>622</v>
      </c>
      <c r="O643" s="90"/>
      <c r="P643" s="90"/>
      <c r="Z643" s="90">
        <f t="shared" si="662"/>
        <v>0</v>
      </c>
      <c r="AB643" s="90">
        <f t="shared" si="663"/>
        <v>0</v>
      </c>
      <c r="AC643" s="90">
        <f t="shared" si="664"/>
        <v>0</v>
      </c>
      <c r="AD643" s="90">
        <f t="shared" si="665"/>
        <v>0</v>
      </c>
      <c r="AE643" s="90">
        <f t="shared" si="666"/>
        <v>0</v>
      </c>
      <c r="AF643" s="90">
        <f t="shared" si="667"/>
        <v>0</v>
      </c>
      <c r="AG643" s="90">
        <f t="shared" si="668"/>
        <v>0</v>
      </c>
      <c r="AH643" s="90">
        <f t="shared" si="669"/>
        <v>0</v>
      </c>
      <c r="AI643" s="154" t="s">
        <v>60</v>
      </c>
      <c r="AJ643" s="90">
        <f t="shared" si="670"/>
        <v>0</v>
      </c>
      <c r="AK643" s="90">
        <f t="shared" si="671"/>
        <v>0</v>
      </c>
      <c r="AL643" s="90">
        <f t="shared" si="672"/>
        <v>0</v>
      </c>
      <c r="AN643" s="90">
        <v>21</v>
      </c>
      <c r="AO643" s="90">
        <f t="shared" si="673"/>
        <v>0</v>
      </c>
      <c r="AP643" s="90">
        <f t="shared" si="674"/>
        <v>0</v>
      </c>
      <c r="AQ643" s="91" t="s">
        <v>79</v>
      </c>
      <c r="AV643" s="90">
        <f t="shared" si="675"/>
        <v>0</v>
      </c>
      <c r="AW643" s="90">
        <f t="shared" si="676"/>
        <v>0</v>
      </c>
      <c r="AX643" s="90">
        <f t="shared" si="677"/>
        <v>0</v>
      </c>
      <c r="AY643" s="91" t="s">
        <v>649</v>
      </c>
      <c r="AZ643" s="91" t="s">
        <v>1536</v>
      </c>
      <c r="BA643" s="154" t="s">
        <v>1542</v>
      </c>
      <c r="BC643" s="90">
        <f t="shared" si="678"/>
        <v>0</v>
      </c>
      <c r="BD643" s="90">
        <f t="shared" si="679"/>
        <v>0</v>
      </c>
      <c r="BE643" s="90">
        <v>0</v>
      </c>
      <c r="BF643" s="90">
        <f t="shared" si="680"/>
        <v>0</v>
      </c>
      <c r="BH643" s="90">
        <f t="shared" si="681"/>
        <v>0</v>
      </c>
      <c r="BI643" s="90">
        <f t="shared" si="682"/>
        <v>0</v>
      </c>
      <c r="BJ643" s="90">
        <f t="shared" si="683"/>
        <v>0</v>
      </c>
    </row>
    <row r="644" spans="1:62" ht="12.75">
      <c r="A644" s="88" t="s">
        <v>1883</v>
      </c>
      <c r="B644" s="88" t="s">
        <v>60</v>
      </c>
      <c r="C644" s="88" t="s">
        <v>1217</v>
      </c>
      <c r="D644" s="88" t="s">
        <v>1517</v>
      </c>
      <c r="E644" s="88" t="s">
        <v>613</v>
      </c>
      <c r="F644" s="90">
        <v>1</v>
      </c>
      <c r="G644" s="90">
        <f>'Stavební rozpočet (SO 13)'!G488</f>
        <v>0</v>
      </c>
      <c r="H644" s="90">
        <f t="shared" si="658"/>
        <v>0</v>
      </c>
      <c r="I644" s="90">
        <f t="shared" si="659"/>
        <v>0</v>
      </c>
      <c r="J644" s="90">
        <f t="shared" si="660"/>
        <v>0</v>
      </c>
      <c r="K644" s="90">
        <v>0</v>
      </c>
      <c r="L644" s="90">
        <f t="shared" si="661"/>
        <v>0</v>
      </c>
      <c r="M644" s="91" t="s">
        <v>622</v>
      </c>
      <c r="O644" s="90"/>
      <c r="P644" s="90"/>
      <c r="Z644" s="90">
        <f t="shared" si="662"/>
        <v>0</v>
      </c>
      <c r="AB644" s="90">
        <f t="shared" si="663"/>
        <v>0</v>
      </c>
      <c r="AC644" s="90">
        <f t="shared" si="664"/>
        <v>0</v>
      </c>
      <c r="AD644" s="90">
        <f t="shared" si="665"/>
        <v>0</v>
      </c>
      <c r="AE644" s="90">
        <f t="shared" si="666"/>
        <v>0</v>
      </c>
      <c r="AF644" s="90">
        <f t="shared" si="667"/>
        <v>0</v>
      </c>
      <c r="AG644" s="90">
        <f t="shared" si="668"/>
        <v>0</v>
      </c>
      <c r="AH644" s="90">
        <f t="shared" si="669"/>
        <v>0</v>
      </c>
      <c r="AI644" s="154" t="s">
        <v>60</v>
      </c>
      <c r="AJ644" s="90">
        <f t="shared" si="670"/>
        <v>0</v>
      </c>
      <c r="AK644" s="90">
        <f t="shared" si="671"/>
        <v>0</v>
      </c>
      <c r="AL644" s="90">
        <f t="shared" si="672"/>
        <v>0</v>
      </c>
      <c r="AN644" s="90">
        <v>21</v>
      </c>
      <c r="AO644" s="90">
        <f t="shared" si="673"/>
        <v>0</v>
      </c>
      <c r="AP644" s="90">
        <f t="shared" si="674"/>
        <v>0</v>
      </c>
      <c r="AQ644" s="91" t="s">
        <v>79</v>
      </c>
      <c r="AV644" s="90">
        <f t="shared" si="675"/>
        <v>0</v>
      </c>
      <c r="AW644" s="90">
        <f t="shared" si="676"/>
        <v>0</v>
      </c>
      <c r="AX644" s="90">
        <f t="shared" si="677"/>
        <v>0</v>
      </c>
      <c r="AY644" s="91" t="s">
        <v>649</v>
      </c>
      <c r="AZ644" s="91" t="s">
        <v>1536</v>
      </c>
      <c r="BA644" s="154" t="s">
        <v>1542</v>
      </c>
      <c r="BC644" s="90">
        <f t="shared" si="678"/>
        <v>0</v>
      </c>
      <c r="BD644" s="90">
        <f t="shared" si="679"/>
        <v>0</v>
      </c>
      <c r="BE644" s="90">
        <v>0</v>
      </c>
      <c r="BF644" s="90">
        <f t="shared" si="680"/>
        <v>0</v>
      </c>
      <c r="BH644" s="90">
        <f t="shared" si="681"/>
        <v>0</v>
      </c>
      <c r="BI644" s="90">
        <f t="shared" si="682"/>
        <v>0</v>
      </c>
      <c r="BJ644" s="90">
        <f t="shared" si="683"/>
        <v>0</v>
      </c>
    </row>
    <row r="645" spans="1:62" ht="12.75">
      <c r="A645" s="88" t="s">
        <v>1884</v>
      </c>
      <c r="B645" s="88" t="s">
        <v>60</v>
      </c>
      <c r="C645" s="88" t="s">
        <v>403</v>
      </c>
      <c r="D645" s="88" t="s">
        <v>589</v>
      </c>
      <c r="E645" s="88" t="s">
        <v>606</v>
      </c>
      <c r="F645" s="90">
        <v>1</v>
      </c>
      <c r="G645" s="90">
        <f>'Stavební rozpočet (SO 13)'!G489</f>
        <v>0</v>
      </c>
      <c r="H645" s="90">
        <f t="shared" si="658"/>
        <v>0</v>
      </c>
      <c r="I645" s="90">
        <f t="shared" si="659"/>
        <v>0</v>
      </c>
      <c r="J645" s="90">
        <f t="shared" si="660"/>
        <v>0</v>
      </c>
      <c r="K645" s="90">
        <v>0</v>
      </c>
      <c r="L645" s="90">
        <f t="shared" si="661"/>
        <v>0</v>
      </c>
      <c r="M645" s="91" t="s">
        <v>622</v>
      </c>
      <c r="O645" s="90"/>
      <c r="P645" s="90"/>
      <c r="Z645" s="90">
        <f t="shared" si="662"/>
        <v>0</v>
      </c>
      <c r="AB645" s="90">
        <f t="shared" si="663"/>
        <v>0</v>
      </c>
      <c r="AC645" s="90">
        <f t="shared" si="664"/>
        <v>0</v>
      </c>
      <c r="AD645" s="90">
        <f t="shared" si="665"/>
        <v>0</v>
      </c>
      <c r="AE645" s="90">
        <f t="shared" si="666"/>
        <v>0</v>
      </c>
      <c r="AF645" s="90">
        <f t="shared" si="667"/>
        <v>0</v>
      </c>
      <c r="AG645" s="90">
        <f t="shared" si="668"/>
        <v>0</v>
      </c>
      <c r="AH645" s="90">
        <f t="shared" si="669"/>
        <v>0</v>
      </c>
      <c r="AI645" s="154" t="s">
        <v>60</v>
      </c>
      <c r="AJ645" s="90">
        <f t="shared" si="670"/>
        <v>0</v>
      </c>
      <c r="AK645" s="90">
        <f t="shared" si="671"/>
        <v>0</v>
      </c>
      <c r="AL645" s="90">
        <f t="shared" si="672"/>
        <v>0</v>
      </c>
      <c r="AN645" s="90">
        <v>21</v>
      </c>
      <c r="AO645" s="90">
        <f t="shared" si="673"/>
        <v>0</v>
      </c>
      <c r="AP645" s="90">
        <f t="shared" si="674"/>
        <v>0</v>
      </c>
      <c r="AQ645" s="91" t="s">
        <v>79</v>
      </c>
      <c r="AV645" s="90">
        <f t="shared" si="675"/>
        <v>0</v>
      </c>
      <c r="AW645" s="90">
        <f t="shared" si="676"/>
        <v>0</v>
      </c>
      <c r="AX645" s="90">
        <f t="shared" si="677"/>
        <v>0</v>
      </c>
      <c r="AY645" s="91" t="s">
        <v>649</v>
      </c>
      <c r="AZ645" s="91" t="s">
        <v>1536</v>
      </c>
      <c r="BA645" s="154" t="s">
        <v>1542</v>
      </c>
      <c r="BC645" s="90">
        <f t="shared" si="678"/>
        <v>0</v>
      </c>
      <c r="BD645" s="90">
        <f t="shared" si="679"/>
        <v>0</v>
      </c>
      <c r="BE645" s="90">
        <v>0</v>
      </c>
      <c r="BF645" s="90">
        <f t="shared" si="680"/>
        <v>0</v>
      </c>
      <c r="BH645" s="90">
        <f t="shared" si="681"/>
        <v>0</v>
      </c>
      <c r="BI645" s="90">
        <f t="shared" si="682"/>
        <v>0</v>
      </c>
      <c r="BJ645" s="90">
        <f t="shared" si="683"/>
        <v>0</v>
      </c>
    </row>
    <row r="646" spans="1:62" ht="12.75">
      <c r="A646" s="88" t="s">
        <v>1885</v>
      </c>
      <c r="B646" s="88" t="s">
        <v>60</v>
      </c>
      <c r="C646" s="88" t="s">
        <v>404</v>
      </c>
      <c r="D646" s="88" t="s">
        <v>590</v>
      </c>
      <c r="E646" s="88" t="s">
        <v>606</v>
      </c>
      <c r="F646" s="90">
        <v>31</v>
      </c>
      <c r="G646" s="90">
        <f>'Stavební rozpočet (SO 13)'!G490</f>
        <v>0</v>
      </c>
      <c r="H646" s="90">
        <f t="shared" si="658"/>
        <v>0</v>
      </c>
      <c r="I646" s="90">
        <f t="shared" si="659"/>
        <v>0</v>
      </c>
      <c r="J646" s="90">
        <f t="shared" si="660"/>
        <v>0</v>
      </c>
      <c r="K646" s="90">
        <v>0</v>
      </c>
      <c r="L646" s="90">
        <f t="shared" si="661"/>
        <v>0</v>
      </c>
      <c r="M646" s="91" t="s">
        <v>622</v>
      </c>
      <c r="O646" s="90"/>
      <c r="P646" s="90"/>
      <c r="Z646" s="90">
        <f t="shared" si="662"/>
        <v>0</v>
      </c>
      <c r="AB646" s="90">
        <f t="shared" si="663"/>
        <v>0</v>
      </c>
      <c r="AC646" s="90">
        <f t="shared" si="664"/>
        <v>0</v>
      </c>
      <c r="AD646" s="90">
        <f t="shared" si="665"/>
        <v>0</v>
      </c>
      <c r="AE646" s="90">
        <f t="shared" si="666"/>
        <v>0</v>
      </c>
      <c r="AF646" s="90">
        <f t="shared" si="667"/>
        <v>0</v>
      </c>
      <c r="AG646" s="90">
        <f t="shared" si="668"/>
        <v>0</v>
      </c>
      <c r="AH646" s="90">
        <f t="shared" si="669"/>
        <v>0</v>
      </c>
      <c r="AI646" s="154" t="s">
        <v>60</v>
      </c>
      <c r="AJ646" s="90">
        <f t="shared" si="670"/>
        <v>0</v>
      </c>
      <c r="AK646" s="90">
        <f t="shared" si="671"/>
        <v>0</v>
      </c>
      <c r="AL646" s="90">
        <f t="shared" si="672"/>
        <v>0</v>
      </c>
      <c r="AN646" s="90">
        <v>21</v>
      </c>
      <c r="AO646" s="90">
        <f t="shared" si="673"/>
        <v>0</v>
      </c>
      <c r="AP646" s="90">
        <f t="shared" si="674"/>
        <v>0</v>
      </c>
      <c r="AQ646" s="91" t="s">
        <v>79</v>
      </c>
      <c r="AV646" s="90">
        <f t="shared" si="675"/>
        <v>0</v>
      </c>
      <c r="AW646" s="90">
        <f t="shared" si="676"/>
        <v>0</v>
      </c>
      <c r="AX646" s="90">
        <f t="shared" si="677"/>
        <v>0</v>
      </c>
      <c r="AY646" s="91" t="s">
        <v>649</v>
      </c>
      <c r="AZ646" s="91" t="s">
        <v>1536</v>
      </c>
      <c r="BA646" s="154" t="s">
        <v>1542</v>
      </c>
      <c r="BC646" s="90">
        <f t="shared" si="678"/>
        <v>0</v>
      </c>
      <c r="BD646" s="90">
        <f t="shared" si="679"/>
        <v>0</v>
      </c>
      <c r="BE646" s="90">
        <v>0</v>
      </c>
      <c r="BF646" s="90">
        <f t="shared" si="680"/>
        <v>0</v>
      </c>
      <c r="BH646" s="90">
        <f t="shared" si="681"/>
        <v>0</v>
      </c>
      <c r="BI646" s="90">
        <f t="shared" si="682"/>
        <v>0</v>
      </c>
      <c r="BJ646" s="90">
        <f t="shared" si="683"/>
        <v>0</v>
      </c>
    </row>
    <row r="647" spans="1:62" ht="12.75">
      <c r="A647" s="88" t="s">
        <v>1886</v>
      </c>
      <c r="B647" s="88" t="s">
        <v>60</v>
      </c>
      <c r="C647" s="88" t="s">
        <v>1218</v>
      </c>
      <c r="D647" s="88" t="s">
        <v>1518</v>
      </c>
      <c r="E647" s="88" t="s">
        <v>606</v>
      </c>
      <c r="F647" s="90">
        <v>10</v>
      </c>
      <c r="G647" s="90">
        <f>'Stavební rozpočet (SO 13)'!G491</f>
        <v>0</v>
      </c>
      <c r="H647" s="90">
        <f t="shared" si="658"/>
        <v>0</v>
      </c>
      <c r="I647" s="90">
        <f t="shared" si="659"/>
        <v>0</v>
      </c>
      <c r="J647" s="90">
        <f t="shared" si="660"/>
        <v>0</v>
      </c>
      <c r="K647" s="90">
        <v>0</v>
      </c>
      <c r="L647" s="90">
        <f t="shared" si="661"/>
        <v>0</v>
      </c>
      <c r="M647" s="91" t="s">
        <v>622</v>
      </c>
      <c r="O647" s="90"/>
      <c r="P647" s="90"/>
      <c r="Z647" s="90">
        <f t="shared" si="662"/>
        <v>0</v>
      </c>
      <c r="AB647" s="90">
        <f t="shared" si="663"/>
        <v>0</v>
      </c>
      <c r="AC647" s="90">
        <f t="shared" si="664"/>
        <v>0</v>
      </c>
      <c r="AD647" s="90">
        <f t="shared" si="665"/>
        <v>0</v>
      </c>
      <c r="AE647" s="90">
        <f t="shared" si="666"/>
        <v>0</v>
      </c>
      <c r="AF647" s="90">
        <f t="shared" si="667"/>
        <v>0</v>
      </c>
      <c r="AG647" s="90">
        <f t="shared" si="668"/>
        <v>0</v>
      </c>
      <c r="AH647" s="90">
        <f t="shared" si="669"/>
        <v>0</v>
      </c>
      <c r="AI647" s="154" t="s">
        <v>60</v>
      </c>
      <c r="AJ647" s="90">
        <f t="shared" si="670"/>
        <v>0</v>
      </c>
      <c r="AK647" s="90">
        <f t="shared" si="671"/>
        <v>0</v>
      </c>
      <c r="AL647" s="90">
        <f t="shared" si="672"/>
        <v>0</v>
      </c>
      <c r="AN647" s="90">
        <v>21</v>
      </c>
      <c r="AO647" s="90">
        <f t="shared" si="673"/>
        <v>0</v>
      </c>
      <c r="AP647" s="90">
        <f t="shared" si="674"/>
        <v>0</v>
      </c>
      <c r="AQ647" s="91" t="s">
        <v>79</v>
      </c>
      <c r="AV647" s="90">
        <f t="shared" si="675"/>
        <v>0</v>
      </c>
      <c r="AW647" s="90">
        <f t="shared" si="676"/>
        <v>0</v>
      </c>
      <c r="AX647" s="90">
        <f t="shared" si="677"/>
        <v>0</v>
      </c>
      <c r="AY647" s="91" t="s">
        <v>649</v>
      </c>
      <c r="AZ647" s="91" t="s">
        <v>1536</v>
      </c>
      <c r="BA647" s="154" t="s">
        <v>1542</v>
      </c>
      <c r="BC647" s="90">
        <f t="shared" si="678"/>
        <v>0</v>
      </c>
      <c r="BD647" s="90">
        <f t="shared" si="679"/>
        <v>0</v>
      </c>
      <c r="BE647" s="90">
        <v>0</v>
      </c>
      <c r="BF647" s="90">
        <f t="shared" si="680"/>
        <v>0</v>
      </c>
      <c r="BH647" s="90">
        <f t="shared" si="681"/>
        <v>0</v>
      </c>
      <c r="BI647" s="90">
        <f t="shared" si="682"/>
        <v>0</v>
      </c>
      <c r="BJ647" s="90">
        <f t="shared" si="683"/>
        <v>0</v>
      </c>
    </row>
    <row r="648" spans="1:62" ht="12.75">
      <c r="A648" s="88" t="s">
        <v>1887</v>
      </c>
      <c r="B648" s="88" t="s">
        <v>60</v>
      </c>
      <c r="C648" s="88" t="s">
        <v>1219</v>
      </c>
      <c r="D648" s="88" t="s">
        <v>1519</v>
      </c>
      <c r="E648" s="88" t="s">
        <v>606</v>
      </c>
      <c r="F648" s="90">
        <v>2</v>
      </c>
      <c r="G648" s="90">
        <f>'Stavební rozpočet (SO 13)'!G492</f>
        <v>0</v>
      </c>
      <c r="H648" s="90">
        <f t="shared" si="658"/>
        <v>0</v>
      </c>
      <c r="I648" s="90">
        <f t="shared" si="659"/>
        <v>0</v>
      </c>
      <c r="J648" s="90">
        <f t="shared" si="660"/>
        <v>0</v>
      </c>
      <c r="K648" s="90">
        <v>0</v>
      </c>
      <c r="L648" s="90">
        <f t="shared" si="661"/>
        <v>0</v>
      </c>
      <c r="M648" s="91" t="s">
        <v>622</v>
      </c>
      <c r="O648" s="90"/>
      <c r="P648" s="90"/>
      <c r="Z648" s="90">
        <f t="shared" si="662"/>
        <v>0</v>
      </c>
      <c r="AB648" s="90">
        <f t="shared" si="663"/>
        <v>0</v>
      </c>
      <c r="AC648" s="90">
        <f t="shared" si="664"/>
        <v>0</v>
      </c>
      <c r="AD648" s="90">
        <f t="shared" si="665"/>
        <v>0</v>
      </c>
      <c r="AE648" s="90">
        <f t="shared" si="666"/>
        <v>0</v>
      </c>
      <c r="AF648" s="90">
        <f t="shared" si="667"/>
        <v>0</v>
      </c>
      <c r="AG648" s="90">
        <f t="shared" si="668"/>
        <v>0</v>
      </c>
      <c r="AH648" s="90">
        <f t="shared" si="669"/>
        <v>0</v>
      </c>
      <c r="AI648" s="154" t="s">
        <v>60</v>
      </c>
      <c r="AJ648" s="90">
        <f t="shared" si="670"/>
        <v>0</v>
      </c>
      <c r="AK648" s="90">
        <f t="shared" si="671"/>
        <v>0</v>
      </c>
      <c r="AL648" s="90">
        <f t="shared" si="672"/>
        <v>0</v>
      </c>
      <c r="AN648" s="90">
        <v>21</v>
      </c>
      <c r="AO648" s="90">
        <f t="shared" si="673"/>
        <v>0</v>
      </c>
      <c r="AP648" s="90">
        <f t="shared" si="674"/>
        <v>0</v>
      </c>
      <c r="AQ648" s="91" t="s">
        <v>79</v>
      </c>
      <c r="AV648" s="90">
        <f t="shared" si="675"/>
        <v>0</v>
      </c>
      <c r="AW648" s="90">
        <f t="shared" si="676"/>
        <v>0</v>
      </c>
      <c r="AX648" s="90">
        <f t="shared" si="677"/>
        <v>0</v>
      </c>
      <c r="AY648" s="91" t="s">
        <v>649</v>
      </c>
      <c r="AZ648" s="91" t="s">
        <v>1536</v>
      </c>
      <c r="BA648" s="154" t="s">
        <v>1542</v>
      </c>
      <c r="BC648" s="90">
        <f t="shared" si="678"/>
        <v>0</v>
      </c>
      <c r="BD648" s="90">
        <f t="shared" si="679"/>
        <v>0</v>
      </c>
      <c r="BE648" s="90">
        <v>0</v>
      </c>
      <c r="BF648" s="90">
        <f t="shared" si="680"/>
        <v>0</v>
      </c>
      <c r="BH648" s="90">
        <f t="shared" si="681"/>
        <v>0</v>
      </c>
      <c r="BI648" s="90">
        <f t="shared" si="682"/>
        <v>0</v>
      </c>
      <c r="BJ648" s="90">
        <f t="shared" si="683"/>
        <v>0</v>
      </c>
    </row>
    <row r="649" spans="1:62" ht="12.75">
      <c r="A649" s="88" t="s">
        <v>1888</v>
      </c>
      <c r="B649" s="88" t="s">
        <v>60</v>
      </c>
      <c r="C649" s="88" t="s">
        <v>1220</v>
      </c>
      <c r="D649" s="88" t="s">
        <v>1520</v>
      </c>
      <c r="E649" s="88" t="s">
        <v>606</v>
      </c>
      <c r="F649" s="90">
        <v>0</v>
      </c>
      <c r="G649" s="90">
        <f>'Stavební rozpočet (SO 13)'!G493</f>
        <v>0</v>
      </c>
      <c r="H649" s="90">
        <f t="shared" si="658"/>
        <v>0</v>
      </c>
      <c r="I649" s="90">
        <f t="shared" si="659"/>
        <v>0</v>
      </c>
      <c r="J649" s="90">
        <f t="shared" si="660"/>
        <v>0</v>
      </c>
      <c r="K649" s="90">
        <v>0</v>
      </c>
      <c r="L649" s="90">
        <f t="shared" si="661"/>
        <v>0</v>
      </c>
      <c r="M649" s="91" t="s">
        <v>622</v>
      </c>
      <c r="O649" s="90"/>
      <c r="P649" s="90"/>
      <c r="Z649" s="90">
        <f t="shared" si="662"/>
        <v>0</v>
      </c>
      <c r="AB649" s="90">
        <f t="shared" si="663"/>
        <v>0</v>
      </c>
      <c r="AC649" s="90">
        <f t="shared" si="664"/>
        <v>0</v>
      </c>
      <c r="AD649" s="90">
        <f t="shared" si="665"/>
        <v>0</v>
      </c>
      <c r="AE649" s="90">
        <f t="shared" si="666"/>
        <v>0</v>
      </c>
      <c r="AF649" s="90">
        <f t="shared" si="667"/>
        <v>0</v>
      </c>
      <c r="AG649" s="90">
        <f t="shared" si="668"/>
        <v>0</v>
      </c>
      <c r="AH649" s="90">
        <f t="shared" si="669"/>
        <v>0</v>
      </c>
      <c r="AI649" s="154" t="s">
        <v>60</v>
      </c>
      <c r="AJ649" s="90">
        <f t="shared" si="670"/>
        <v>0</v>
      </c>
      <c r="AK649" s="90">
        <f t="shared" si="671"/>
        <v>0</v>
      </c>
      <c r="AL649" s="90">
        <f t="shared" si="672"/>
        <v>0</v>
      </c>
      <c r="AN649" s="90">
        <v>21</v>
      </c>
      <c r="AO649" s="90">
        <f t="shared" si="673"/>
        <v>0</v>
      </c>
      <c r="AP649" s="90">
        <f t="shared" si="674"/>
        <v>0</v>
      </c>
      <c r="AQ649" s="91" t="s">
        <v>79</v>
      </c>
      <c r="AV649" s="90">
        <f t="shared" si="675"/>
        <v>0</v>
      </c>
      <c r="AW649" s="90">
        <f t="shared" si="676"/>
        <v>0</v>
      </c>
      <c r="AX649" s="90">
        <f t="shared" si="677"/>
        <v>0</v>
      </c>
      <c r="AY649" s="91" t="s">
        <v>649</v>
      </c>
      <c r="AZ649" s="91" t="s">
        <v>1536</v>
      </c>
      <c r="BA649" s="154" t="s">
        <v>1542</v>
      </c>
      <c r="BC649" s="90">
        <f t="shared" si="678"/>
        <v>0</v>
      </c>
      <c r="BD649" s="90">
        <f t="shared" si="679"/>
        <v>0</v>
      </c>
      <c r="BE649" s="90">
        <v>0</v>
      </c>
      <c r="BF649" s="90">
        <f t="shared" si="680"/>
        <v>0</v>
      </c>
      <c r="BH649" s="90">
        <f t="shared" si="681"/>
        <v>0</v>
      </c>
      <c r="BI649" s="90">
        <f t="shared" si="682"/>
        <v>0</v>
      </c>
      <c r="BJ649" s="90">
        <f t="shared" si="683"/>
        <v>0</v>
      </c>
    </row>
    <row r="650" spans="1:62" ht="12.75">
      <c r="A650" s="88" t="s">
        <v>1889</v>
      </c>
      <c r="B650" s="88" t="s">
        <v>60</v>
      </c>
      <c r="C650" s="88" t="s">
        <v>405</v>
      </c>
      <c r="D650" s="88" t="s">
        <v>591</v>
      </c>
      <c r="E650" s="88" t="s">
        <v>606</v>
      </c>
      <c r="F650" s="90">
        <v>0</v>
      </c>
      <c r="G650" s="90">
        <f>'Stavební rozpočet (SO 13)'!G494</f>
        <v>0</v>
      </c>
      <c r="H650" s="90">
        <f t="shared" si="658"/>
        <v>0</v>
      </c>
      <c r="I650" s="90">
        <f t="shared" si="659"/>
        <v>0</v>
      </c>
      <c r="J650" s="90">
        <f t="shared" si="660"/>
        <v>0</v>
      </c>
      <c r="K650" s="90">
        <v>0</v>
      </c>
      <c r="L650" s="90">
        <f t="shared" si="661"/>
        <v>0</v>
      </c>
      <c r="M650" s="91" t="s">
        <v>622</v>
      </c>
      <c r="O650" s="90"/>
      <c r="P650" s="90"/>
      <c r="Z650" s="90">
        <f t="shared" si="662"/>
        <v>0</v>
      </c>
      <c r="AB650" s="90">
        <f t="shared" si="663"/>
        <v>0</v>
      </c>
      <c r="AC650" s="90">
        <f t="shared" si="664"/>
        <v>0</v>
      </c>
      <c r="AD650" s="90">
        <f t="shared" si="665"/>
        <v>0</v>
      </c>
      <c r="AE650" s="90">
        <f t="shared" si="666"/>
        <v>0</v>
      </c>
      <c r="AF650" s="90">
        <f t="shared" si="667"/>
        <v>0</v>
      </c>
      <c r="AG650" s="90">
        <f t="shared" si="668"/>
        <v>0</v>
      </c>
      <c r="AH650" s="90">
        <f t="shared" si="669"/>
        <v>0</v>
      </c>
      <c r="AI650" s="154" t="s">
        <v>60</v>
      </c>
      <c r="AJ650" s="90">
        <f t="shared" si="670"/>
        <v>0</v>
      </c>
      <c r="AK650" s="90">
        <f t="shared" si="671"/>
        <v>0</v>
      </c>
      <c r="AL650" s="90">
        <f t="shared" si="672"/>
        <v>0</v>
      </c>
      <c r="AN650" s="90">
        <v>21</v>
      </c>
      <c r="AO650" s="90">
        <f t="shared" si="673"/>
        <v>0</v>
      </c>
      <c r="AP650" s="90">
        <f t="shared" si="674"/>
        <v>0</v>
      </c>
      <c r="AQ650" s="91" t="s">
        <v>79</v>
      </c>
      <c r="AV650" s="90">
        <f t="shared" si="675"/>
        <v>0</v>
      </c>
      <c r="AW650" s="90">
        <f t="shared" si="676"/>
        <v>0</v>
      </c>
      <c r="AX650" s="90">
        <f t="shared" si="677"/>
        <v>0</v>
      </c>
      <c r="AY650" s="91" t="s">
        <v>649</v>
      </c>
      <c r="AZ650" s="91" t="s">
        <v>1536</v>
      </c>
      <c r="BA650" s="154" t="s">
        <v>1542</v>
      </c>
      <c r="BC650" s="90">
        <f t="shared" si="678"/>
        <v>0</v>
      </c>
      <c r="BD650" s="90">
        <f t="shared" si="679"/>
        <v>0</v>
      </c>
      <c r="BE650" s="90">
        <v>0</v>
      </c>
      <c r="BF650" s="90">
        <f t="shared" si="680"/>
        <v>0</v>
      </c>
      <c r="BH650" s="90">
        <f t="shared" si="681"/>
        <v>0</v>
      </c>
      <c r="BI650" s="90">
        <f t="shared" si="682"/>
        <v>0</v>
      </c>
      <c r="BJ650" s="90">
        <f t="shared" si="683"/>
        <v>0</v>
      </c>
    </row>
    <row r="651" spans="1:62" ht="12.75">
      <c r="A651" s="88" t="s">
        <v>1890</v>
      </c>
      <c r="B651" s="88" t="s">
        <v>60</v>
      </c>
      <c r="C651" s="88" t="s">
        <v>406</v>
      </c>
      <c r="D651" s="88" t="s">
        <v>592</v>
      </c>
      <c r="E651" s="88" t="s">
        <v>606</v>
      </c>
      <c r="F651" s="90">
        <v>0</v>
      </c>
      <c r="G651" s="90">
        <f>'Stavební rozpočet (SO 13)'!G495</f>
        <v>0</v>
      </c>
      <c r="H651" s="90">
        <f t="shared" si="658"/>
        <v>0</v>
      </c>
      <c r="I651" s="90">
        <f t="shared" si="659"/>
        <v>0</v>
      </c>
      <c r="J651" s="90">
        <f t="shared" si="660"/>
        <v>0</v>
      </c>
      <c r="K651" s="90">
        <v>0</v>
      </c>
      <c r="L651" s="90">
        <f t="shared" si="661"/>
        <v>0</v>
      </c>
      <c r="M651" s="91" t="s">
        <v>622</v>
      </c>
      <c r="O651" s="90"/>
      <c r="P651" s="90"/>
      <c r="Z651" s="90">
        <f t="shared" si="662"/>
        <v>0</v>
      </c>
      <c r="AB651" s="90">
        <f t="shared" si="663"/>
        <v>0</v>
      </c>
      <c r="AC651" s="90">
        <f t="shared" si="664"/>
        <v>0</v>
      </c>
      <c r="AD651" s="90">
        <f t="shared" si="665"/>
        <v>0</v>
      </c>
      <c r="AE651" s="90">
        <f t="shared" si="666"/>
        <v>0</v>
      </c>
      <c r="AF651" s="90">
        <f t="shared" si="667"/>
        <v>0</v>
      </c>
      <c r="AG651" s="90">
        <f t="shared" si="668"/>
        <v>0</v>
      </c>
      <c r="AH651" s="90">
        <f t="shared" si="669"/>
        <v>0</v>
      </c>
      <c r="AI651" s="154" t="s">
        <v>60</v>
      </c>
      <c r="AJ651" s="90">
        <f t="shared" si="670"/>
        <v>0</v>
      </c>
      <c r="AK651" s="90">
        <f t="shared" si="671"/>
        <v>0</v>
      </c>
      <c r="AL651" s="90">
        <f t="shared" si="672"/>
        <v>0</v>
      </c>
      <c r="AN651" s="90">
        <v>21</v>
      </c>
      <c r="AO651" s="90">
        <f t="shared" si="673"/>
        <v>0</v>
      </c>
      <c r="AP651" s="90">
        <f t="shared" si="674"/>
        <v>0</v>
      </c>
      <c r="AQ651" s="91" t="s">
        <v>79</v>
      </c>
      <c r="AV651" s="90">
        <f t="shared" si="675"/>
        <v>0</v>
      </c>
      <c r="AW651" s="90">
        <f t="shared" si="676"/>
        <v>0</v>
      </c>
      <c r="AX651" s="90">
        <f t="shared" si="677"/>
        <v>0</v>
      </c>
      <c r="AY651" s="91" t="s">
        <v>649</v>
      </c>
      <c r="AZ651" s="91" t="s">
        <v>1536</v>
      </c>
      <c r="BA651" s="154" t="s">
        <v>1542</v>
      </c>
      <c r="BC651" s="90">
        <f t="shared" si="678"/>
        <v>0</v>
      </c>
      <c r="BD651" s="90">
        <f t="shared" si="679"/>
        <v>0</v>
      </c>
      <c r="BE651" s="90">
        <v>0</v>
      </c>
      <c r="BF651" s="90">
        <f t="shared" si="680"/>
        <v>0</v>
      </c>
      <c r="BH651" s="90">
        <f t="shared" si="681"/>
        <v>0</v>
      </c>
      <c r="BI651" s="90">
        <f t="shared" si="682"/>
        <v>0</v>
      </c>
      <c r="BJ651" s="90">
        <f t="shared" si="683"/>
        <v>0</v>
      </c>
    </row>
    <row r="652" spans="1:62" ht="12.75">
      <c r="A652" s="88" t="s">
        <v>1891</v>
      </c>
      <c r="B652" s="88" t="s">
        <v>60</v>
      </c>
      <c r="C652" s="88" t="s">
        <v>407</v>
      </c>
      <c r="D652" s="88" t="s">
        <v>593</v>
      </c>
      <c r="E652" s="88" t="s">
        <v>606</v>
      </c>
      <c r="F652" s="90">
        <v>3</v>
      </c>
      <c r="G652" s="90">
        <f>'Stavební rozpočet (SO 13)'!G496</f>
        <v>0</v>
      </c>
      <c r="H652" s="90">
        <f t="shared" si="658"/>
        <v>0</v>
      </c>
      <c r="I652" s="90">
        <f t="shared" si="659"/>
        <v>0</v>
      </c>
      <c r="J652" s="90">
        <f t="shared" si="660"/>
        <v>0</v>
      </c>
      <c r="K652" s="90">
        <v>0</v>
      </c>
      <c r="L652" s="90">
        <f t="shared" si="661"/>
        <v>0</v>
      </c>
      <c r="M652" s="91" t="s">
        <v>622</v>
      </c>
      <c r="O652" s="90"/>
      <c r="P652" s="90"/>
      <c r="Z652" s="90">
        <f t="shared" si="662"/>
        <v>0</v>
      </c>
      <c r="AB652" s="90">
        <f t="shared" si="663"/>
        <v>0</v>
      </c>
      <c r="AC652" s="90">
        <f t="shared" si="664"/>
        <v>0</v>
      </c>
      <c r="AD652" s="90">
        <f t="shared" si="665"/>
        <v>0</v>
      </c>
      <c r="AE652" s="90">
        <f t="shared" si="666"/>
        <v>0</v>
      </c>
      <c r="AF652" s="90">
        <f t="shared" si="667"/>
        <v>0</v>
      </c>
      <c r="AG652" s="90">
        <f t="shared" si="668"/>
        <v>0</v>
      </c>
      <c r="AH652" s="90">
        <f t="shared" si="669"/>
        <v>0</v>
      </c>
      <c r="AI652" s="154" t="s">
        <v>60</v>
      </c>
      <c r="AJ652" s="90">
        <f t="shared" si="670"/>
        <v>0</v>
      </c>
      <c r="AK652" s="90">
        <f t="shared" si="671"/>
        <v>0</v>
      </c>
      <c r="AL652" s="90">
        <f t="shared" si="672"/>
        <v>0</v>
      </c>
      <c r="AN652" s="90">
        <v>21</v>
      </c>
      <c r="AO652" s="90">
        <f t="shared" si="673"/>
        <v>0</v>
      </c>
      <c r="AP652" s="90">
        <f t="shared" si="674"/>
        <v>0</v>
      </c>
      <c r="AQ652" s="91" t="s">
        <v>79</v>
      </c>
      <c r="AV652" s="90">
        <f t="shared" si="675"/>
        <v>0</v>
      </c>
      <c r="AW652" s="90">
        <f t="shared" si="676"/>
        <v>0</v>
      </c>
      <c r="AX652" s="90">
        <f t="shared" si="677"/>
        <v>0</v>
      </c>
      <c r="AY652" s="91" t="s">
        <v>649</v>
      </c>
      <c r="AZ652" s="91" t="s">
        <v>1536</v>
      </c>
      <c r="BA652" s="154" t="s">
        <v>1542</v>
      </c>
      <c r="BC652" s="90">
        <f t="shared" si="678"/>
        <v>0</v>
      </c>
      <c r="BD652" s="90">
        <f t="shared" si="679"/>
        <v>0</v>
      </c>
      <c r="BE652" s="90">
        <v>0</v>
      </c>
      <c r="BF652" s="90">
        <f t="shared" si="680"/>
        <v>0</v>
      </c>
      <c r="BH652" s="90">
        <f t="shared" si="681"/>
        <v>0</v>
      </c>
      <c r="BI652" s="90">
        <f t="shared" si="682"/>
        <v>0</v>
      </c>
      <c r="BJ652" s="90">
        <f t="shared" si="683"/>
        <v>0</v>
      </c>
    </row>
    <row r="653" spans="1:62" ht="12.75">
      <c r="A653" s="88" t="s">
        <v>1892</v>
      </c>
      <c r="B653" s="88" t="s">
        <v>60</v>
      </c>
      <c r="C653" s="88" t="s">
        <v>1221</v>
      </c>
      <c r="D653" s="88" t="s">
        <v>1521</v>
      </c>
      <c r="E653" s="88" t="s">
        <v>606</v>
      </c>
      <c r="F653" s="90">
        <v>16</v>
      </c>
      <c r="G653" s="90">
        <f>'Stavební rozpočet (SO 13)'!G497</f>
        <v>0</v>
      </c>
      <c r="H653" s="90">
        <f t="shared" si="658"/>
        <v>0</v>
      </c>
      <c r="I653" s="90">
        <f t="shared" si="659"/>
        <v>0</v>
      </c>
      <c r="J653" s="90">
        <f t="shared" si="660"/>
        <v>0</v>
      </c>
      <c r="K653" s="90">
        <v>0</v>
      </c>
      <c r="L653" s="90">
        <f t="shared" si="661"/>
        <v>0</v>
      </c>
      <c r="M653" s="91" t="s">
        <v>622</v>
      </c>
      <c r="O653" s="90"/>
      <c r="P653" s="90"/>
      <c r="Z653" s="90">
        <f t="shared" si="662"/>
        <v>0</v>
      </c>
      <c r="AB653" s="90">
        <f t="shared" si="663"/>
        <v>0</v>
      </c>
      <c r="AC653" s="90">
        <f t="shared" si="664"/>
        <v>0</v>
      </c>
      <c r="AD653" s="90">
        <f t="shared" si="665"/>
        <v>0</v>
      </c>
      <c r="AE653" s="90">
        <f t="shared" si="666"/>
        <v>0</v>
      </c>
      <c r="AF653" s="90">
        <f t="shared" si="667"/>
        <v>0</v>
      </c>
      <c r="AG653" s="90">
        <f t="shared" si="668"/>
        <v>0</v>
      </c>
      <c r="AH653" s="90">
        <f t="shared" si="669"/>
        <v>0</v>
      </c>
      <c r="AI653" s="154" t="s">
        <v>60</v>
      </c>
      <c r="AJ653" s="90">
        <f t="shared" si="670"/>
        <v>0</v>
      </c>
      <c r="AK653" s="90">
        <f t="shared" si="671"/>
        <v>0</v>
      </c>
      <c r="AL653" s="90">
        <f t="shared" si="672"/>
        <v>0</v>
      </c>
      <c r="AN653" s="90">
        <v>21</v>
      </c>
      <c r="AO653" s="90">
        <f t="shared" si="673"/>
        <v>0</v>
      </c>
      <c r="AP653" s="90">
        <f t="shared" si="674"/>
        <v>0</v>
      </c>
      <c r="AQ653" s="91" t="s">
        <v>79</v>
      </c>
      <c r="AV653" s="90">
        <f t="shared" si="675"/>
        <v>0</v>
      </c>
      <c r="AW653" s="90">
        <f t="shared" si="676"/>
        <v>0</v>
      </c>
      <c r="AX653" s="90">
        <f t="shared" si="677"/>
        <v>0</v>
      </c>
      <c r="AY653" s="91" t="s">
        <v>649</v>
      </c>
      <c r="AZ653" s="91" t="s">
        <v>1536</v>
      </c>
      <c r="BA653" s="154" t="s">
        <v>1542</v>
      </c>
      <c r="BC653" s="90">
        <f t="shared" si="678"/>
        <v>0</v>
      </c>
      <c r="BD653" s="90">
        <f t="shared" si="679"/>
        <v>0</v>
      </c>
      <c r="BE653" s="90">
        <v>0</v>
      </c>
      <c r="BF653" s="90">
        <f t="shared" si="680"/>
        <v>0</v>
      </c>
      <c r="BH653" s="90">
        <f t="shared" si="681"/>
        <v>0</v>
      </c>
      <c r="BI653" s="90">
        <f t="shared" si="682"/>
        <v>0</v>
      </c>
      <c r="BJ653" s="90">
        <f t="shared" si="683"/>
        <v>0</v>
      </c>
    </row>
    <row r="654" spans="1:62" ht="12.75">
      <c r="A654" s="88" t="s">
        <v>1893</v>
      </c>
      <c r="B654" s="88" t="s">
        <v>60</v>
      </c>
      <c r="C654" s="88" t="s">
        <v>408</v>
      </c>
      <c r="D654" s="88" t="s">
        <v>594</v>
      </c>
      <c r="E654" s="88" t="s">
        <v>606</v>
      </c>
      <c r="F654" s="90">
        <v>3</v>
      </c>
      <c r="G654" s="90">
        <f>'Stavební rozpočet (SO 13)'!G498</f>
        <v>0</v>
      </c>
      <c r="H654" s="90">
        <f t="shared" si="658"/>
        <v>0</v>
      </c>
      <c r="I654" s="90">
        <f t="shared" si="659"/>
        <v>0</v>
      </c>
      <c r="J654" s="90">
        <f t="shared" si="660"/>
        <v>0</v>
      </c>
      <c r="K654" s="90">
        <v>0</v>
      </c>
      <c r="L654" s="90">
        <f t="shared" si="661"/>
        <v>0</v>
      </c>
      <c r="M654" s="91" t="s">
        <v>622</v>
      </c>
      <c r="O654" s="90"/>
      <c r="P654" s="90"/>
      <c r="Z654" s="90">
        <f t="shared" si="662"/>
        <v>0</v>
      </c>
      <c r="AB654" s="90">
        <f t="shared" si="663"/>
        <v>0</v>
      </c>
      <c r="AC654" s="90">
        <f t="shared" si="664"/>
        <v>0</v>
      </c>
      <c r="AD654" s="90">
        <f t="shared" si="665"/>
        <v>0</v>
      </c>
      <c r="AE654" s="90">
        <f t="shared" si="666"/>
        <v>0</v>
      </c>
      <c r="AF654" s="90">
        <f t="shared" si="667"/>
        <v>0</v>
      </c>
      <c r="AG654" s="90">
        <f t="shared" si="668"/>
        <v>0</v>
      </c>
      <c r="AH654" s="90">
        <f t="shared" si="669"/>
        <v>0</v>
      </c>
      <c r="AI654" s="154" t="s">
        <v>60</v>
      </c>
      <c r="AJ654" s="90">
        <f t="shared" si="670"/>
        <v>0</v>
      </c>
      <c r="AK654" s="90">
        <f t="shared" si="671"/>
        <v>0</v>
      </c>
      <c r="AL654" s="90">
        <f t="shared" si="672"/>
        <v>0</v>
      </c>
      <c r="AN654" s="90">
        <v>21</v>
      </c>
      <c r="AO654" s="90">
        <f t="shared" si="673"/>
        <v>0</v>
      </c>
      <c r="AP654" s="90">
        <f t="shared" si="674"/>
        <v>0</v>
      </c>
      <c r="AQ654" s="91" t="s">
        <v>79</v>
      </c>
      <c r="AV654" s="90">
        <f t="shared" si="675"/>
        <v>0</v>
      </c>
      <c r="AW654" s="90">
        <f t="shared" si="676"/>
        <v>0</v>
      </c>
      <c r="AX654" s="90">
        <f t="shared" si="677"/>
        <v>0</v>
      </c>
      <c r="AY654" s="91" t="s">
        <v>649</v>
      </c>
      <c r="AZ654" s="91" t="s">
        <v>1536</v>
      </c>
      <c r="BA654" s="154" t="s">
        <v>1542</v>
      </c>
      <c r="BC654" s="90">
        <f t="shared" si="678"/>
        <v>0</v>
      </c>
      <c r="BD654" s="90">
        <f t="shared" si="679"/>
        <v>0</v>
      </c>
      <c r="BE654" s="90">
        <v>0</v>
      </c>
      <c r="BF654" s="90">
        <f t="shared" si="680"/>
        <v>0</v>
      </c>
      <c r="BH654" s="90">
        <f t="shared" si="681"/>
        <v>0</v>
      </c>
      <c r="BI654" s="90">
        <f t="shared" si="682"/>
        <v>0</v>
      </c>
      <c r="BJ654" s="90">
        <f t="shared" si="683"/>
        <v>0</v>
      </c>
    </row>
    <row r="655" spans="1:62" ht="12.75">
      <c r="A655" s="88" t="s">
        <v>1894</v>
      </c>
      <c r="B655" s="88" t="s">
        <v>60</v>
      </c>
      <c r="C655" s="88" t="s">
        <v>409</v>
      </c>
      <c r="D655" s="88" t="s">
        <v>595</v>
      </c>
      <c r="E655" s="88" t="s">
        <v>606</v>
      </c>
      <c r="F655" s="90">
        <v>3</v>
      </c>
      <c r="G655" s="90">
        <f>'Stavební rozpočet (SO 13)'!G499</f>
        <v>0</v>
      </c>
      <c r="H655" s="90">
        <f t="shared" si="658"/>
        <v>0</v>
      </c>
      <c r="I655" s="90">
        <f t="shared" si="659"/>
        <v>0</v>
      </c>
      <c r="J655" s="90">
        <f t="shared" si="660"/>
        <v>0</v>
      </c>
      <c r="K655" s="90">
        <v>0</v>
      </c>
      <c r="L655" s="90">
        <f t="shared" si="661"/>
        <v>0</v>
      </c>
      <c r="M655" s="91" t="s">
        <v>622</v>
      </c>
      <c r="O655" s="90"/>
      <c r="P655" s="90"/>
      <c r="Z655" s="90">
        <f t="shared" si="662"/>
        <v>0</v>
      </c>
      <c r="AB655" s="90">
        <f t="shared" si="663"/>
        <v>0</v>
      </c>
      <c r="AC655" s="90">
        <f t="shared" si="664"/>
        <v>0</v>
      </c>
      <c r="AD655" s="90">
        <f t="shared" si="665"/>
        <v>0</v>
      </c>
      <c r="AE655" s="90">
        <f t="shared" si="666"/>
        <v>0</v>
      </c>
      <c r="AF655" s="90">
        <f t="shared" si="667"/>
        <v>0</v>
      </c>
      <c r="AG655" s="90">
        <f t="shared" si="668"/>
        <v>0</v>
      </c>
      <c r="AH655" s="90">
        <f t="shared" si="669"/>
        <v>0</v>
      </c>
      <c r="AI655" s="154" t="s">
        <v>60</v>
      </c>
      <c r="AJ655" s="90">
        <f t="shared" si="670"/>
        <v>0</v>
      </c>
      <c r="AK655" s="90">
        <f t="shared" si="671"/>
        <v>0</v>
      </c>
      <c r="AL655" s="90">
        <f t="shared" si="672"/>
        <v>0</v>
      </c>
      <c r="AN655" s="90">
        <v>21</v>
      </c>
      <c r="AO655" s="90">
        <f t="shared" si="673"/>
        <v>0</v>
      </c>
      <c r="AP655" s="90">
        <f t="shared" si="674"/>
        <v>0</v>
      </c>
      <c r="AQ655" s="91" t="s">
        <v>79</v>
      </c>
      <c r="AV655" s="90">
        <f t="shared" si="675"/>
        <v>0</v>
      </c>
      <c r="AW655" s="90">
        <f t="shared" si="676"/>
        <v>0</v>
      </c>
      <c r="AX655" s="90">
        <f t="shared" si="677"/>
        <v>0</v>
      </c>
      <c r="AY655" s="91" t="s">
        <v>649</v>
      </c>
      <c r="AZ655" s="91" t="s">
        <v>1536</v>
      </c>
      <c r="BA655" s="154" t="s">
        <v>1542</v>
      </c>
      <c r="BC655" s="90">
        <f t="shared" si="678"/>
        <v>0</v>
      </c>
      <c r="BD655" s="90">
        <f t="shared" si="679"/>
        <v>0</v>
      </c>
      <c r="BE655" s="90">
        <v>0</v>
      </c>
      <c r="BF655" s="90">
        <f t="shared" si="680"/>
        <v>0</v>
      </c>
      <c r="BH655" s="90">
        <f t="shared" si="681"/>
        <v>0</v>
      </c>
      <c r="BI655" s="90">
        <f t="shared" si="682"/>
        <v>0</v>
      </c>
      <c r="BJ655" s="90">
        <f t="shared" si="683"/>
        <v>0</v>
      </c>
    </row>
    <row r="656" spans="1:62" ht="12.75">
      <c r="A656" s="88" t="s">
        <v>1895</v>
      </c>
      <c r="B656" s="88" t="s">
        <v>60</v>
      </c>
      <c r="C656" s="88" t="s">
        <v>410</v>
      </c>
      <c r="D656" s="88" t="s">
        <v>596</v>
      </c>
      <c r="E656" s="88" t="s">
        <v>611</v>
      </c>
      <c r="F656" s="90">
        <v>1</v>
      </c>
      <c r="G656" s="90">
        <f>'Stavební rozpočet (SO 13)'!G500</f>
        <v>0</v>
      </c>
      <c r="H656" s="90">
        <f t="shared" si="658"/>
        <v>0</v>
      </c>
      <c r="I656" s="90">
        <f t="shared" si="659"/>
        <v>0</v>
      </c>
      <c r="J656" s="90">
        <f t="shared" si="660"/>
        <v>0</v>
      </c>
      <c r="K656" s="90">
        <v>0</v>
      </c>
      <c r="L656" s="90">
        <f t="shared" si="661"/>
        <v>0</v>
      </c>
      <c r="M656" s="91" t="s">
        <v>622</v>
      </c>
      <c r="O656" s="90"/>
      <c r="P656" s="90"/>
      <c r="Z656" s="90">
        <f t="shared" si="662"/>
        <v>0</v>
      </c>
      <c r="AB656" s="90">
        <f t="shared" si="663"/>
        <v>0</v>
      </c>
      <c r="AC656" s="90">
        <f t="shared" si="664"/>
        <v>0</v>
      </c>
      <c r="AD656" s="90">
        <f t="shared" si="665"/>
        <v>0</v>
      </c>
      <c r="AE656" s="90">
        <f t="shared" si="666"/>
        <v>0</v>
      </c>
      <c r="AF656" s="90">
        <f t="shared" si="667"/>
        <v>0</v>
      </c>
      <c r="AG656" s="90">
        <f t="shared" si="668"/>
        <v>0</v>
      </c>
      <c r="AH656" s="90">
        <f t="shared" si="669"/>
        <v>0</v>
      </c>
      <c r="AI656" s="154" t="s">
        <v>60</v>
      </c>
      <c r="AJ656" s="90">
        <f t="shared" si="670"/>
        <v>0</v>
      </c>
      <c r="AK656" s="90">
        <f t="shared" si="671"/>
        <v>0</v>
      </c>
      <c r="AL656" s="90">
        <f t="shared" si="672"/>
        <v>0</v>
      </c>
      <c r="AN656" s="90">
        <v>21</v>
      </c>
      <c r="AO656" s="90">
        <f t="shared" si="673"/>
        <v>0</v>
      </c>
      <c r="AP656" s="90">
        <f t="shared" si="674"/>
        <v>0</v>
      </c>
      <c r="AQ656" s="91" t="s">
        <v>79</v>
      </c>
      <c r="AV656" s="90">
        <f t="shared" si="675"/>
        <v>0</v>
      </c>
      <c r="AW656" s="90">
        <f t="shared" si="676"/>
        <v>0</v>
      </c>
      <c r="AX656" s="90">
        <f t="shared" si="677"/>
        <v>0</v>
      </c>
      <c r="AY656" s="91" t="s">
        <v>649</v>
      </c>
      <c r="AZ656" s="91" t="s">
        <v>1536</v>
      </c>
      <c r="BA656" s="154" t="s">
        <v>1542</v>
      </c>
      <c r="BC656" s="90">
        <f t="shared" si="678"/>
        <v>0</v>
      </c>
      <c r="BD656" s="90">
        <f t="shared" si="679"/>
        <v>0</v>
      </c>
      <c r="BE656" s="90">
        <v>0</v>
      </c>
      <c r="BF656" s="90">
        <f t="shared" si="680"/>
        <v>0</v>
      </c>
      <c r="BH656" s="90">
        <f t="shared" si="681"/>
        <v>0</v>
      </c>
      <c r="BI656" s="90">
        <f t="shared" si="682"/>
        <v>0</v>
      </c>
      <c r="BJ656" s="90">
        <f t="shared" si="683"/>
        <v>0</v>
      </c>
    </row>
    <row r="657" spans="1:62" ht="12.75">
      <c r="A657" s="88" t="s">
        <v>1896</v>
      </c>
      <c r="B657" s="88" t="s">
        <v>60</v>
      </c>
      <c r="C657" s="88" t="s">
        <v>411</v>
      </c>
      <c r="D657" s="88" t="s">
        <v>597</v>
      </c>
      <c r="E657" s="88" t="s">
        <v>614</v>
      </c>
      <c r="F657" s="90">
        <v>1</v>
      </c>
      <c r="G657" s="90">
        <f>'Stavební rozpočet (SO 13)'!G501</f>
        <v>0</v>
      </c>
      <c r="H657" s="90">
        <f t="shared" si="658"/>
        <v>0</v>
      </c>
      <c r="I657" s="90">
        <f t="shared" si="659"/>
        <v>0</v>
      </c>
      <c r="J657" s="90">
        <f t="shared" si="660"/>
        <v>0</v>
      </c>
      <c r="K657" s="90">
        <v>0</v>
      </c>
      <c r="L657" s="90">
        <f t="shared" si="661"/>
        <v>0</v>
      </c>
      <c r="M657" s="91" t="s">
        <v>622</v>
      </c>
      <c r="O657" s="90"/>
      <c r="P657" s="90"/>
      <c r="Z657" s="90">
        <f t="shared" si="662"/>
        <v>0</v>
      </c>
      <c r="AB657" s="90">
        <f t="shared" si="663"/>
        <v>0</v>
      </c>
      <c r="AC657" s="90">
        <f t="shared" si="664"/>
        <v>0</v>
      </c>
      <c r="AD657" s="90">
        <f t="shared" si="665"/>
        <v>0</v>
      </c>
      <c r="AE657" s="90">
        <f t="shared" si="666"/>
        <v>0</v>
      </c>
      <c r="AF657" s="90">
        <f t="shared" si="667"/>
        <v>0</v>
      </c>
      <c r="AG657" s="90">
        <f t="shared" si="668"/>
        <v>0</v>
      </c>
      <c r="AH657" s="90">
        <f t="shared" si="669"/>
        <v>0</v>
      </c>
      <c r="AI657" s="154" t="s">
        <v>60</v>
      </c>
      <c r="AJ657" s="90">
        <f t="shared" si="670"/>
        <v>0</v>
      </c>
      <c r="AK657" s="90">
        <f t="shared" si="671"/>
        <v>0</v>
      </c>
      <c r="AL657" s="90">
        <f t="shared" si="672"/>
        <v>0</v>
      </c>
      <c r="AN657" s="90">
        <v>21</v>
      </c>
      <c r="AO657" s="90">
        <f t="shared" si="673"/>
        <v>0</v>
      </c>
      <c r="AP657" s="90">
        <f t="shared" si="674"/>
        <v>0</v>
      </c>
      <c r="AQ657" s="91" t="s">
        <v>79</v>
      </c>
      <c r="AV657" s="90">
        <f t="shared" si="675"/>
        <v>0</v>
      </c>
      <c r="AW657" s="90">
        <f t="shared" si="676"/>
        <v>0</v>
      </c>
      <c r="AX657" s="90">
        <f t="shared" si="677"/>
        <v>0</v>
      </c>
      <c r="AY657" s="91" t="s">
        <v>649</v>
      </c>
      <c r="AZ657" s="91" t="s">
        <v>1536</v>
      </c>
      <c r="BA657" s="154" t="s">
        <v>1542</v>
      </c>
      <c r="BC657" s="90">
        <f t="shared" si="678"/>
        <v>0</v>
      </c>
      <c r="BD657" s="90">
        <f t="shared" si="679"/>
        <v>0</v>
      </c>
      <c r="BE657" s="90">
        <v>0</v>
      </c>
      <c r="BF657" s="90">
        <f t="shared" si="680"/>
        <v>0</v>
      </c>
      <c r="BH657" s="90">
        <f t="shared" si="681"/>
        <v>0</v>
      </c>
      <c r="BI657" s="90">
        <f t="shared" si="682"/>
        <v>0</v>
      </c>
      <c r="BJ657" s="90">
        <f t="shared" si="683"/>
        <v>0</v>
      </c>
    </row>
    <row r="658" spans="1:62" ht="12.75">
      <c r="A658" s="88" t="s">
        <v>1897</v>
      </c>
      <c r="B658" s="88" t="s">
        <v>60</v>
      </c>
      <c r="C658" s="88" t="s">
        <v>412</v>
      </c>
      <c r="D658" s="88" t="s">
        <v>598</v>
      </c>
      <c r="E658" s="88" t="s">
        <v>606</v>
      </c>
      <c r="F658" s="90">
        <v>1</v>
      </c>
      <c r="G658" s="90">
        <f>'Stavební rozpočet (SO 13)'!G502</f>
        <v>0</v>
      </c>
      <c r="H658" s="90">
        <f t="shared" si="658"/>
        <v>0</v>
      </c>
      <c r="I658" s="90">
        <f t="shared" si="659"/>
        <v>0</v>
      </c>
      <c r="J658" s="90">
        <f t="shared" si="660"/>
        <v>0</v>
      </c>
      <c r="K658" s="90">
        <v>0</v>
      </c>
      <c r="L658" s="90">
        <f t="shared" si="661"/>
        <v>0</v>
      </c>
      <c r="M658" s="91" t="s">
        <v>622</v>
      </c>
      <c r="O658" s="90"/>
      <c r="P658" s="90"/>
      <c r="Z658" s="90">
        <f t="shared" si="662"/>
        <v>0</v>
      </c>
      <c r="AB658" s="90">
        <f t="shared" si="663"/>
        <v>0</v>
      </c>
      <c r="AC658" s="90">
        <f t="shared" si="664"/>
        <v>0</v>
      </c>
      <c r="AD658" s="90">
        <f t="shared" si="665"/>
        <v>0</v>
      </c>
      <c r="AE658" s="90">
        <f t="shared" si="666"/>
        <v>0</v>
      </c>
      <c r="AF658" s="90">
        <f t="shared" si="667"/>
        <v>0</v>
      </c>
      <c r="AG658" s="90">
        <f t="shared" si="668"/>
        <v>0</v>
      </c>
      <c r="AH658" s="90">
        <f t="shared" si="669"/>
        <v>0</v>
      </c>
      <c r="AI658" s="154" t="s">
        <v>60</v>
      </c>
      <c r="AJ658" s="90">
        <f t="shared" si="670"/>
        <v>0</v>
      </c>
      <c r="AK658" s="90">
        <f t="shared" si="671"/>
        <v>0</v>
      </c>
      <c r="AL658" s="90">
        <f t="shared" si="672"/>
        <v>0</v>
      </c>
      <c r="AN658" s="90">
        <v>21</v>
      </c>
      <c r="AO658" s="90">
        <f t="shared" si="673"/>
        <v>0</v>
      </c>
      <c r="AP658" s="90">
        <f t="shared" si="674"/>
        <v>0</v>
      </c>
      <c r="AQ658" s="91" t="s">
        <v>79</v>
      </c>
      <c r="AV658" s="90">
        <f t="shared" si="675"/>
        <v>0</v>
      </c>
      <c r="AW658" s="90">
        <f t="shared" si="676"/>
        <v>0</v>
      </c>
      <c r="AX658" s="90">
        <f t="shared" si="677"/>
        <v>0</v>
      </c>
      <c r="AY658" s="91" t="s">
        <v>649</v>
      </c>
      <c r="AZ658" s="91" t="s">
        <v>1536</v>
      </c>
      <c r="BA658" s="154" t="s">
        <v>1542</v>
      </c>
      <c r="BC658" s="90">
        <f t="shared" si="678"/>
        <v>0</v>
      </c>
      <c r="BD658" s="90">
        <f t="shared" si="679"/>
        <v>0</v>
      </c>
      <c r="BE658" s="90">
        <v>0</v>
      </c>
      <c r="BF658" s="90">
        <f t="shared" si="680"/>
        <v>0</v>
      </c>
      <c r="BH658" s="90">
        <f t="shared" si="681"/>
        <v>0</v>
      </c>
      <c r="BI658" s="90">
        <f t="shared" si="682"/>
        <v>0</v>
      </c>
      <c r="BJ658" s="90">
        <f t="shared" si="683"/>
        <v>0</v>
      </c>
    </row>
    <row r="659" spans="1:62" ht="12.75">
      <c r="A659" s="88" t="s">
        <v>1898</v>
      </c>
      <c r="B659" s="88" t="s">
        <v>60</v>
      </c>
      <c r="C659" s="88" t="s">
        <v>413</v>
      </c>
      <c r="D659" s="88" t="s">
        <v>1522</v>
      </c>
      <c r="E659" s="88" t="s">
        <v>606</v>
      </c>
      <c r="F659" s="90">
        <v>1</v>
      </c>
      <c r="G659" s="90">
        <f>'Stavební rozpočet (SO 13)'!G503</f>
        <v>0</v>
      </c>
      <c r="H659" s="90">
        <f t="shared" si="658"/>
        <v>0</v>
      </c>
      <c r="I659" s="90">
        <f t="shared" si="659"/>
        <v>0</v>
      </c>
      <c r="J659" s="90">
        <f t="shared" si="660"/>
        <v>0</v>
      </c>
      <c r="K659" s="90">
        <v>0</v>
      </c>
      <c r="L659" s="90">
        <f t="shared" si="661"/>
        <v>0</v>
      </c>
      <c r="M659" s="91" t="s">
        <v>622</v>
      </c>
      <c r="O659" s="90"/>
      <c r="P659" s="90"/>
      <c r="Z659" s="90">
        <f t="shared" si="662"/>
        <v>0</v>
      </c>
      <c r="AB659" s="90">
        <f t="shared" si="663"/>
        <v>0</v>
      </c>
      <c r="AC659" s="90">
        <f t="shared" si="664"/>
        <v>0</v>
      </c>
      <c r="AD659" s="90">
        <f t="shared" si="665"/>
        <v>0</v>
      </c>
      <c r="AE659" s="90">
        <f t="shared" si="666"/>
        <v>0</v>
      </c>
      <c r="AF659" s="90">
        <f t="shared" si="667"/>
        <v>0</v>
      </c>
      <c r="AG659" s="90">
        <f t="shared" si="668"/>
        <v>0</v>
      </c>
      <c r="AH659" s="90">
        <f t="shared" si="669"/>
        <v>0</v>
      </c>
      <c r="AI659" s="154" t="s">
        <v>60</v>
      </c>
      <c r="AJ659" s="90">
        <f t="shared" si="670"/>
        <v>0</v>
      </c>
      <c r="AK659" s="90">
        <f t="shared" si="671"/>
        <v>0</v>
      </c>
      <c r="AL659" s="90">
        <f t="shared" si="672"/>
        <v>0</v>
      </c>
      <c r="AN659" s="90">
        <v>21</v>
      </c>
      <c r="AO659" s="90">
        <f t="shared" si="673"/>
        <v>0</v>
      </c>
      <c r="AP659" s="90">
        <f t="shared" si="674"/>
        <v>0</v>
      </c>
      <c r="AQ659" s="91" t="s">
        <v>79</v>
      </c>
      <c r="AV659" s="90">
        <f t="shared" si="675"/>
        <v>0</v>
      </c>
      <c r="AW659" s="90">
        <f t="shared" si="676"/>
        <v>0</v>
      </c>
      <c r="AX659" s="90">
        <f t="shared" si="677"/>
        <v>0</v>
      </c>
      <c r="AY659" s="91" t="s">
        <v>649</v>
      </c>
      <c r="AZ659" s="91" t="s">
        <v>1536</v>
      </c>
      <c r="BA659" s="154" t="s">
        <v>1542</v>
      </c>
      <c r="BC659" s="90">
        <f t="shared" si="678"/>
        <v>0</v>
      </c>
      <c r="BD659" s="90">
        <f t="shared" si="679"/>
        <v>0</v>
      </c>
      <c r="BE659" s="90">
        <v>0</v>
      </c>
      <c r="BF659" s="90">
        <f t="shared" si="680"/>
        <v>0</v>
      </c>
      <c r="BH659" s="90">
        <f t="shared" si="681"/>
        <v>0</v>
      </c>
      <c r="BI659" s="90">
        <f t="shared" si="682"/>
        <v>0</v>
      </c>
      <c r="BJ659" s="90">
        <f t="shared" si="683"/>
        <v>0</v>
      </c>
    </row>
    <row r="660" spans="1:62" ht="12.75">
      <c r="A660" s="88" t="s">
        <v>1899</v>
      </c>
      <c r="B660" s="88" t="s">
        <v>60</v>
      </c>
      <c r="C660" s="88" t="s">
        <v>414</v>
      </c>
      <c r="D660" s="88" t="s">
        <v>600</v>
      </c>
      <c r="E660" s="88" t="s">
        <v>611</v>
      </c>
      <c r="F660" s="90">
        <v>5</v>
      </c>
      <c r="G660" s="90">
        <f>'Stavební rozpočet (SO 13)'!G504</f>
        <v>0</v>
      </c>
      <c r="H660" s="90">
        <f t="shared" si="658"/>
        <v>0</v>
      </c>
      <c r="I660" s="90">
        <f t="shared" si="659"/>
        <v>0</v>
      </c>
      <c r="J660" s="90">
        <f t="shared" si="660"/>
        <v>0</v>
      </c>
      <c r="K660" s="90">
        <v>0</v>
      </c>
      <c r="L660" s="90">
        <f t="shared" si="661"/>
        <v>0</v>
      </c>
      <c r="M660" s="91" t="s">
        <v>622</v>
      </c>
      <c r="O660" s="90"/>
      <c r="P660" s="90"/>
      <c r="Z660" s="90">
        <f t="shared" si="662"/>
        <v>0</v>
      </c>
      <c r="AB660" s="90">
        <f t="shared" si="663"/>
        <v>0</v>
      </c>
      <c r="AC660" s="90">
        <f t="shared" si="664"/>
        <v>0</v>
      </c>
      <c r="AD660" s="90">
        <f t="shared" si="665"/>
        <v>0</v>
      </c>
      <c r="AE660" s="90">
        <f t="shared" si="666"/>
        <v>0</v>
      </c>
      <c r="AF660" s="90">
        <f t="shared" si="667"/>
        <v>0</v>
      </c>
      <c r="AG660" s="90">
        <f t="shared" si="668"/>
        <v>0</v>
      </c>
      <c r="AH660" s="90">
        <f t="shared" si="669"/>
        <v>0</v>
      </c>
      <c r="AI660" s="154" t="s">
        <v>60</v>
      </c>
      <c r="AJ660" s="90">
        <f t="shared" si="670"/>
        <v>0</v>
      </c>
      <c r="AK660" s="90">
        <f t="shared" si="671"/>
        <v>0</v>
      </c>
      <c r="AL660" s="90">
        <f t="shared" si="672"/>
        <v>0</v>
      </c>
      <c r="AN660" s="90">
        <v>21</v>
      </c>
      <c r="AO660" s="90">
        <f t="shared" si="673"/>
        <v>0</v>
      </c>
      <c r="AP660" s="90">
        <f t="shared" si="674"/>
        <v>0</v>
      </c>
      <c r="AQ660" s="91" t="s">
        <v>79</v>
      </c>
      <c r="AV660" s="90">
        <f t="shared" si="675"/>
        <v>0</v>
      </c>
      <c r="AW660" s="90">
        <f t="shared" si="676"/>
        <v>0</v>
      </c>
      <c r="AX660" s="90">
        <f t="shared" si="677"/>
        <v>0</v>
      </c>
      <c r="AY660" s="91" t="s">
        <v>649</v>
      </c>
      <c r="AZ660" s="91" t="s">
        <v>1536</v>
      </c>
      <c r="BA660" s="154" t="s">
        <v>1542</v>
      </c>
      <c r="BC660" s="90">
        <f t="shared" si="678"/>
        <v>0</v>
      </c>
      <c r="BD660" s="90">
        <f t="shared" si="679"/>
        <v>0</v>
      </c>
      <c r="BE660" s="90">
        <v>0</v>
      </c>
      <c r="BF660" s="90">
        <f t="shared" si="680"/>
        <v>0</v>
      </c>
      <c r="BH660" s="90">
        <f t="shared" si="681"/>
        <v>0</v>
      </c>
      <c r="BI660" s="90">
        <f t="shared" si="682"/>
        <v>0</v>
      </c>
      <c r="BJ660" s="90">
        <f t="shared" si="683"/>
        <v>0</v>
      </c>
    </row>
    <row r="661" spans="1:62" ht="12.75">
      <c r="A661" s="88" t="s">
        <v>1900</v>
      </c>
      <c r="B661" s="88" t="s">
        <v>60</v>
      </c>
      <c r="C661" s="88" t="s">
        <v>415</v>
      </c>
      <c r="D661" s="88" t="s">
        <v>601</v>
      </c>
      <c r="E661" s="88" t="s">
        <v>611</v>
      </c>
      <c r="F661" s="90">
        <v>6</v>
      </c>
      <c r="G661" s="90">
        <f>'Stavební rozpočet (SO 13)'!G505</f>
        <v>0</v>
      </c>
      <c r="H661" s="90">
        <f t="shared" si="658"/>
        <v>0</v>
      </c>
      <c r="I661" s="90">
        <f t="shared" si="659"/>
        <v>0</v>
      </c>
      <c r="J661" s="90">
        <f t="shared" si="660"/>
        <v>0</v>
      </c>
      <c r="K661" s="90">
        <v>0</v>
      </c>
      <c r="L661" s="90">
        <f t="shared" si="661"/>
        <v>0</v>
      </c>
      <c r="M661" s="91" t="s">
        <v>622</v>
      </c>
      <c r="O661" s="90"/>
      <c r="P661" s="90"/>
      <c r="Z661" s="90">
        <f t="shared" si="662"/>
        <v>0</v>
      </c>
      <c r="AB661" s="90">
        <f t="shared" si="663"/>
        <v>0</v>
      </c>
      <c r="AC661" s="90">
        <f t="shared" si="664"/>
        <v>0</v>
      </c>
      <c r="AD661" s="90">
        <f t="shared" si="665"/>
        <v>0</v>
      </c>
      <c r="AE661" s="90">
        <f t="shared" si="666"/>
        <v>0</v>
      </c>
      <c r="AF661" s="90">
        <f t="shared" si="667"/>
        <v>0</v>
      </c>
      <c r="AG661" s="90">
        <f t="shared" si="668"/>
        <v>0</v>
      </c>
      <c r="AH661" s="90">
        <f t="shared" si="669"/>
        <v>0</v>
      </c>
      <c r="AI661" s="154" t="s">
        <v>60</v>
      </c>
      <c r="AJ661" s="90">
        <f t="shared" si="670"/>
        <v>0</v>
      </c>
      <c r="AK661" s="90">
        <f t="shared" si="671"/>
        <v>0</v>
      </c>
      <c r="AL661" s="90">
        <f t="shared" si="672"/>
        <v>0</v>
      </c>
      <c r="AN661" s="90">
        <v>21</v>
      </c>
      <c r="AO661" s="90">
        <f t="shared" si="673"/>
        <v>0</v>
      </c>
      <c r="AP661" s="90">
        <f t="shared" si="674"/>
        <v>0</v>
      </c>
      <c r="AQ661" s="91" t="s">
        <v>79</v>
      </c>
      <c r="AV661" s="90">
        <f t="shared" si="675"/>
        <v>0</v>
      </c>
      <c r="AW661" s="90">
        <f t="shared" si="676"/>
        <v>0</v>
      </c>
      <c r="AX661" s="90">
        <f t="shared" si="677"/>
        <v>0</v>
      </c>
      <c r="AY661" s="91" t="s">
        <v>649</v>
      </c>
      <c r="AZ661" s="91" t="s">
        <v>1536</v>
      </c>
      <c r="BA661" s="154" t="s">
        <v>1542</v>
      </c>
      <c r="BC661" s="90">
        <f t="shared" si="678"/>
        <v>0</v>
      </c>
      <c r="BD661" s="90">
        <f t="shared" si="679"/>
        <v>0</v>
      </c>
      <c r="BE661" s="90">
        <v>0</v>
      </c>
      <c r="BF661" s="90">
        <f t="shared" si="680"/>
        <v>0</v>
      </c>
      <c r="BH661" s="90">
        <f t="shared" si="681"/>
        <v>0</v>
      </c>
      <c r="BI661" s="90">
        <f t="shared" si="682"/>
        <v>0</v>
      </c>
      <c r="BJ661" s="90">
        <f t="shared" si="683"/>
        <v>0</v>
      </c>
    </row>
    <row r="662" spans="1:62" ht="12.75">
      <c r="A662" s="88" t="s">
        <v>1901</v>
      </c>
      <c r="B662" s="88" t="s">
        <v>60</v>
      </c>
      <c r="C662" s="88" t="s">
        <v>416</v>
      </c>
      <c r="D662" s="88" t="s">
        <v>602</v>
      </c>
      <c r="E662" s="88" t="s">
        <v>611</v>
      </c>
      <c r="F662" s="90">
        <v>20</v>
      </c>
      <c r="G662" s="90">
        <f>'Stavební rozpočet (SO 13)'!G506</f>
        <v>0</v>
      </c>
      <c r="H662" s="90">
        <f t="shared" si="658"/>
        <v>0</v>
      </c>
      <c r="I662" s="90">
        <f t="shared" si="659"/>
        <v>0</v>
      </c>
      <c r="J662" s="90">
        <f t="shared" si="660"/>
        <v>0</v>
      </c>
      <c r="K662" s="90">
        <v>0</v>
      </c>
      <c r="L662" s="90">
        <f t="shared" si="661"/>
        <v>0</v>
      </c>
      <c r="M662" s="91" t="s">
        <v>622</v>
      </c>
      <c r="O662" s="90"/>
      <c r="P662" s="90"/>
      <c r="Z662" s="90">
        <f t="shared" si="662"/>
        <v>0</v>
      </c>
      <c r="AB662" s="90">
        <f t="shared" si="663"/>
        <v>0</v>
      </c>
      <c r="AC662" s="90">
        <f t="shared" si="664"/>
        <v>0</v>
      </c>
      <c r="AD662" s="90">
        <f t="shared" si="665"/>
        <v>0</v>
      </c>
      <c r="AE662" s="90">
        <f t="shared" si="666"/>
        <v>0</v>
      </c>
      <c r="AF662" s="90">
        <f t="shared" si="667"/>
        <v>0</v>
      </c>
      <c r="AG662" s="90">
        <f t="shared" si="668"/>
        <v>0</v>
      </c>
      <c r="AH662" s="90">
        <f t="shared" si="669"/>
        <v>0</v>
      </c>
      <c r="AI662" s="154" t="s">
        <v>60</v>
      </c>
      <c r="AJ662" s="90">
        <f t="shared" si="670"/>
        <v>0</v>
      </c>
      <c r="AK662" s="90">
        <f t="shared" si="671"/>
        <v>0</v>
      </c>
      <c r="AL662" s="90">
        <f t="shared" si="672"/>
        <v>0</v>
      </c>
      <c r="AN662" s="90">
        <v>21</v>
      </c>
      <c r="AO662" s="90">
        <f t="shared" si="673"/>
        <v>0</v>
      </c>
      <c r="AP662" s="90">
        <f t="shared" si="674"/>
        <v>0</v>
      </c>
      <c r="AQ662" s="91" t="s">
        <v>79</v>
      </c>
      <c r="AV662" s="90">
        <f t="shared" si="675"/>
        <v>0</v>
      </c>
      <c r="AW662" s="90">
        <f t="shared" si="676"/>
        <v>0</v>
      </c>
      <c r="AX662" s="90">
        <f t="shared" si="677"/>
        <v>0</v>
      </c>
      <c r="AY662" s="91" t="s">
        <v>649</v>
      </c>
      <c r="AZ662" s="91" t="s">
        <v>1536</v>
      </c>
      <c r="BA662" s="154" t="s">
        <v>1542</v>
      </c>
      <c r="BC662" s="90">
        <f t="shared" si="678"/>
        <v>0</v>
      </c>
      <c r="BD662" s="90">
        <f t="shared" si="679"/>
        <v>0</v>
      </c>
      <c r="BE662" s="90">
        <v>0</v>
      </c>
      <c r="BF662" s="90">
        <f t="shared" si="680"/>
        <v>0</v>
      </c>
      <c r="BH662" s="90">
        <f t="shared" si="681"/>
        <v>0</v>
      </c>
      <c r="BI662" s="90">
        <f t="shared" si="682"/>
        <v>0</v>
      </c>
      <c r="BJ662" s="90">
        <f t="shared" si="683"/>
        <v>0</v>
      </c>
    </row>
    <row r="663" spans="1:62" ht="12.75">
      <c r="A663" s="88" t="s">
        <v>1902</v>
      </c>
      <c r="B663" s="88" t="s">
        <v>60</v>
      </c>
      <c r="C663" s="88" t="s">
        <v>1222</v>
      </c>
      <c r="D663" s="88" t="s">
        <v>1523</v>
      </c>
      <c r="E663" s="88" t="s">
        <v>611</v>
      </c>
      <c r="F663" s="90">
        <v>0</v>
      </c>
      <c r="G663" s="90">
        <f>'Stavební rozpočet (SO 13)'!G507</f>
        <v>0</v>
      </c>
      <c r="H663" s="90">
        <f t="shared" si="658"/>
        <v>0</v>
      </c>
      <c r="I663" s="90">
        <f t="shared" si="659"/>
        <v>0</v>
      </c>
      <c r="J663" s="90">
        <f t="shared" si="660"/>
        <v>0</v>
      </c>
      <c r="K663" s="90">
        <v>0</v>
      </c>
      <c r="L663" s="90">
        <f t="shared" si="661"/>
        <v>0</v>
      </c>
      <c r="M663" s="91" t="s">
        <v>622</v>
      </c>
      <c r="O663" s="90"/>
      <c r="P663" s="90"/>
      <c r="Z663" s="90">
        <f t="shared" si="662"/>
        <v>0</v>
      </c>
      <c r="AB663" s="90">
        <f t="shared" si="663"/>
        <v>0</v>
      </c>
      <c r="AC663" s="90">
        <f t="shared" si="664"/>
        <v>0</v>
      </c>
      <c r="AD663" s="90">
        <f t="shared" si="665"/>
        <v>0</v>
      </c>
      <c r="AE663" s="90">
        <f t="shared" si="666"/>
        <v>0</v>
      </c>
      <c r="AF663" s="90">
        <f t="shared" si="667"/>
        <v>0</v>
      </c>
      <c r="AG663" s="90">
        <f t="shared" si="668"/>
        <v>0</v>
      </c>
      <c r="AH663" s="90">
        <f t="shared" si="669"/>
        <v>0</v>
      </c>
      <c r="AI663" s="154" t="s">
        <v>60</v>
      </c>
      <c r="AJ663" s="90">
        <f t="shared" si="670"/>
        <v>0</v>
      </c>
      <c r="AK663" s="90">
        <f t="shared" si="671"/>
        <v>0</v>
      </c>
      <c r="AL663" s="90">
        <f t="shared" si="672"/>
        <v>0</v>
      </c>
      <c r="AN663" s="90">
        <v>21</v>
      </c>
      <c r="AO663" s="90">
        <f t="shared" si="673"/>
        <v>0</v>
      </c>
      <c r="AP663" s="90">
        <f t="shared" si="674"/>
        <v>0</v>
      </c>
      <c r="AQ663" s="91" t="s">
        <v>79</v>
      </c>
      <c r="AV663" s="90">
        <f t="shared" si="675"/>
        <v>0</v>
      </c>
      <c r="AW663" s="90">
        <f t="shared" si="676"/>
        <v>0</v>
      </c>
      <c r="AX663" s="90">
        <f t="shared" si="677"/>
        <v>0</v>
      </c>
      <c r="AY663" s="91" t="s">
        <v>649</v>
      </c>
      <c r="AZ663" s="91" t="s">
        <v>1536</v>
      </c>
      <c r="BA663" s="154" t="s">
        <v>1542</v>
      </c>
      <c r="BC663" s="90">
        <f t="shared" si="678"/>
        <v>0</v>
      </c>
      <c r="BD663" s="90">
        <f t="shared" si="679"/>
        <v>0</v>
      </c>
      <c r="BE663" s="90">
        <v>0</v>
      </c>
      <c r="BF663" s="90">
        <f t="shared" si="680"/>
        <v>0</v>
      </c>
      <c r="BH663" s="90">
        <f t="shared" si="681"/>
        <v>0</v>
      </c>
      <c r="BI663" s="90">
        <f t="shared" si="682"/>
        <v>0</v>
      </c>
      <c r="BJ663" s="90">
        <f t="shared" si="683"/>
        <v>0</v>
      </c>
    </row>
    <row r="664" spans="1:62" ht="12.75">
      <c r="A664" s="88" t="s">
        <v>1903</v>
      </c>
      <c r="B664" s="88" t="s">
        <v>60</v>
      </c>
      <c r="C664" s="88" t="s">
        <v>1223</v>
      </c>
      <c r="D664" s="88" t="s">
        <v>1524</v>
      </c>
      <c r="E664" s="88" t="s">
        <v>606</v>
      </c>
      <c r="F664" s="90">
        <v>0</v>
      </c>
      <c r="G664" s="90">
        <f>'Stavební rozpočet (SO 13)'!G508</f>
        <v>0</v>
      </c>
      <c r="H664" s="90">
        <f t="shared" si="658"/>
        <v>0</v>
      </c>
      <c r="I664" s="90">
        <f t="shared" si="659"/>
        <v>0</v>
      </c>
      <c r="J664" s="90">
        <f t="shared" si="660"/>
        <v>0</v>
      </c>
      <c r="K664" s="90">
        <v>0</v>
      </c>
      <c r="L664" s="90">
        <f t="shared" si="661"/>
        <v>0</v>
      </c>
      <c r="M664" s="91" t="s">
        <v>622</v>
      </c>
      <c r="O664" s="90"/>
      <c r="P664" s="90"/>
      <c r="Z664" s="90">
        <f t="shared" si="662"/>
        <v>0</v>
      </c>
      <c r="AB664" s="90">
        <f t="shared" si="663"/>
        <v>0</v>
      </c>
      <c r="AC664" s="90">
        <f t="shared" si="664"/>
        <v>0</v>
      </c>
      <c r="AD664" s="90">
        <f t="shared" si="665"/>
        <v>0</v>
      </c>
      <c r="AE664" s="90">
        <f t="shared" si="666"/>
        <v>0</v>
      </c>
      <c r="AF664" s="90">
        <f t="shared" si="667"/>
        <v>0</v>
      </c>
      <c r="AG664" s="90">
        <f t="shared" si="668"/>
        <v>0</v>
      </c>
      <c r="AH664" s="90">
        <f t="shared" si="669"/>
        <v>0</v>
      </c>
      <c r="AI664" s="154" t="s">
        <v>60</v>
      </c>
      <c r="AJ664" s="90">
        <f t="shared" si="670"/>
        <v>0</v>
      </c>
      <c r="AK664" s="90">
        <f t="shared" si="671"/>
        <v>0</v>
      </c>
      <c r="AL664" s="90">
        <f t="shared" si="672"/>
        <v>0</v>
      </c>
      <c r="AN664" s="90">
        <v>21</v>
      </c>
      <c r="AO664" s="90">
        <f t="shared" si="673"/>
        <v>0</v>
      </c>
      <c r="AP664" s="90">
        <f t="shared" si="674"/>
        <v>0</v>
      </c>
      <c r="AQ664" s="91" t="s">
        <v>79</v>
      </c>
      <c r="AV664" s="90">
        <f t="shared" si="675"/>
        <v>0</v>
      </c>
      <c r="AW664" s="90">
        <f t="shared" si="676"/>
        <v>0</v>
      </c>
      <c r="AX664" s="90">
        <f t="shared" si="677"/>
        <v>0</v>
      </c>
      <c r="AY664" s="91" t="s">
        <v>649</v>
      </c>
      <c r="AZ664" s="91" t="s">
        <v>1536</v>
      </c>
      <c r="BA664" s="154" t="s">
        <v>1542</v>
      </c>
      <c r="BC664" s="90">
        <f t="shared" si="678"/>
        <v>0</v>
      </c>
      <c r="BD664" s="90">
        <f t="shared" si="679"/>
        <v>0</v>
      </c>
      <c r="BE664" s="90">
        <v>0</v>
      </c>
      <c r="BF664" s="90">
        <f t="shared" si="680"/>
        <v>0</v>
      </c>
      <c r="BH664" s="90">
        <f t="shared" si="681"/>
        <v>0</v>
      </c>
      <c r="BI664" s="90">
        <f t="shared" si="682"/>
        <v>0</v>
      </c>
      <c r="BJ664" s="90">
        <f t="shared" si="683"/>
        <v>0</v>
      </c>
    </row>
    <row r="665" spans="1:62" ht="12.75">
      <c r="A665" s="88" t="s">
        <v>1904</v>
      </c>
      <c r="B665" s="88" t="s">
        <v>60</v>
      </c>
      <c r="C665" s="88" t="s">
        <v>416</v>
      </c>
      <c r="D665" s="88" t="s">
        <v>603</v>
      </c>
      <c r="E665" s="88" t="s">
        <v>616</v>
      </c>
      <c r="F665" s="90">
        <v>1</v>
      </c>
      <c r="G665" s="90">
        <f>'Stavební rozpočet (SO 13)'!G509</f>
        <v>0</v>
      </c>
      <c r="H665" s="90">
        <f t="shared" si="658"/>
        <v>0</v>
      </c>
      <c r="I665" s="90">
        <f t="shared" si="659"/>
        <v>0</v>
      </c>
      <c r="J665" s="90">
        <f t="shared" si="660"/>
        <v>0</v>
      </c>
      <c r="K665" s="90">
        <v>0</v>
      </c>
      <c r="L665" s="90">
        <f t="shared" si="661"/>
        <v>0</v>
      </c>
      <c r="M665" s="91" t="s">
        <v>622</v>
      </c>
      <c r="O665" s="90"/>
      <c r="P665" s="90"/>
      <c r="Z665" s="90">
        <f t="shared" si="662"/>
        <v>0</v>
      </c>
      <c r="AB665" s="90">
        <f t="shared" si="663"/>
        <v>0</v>
      </c>
      <c r="AC665" s="90">
        <f t="shared" si="664"/>
        <v>0</v>
      </c>
      <c r="AD665" s="90">
        <f t="shared" si="665"/>
        <v>0</v>
      </c>
      <c r="AE665" s="90">
        <f t="shared" si="666"/>
        <v>0</v>
      </c>
      <c r="AF665" s="90">
        <f t="shared" si="667"/>
        <v>0</v>
      </c>
      <c r="AG665" s="90">
        <f t="shared" si="668"/>
        <v>0</v>
      </c>
      <c r="AH665" s="90">
        <f t="shared" si="669"/>
        <v>0</v>
      </c>
      <c r="AI665" s="154" t="s">
        <v>60</v>
      </c>
      <c r="AJ665" s="90">
        <f t="shared" si="670"/>
        <v>0</v>
      </c>
      <c r="AK665" s="90">
        <f t="shared" si="671"/>
        <v>0</v>
      </c>
      <c r="AL665" s="90">
        <f t="shared" si="672"/>
        <v>0</v>
      </c>
      <c r="AN665" s="90">
        <v>21</v>
      </c>
      <c r="AO665" s="90">
        <f t="shared" si="673"/>
        <v>0</v>
      </c>
      <c r="AP665" s="90">
        <f t="shared" si="674"/>
        <v>0</v>
      </c>
      <c r="AQ665" s="91" t="s">
        <v>79</v>
      </c>
      <c r="AV665" s="90">
        <f t="shared" si="675"/>
        <v>0</v>
      </c>
      <c r="AW665" s="90">
        <f t="shared" si="676"/>
        <v>0</v>
      </c>
      <c r="AX665" s="90">
        <f t="shared" si="677"/>
        <v>0</v>
      </c>
      <c r="AY665" s="91" t="s">
        <v>649</v>
      </c>
      <c r="AZ665" s="91" t="s">
        <v>1536</v>
      </c>
      <c r="BA665" s="154" t="s">
        <v>1542</v>
      </c>
      <c r="BC665" s="90">
        <f t="shared" si="678"/>
        <v>0</v>
      </c>
      <c r="BD665" s="90">
        <f t="shared" si="679"/>
        <v>0</v>
      </c>
      <c r="BE665" s="90">
        <v>0</v>
      </c>
      <c r="BF665" s="90">
        <f t="shared" si="680"/>
        <v>0</v>
      </c>
      <c r="BH665" s="90">
        <f t="shared" si="681"/>
        <v>0</v>
      </c>
      <c r="BI665" s="90">
        <f t="shared" si="682"/>
        <v>0</v>
      </c>
      <c r="BJ665" s="90">
        <f t="shared" si="683"/>
        <v>0</v>
      </c>
    </row>
    <row r="666" spans="1:62" ht="12.75">
      <c r="A666" s="88" t="s">
        <v>1905</v>
      </c>
      <c r="B666" s="88" t="s">
        <v>60</v>
      </c>
      <c r="C666" s="88" t="s">
        <v>417</v>
      </c>
      <c r="D666" s="88" t="s">
        <v>604</v>
      </c>
      <c r="E666" s="88" t="s">
        <v>611</v>
      </c>
      <c r="F666" s="90">
        <v>16</v>
      </c>
      <c r="G666" s="90">
        <f>'Stavební rozpočet (SO 13)'!G510</f>
        <v>0</v>
      </c>
      <c r="H666" s="90">
        <f t="shared" si="658"/>
        <v>0</v>
      </c>
      <c r="I666" s="90">
        <f t="shared" si="659"/>
        <v>0</v>
      </c>
      <c r="J666" s="90">
        <f t="shared" si="660"/>
        <v>0</v>
      </c>
      <c r="K666" s="90">
        <v>0</v>
      </c>
      <c r="L666" s="90">
        <f t="shared" si="661"/>
        <v>0</v>
      </c>
      <c r="M666" s="91" t="s">
        <v>622</v>
      </c>
      <c r="O666" s="90"/>
      <c r="P666" s="90"/>
      <c r="Z666" s="90">
        <f t="shared" si="662"/>
        <v>0</v>
      </c>
      <c r="AB666" s="90">
        <f t="shared" si="663"/>
        <v>0</v>
      </c>
      <c r="AC666" s="90">
        <f t="shared" si="664"/>
        <v>0</v>
      </c>
      <c r="AD666" s="90">
        <f t="shared" si="665"/>
        <v>0</v>
      </c>
      <c r="AE666" s="90">
        <f t="shared" si="666"/>
        <v>0</v>
      </c>
      <c r="AF666" s="90">
        <f t="shared" si="667"/>
        <v>0</v>
      </c>
      <c r="AG666" s="90">
        <f t="shared" si="668"/>
        <v>0</v>
      </c>
      <c r="AH666" s="90">
        <f t="shared" si="669"/>
        <v>0</v>
      </c>
      <c r="AI666" s="154" t="s">
        <v>60</v>
      </c>
      <c r="AJ666" s="90">
        <f t="shared" si="670"/>
        <v>0</v>
      </c>
      <c r="AK666" s="90">
        <f t="shared" si="671"/>
        <v>0</v>
      </c>
      <c r="AL666" s="90">
        <f t="shared" si="672"/>
        <v>0</v>
      </c>
      <c r="AN666" s="90">
        <v>21</v>
      </c>
      <c r="AO666" s="90">
        <f t="shared" si="673"/>
        <v>0</v>
      </c>
      <c r="AP666" s="90">
        <f t="shared" si="674"/>
        <v>0</v>
      </c>
      <c r="AQ666" s="91" t="s">
        <v>79</v>
      </c>
      <c r="AV666" s="90">
        <f t="shared" si="675"/>
        <v>0</v>
      </c>
      <c r="AW666" s="90">
        <f t="shared" si="676"/>
        <v>0</v>
      </c>
      <c r="AX666" s="90">
        <f t="shared" si="677"/>
        <v>0</v>
      </c>
      <c r="AY666" s="91" t="s">
        <v>649</v>
      </c>
      <c r="AZ666" s="91" t="s">
        <v>1536</v>
      </c>
      <c r="BA666" s="154" t="s">
        <v>1542</v>
      </c>
      <c r="BC666" s="90">
        <f t="shared" si="678"/>
        <v>0</v>
      </c>
      <c r="BD666" s="90">
        <f t="shared" si="679"/>
        <v>0</v>
      </c>
      <c r="BE666" s="90">
        <v>0</v>
      </c>
      <c r="BF666" s="90">
        <f t="shared" si="680"/>
        <v>0</v>
      </c>
      <c r="BH666" s="90">
        <f t="shared" si="681"/>
        <v>0</v>
      </c>
      <c r="BI666" s="90">
        <f t="shared" si="682"/>
        <v>0</v>
      </c>
      <c r="BJ666" s="90">
        <f t="shared" si="683"/>
        <v>0</v>
      </c>
    </row>
    <row r="667" spans="1:62" ht="12.75">
      <c r="A667" s="88" t="s">
        <v>1906</v>
      </c>
      <c r="B667" s="88" t="s">
        <v>60</v>
      </c>
      <c r="C667" s="88" t="s">
        <v>1224</v>
      </c>
      <c r="D667" s="88" t="s">
        <v>1525</v>
      </c>
      <c r="E667" s="88" t="s">
        <v>606</v>
      </c>
      <c r="F667" s="90">
        <v>66</v>
      </c>
      <c r="G667" s="90">
        <f>'Stavební rozpočet (SO 13)'!G511</f>
        <v>0</v>
      </c>
      <c r="H667" s="90">
        <f t="shared" si="658"/>
        <v>0</v>
      </c>
      <c r="I667" s="90">
        <f t="shared" si="659"/>
        <v>0</v>
      </c>
      <c r="J667" s="90">
        <f t="shared" si="660"/>
        <v>0</v>
      </c>
      <c r="K667" s="90">
        <v>0</v>
      </c>
      <c r="L667" s="90">
        <f t="shared" si="661"/>
        <v>0</v>
      </c>
      <c r="M667" s="91" t="s">
        <v>622</v>
      </c>
      <c r="O667" s="90"/>
      <c r="P667" s="90"/>
      <c r="Z667" s="90">
        <f t="shared" si="662"/>
        <v>0</v>
      </c>
      <c r="AB667" s="90">
        <f t="shared" si="663"/>
        <v>0</v>
      </c>
      <c r="AC667" s="90">
        <f t="shared" si="664"/>
        <v>0</v>
      </c>
      <c r="AD667" s="90">
        <f t="shared" si="665"/>
        <v>0</v>
      </c>
      <c r="AE667" s="90">
        <f t="shared" si="666"/>
        <v>0</v>
      </c>
      <c r="AF667" s="90">
        <f t="shared" si="667"/>
        <v>0</v>
      </c>
      <c r="AG667" s="90">
        <f t="shared" si="668"/>
        <v>0</v>
      </c>
      <c r="AH667" s="90">
        <f t="shared" si="669"/>
        <v>0</v>
      </c>
      <c r="AI667" s="154" t="s">
        <v>60</v>
      </c>
      <c r="AJ667" s="90">
        <f t="shared" si="670"/>
        <v>0</v>
      </c>
      <c r="AK667" s="90">
        <f t="shared" si="671"/>
        <v>0</v>
      </c>
      <c r="AL667" s="90">
        <f t="shared" si="672"/>
        <v>0</v>
      </c>
      <c r="AN667" s="90">
        <v>21</v>
      </c>
      <c r="AO667" s="90">
        <f>G667*1</f>
        <v>0</v>
      </c>
      <c r="AP667" s="90">
        <f>G667*(1-1)</f>
        <v>0</v>
      </c>
      <c r="AQ667" s="91" t="s">
        <v>79</v>
      </c>
      <c r="AV667" s="90">
        <f t="shared" si="675"/>
        <v>0</v>
      </c>
      <c r="AW667" s="90">
        <f t="shared" si="676"/>
        <v>0</v>
      </c>
      <c r="AX667" s="90">
        <f t="shared" si="677"/>
        <v>0</v>
      </c>
      <c r="AY667" s="91" t="s">
        <v>649</v>
      </c>
      <c r="AZ667" s="91" t="s">
        <v>1536</v>
      </c>
      <c r="BA667" s="154" t="s">
        <v>1542</v>
      </c>
      <c r="BC667" s="90">
        <f t="shared" si="678"/>
        <v>0</v>
      </c>
      <c r="BD667" s="90">
        <f t="shared" si="679"/>
        <v>0</v>
      </c>
      <c r="BE667" s="90">
        <v>0</v>
      </c>
      <c r="BF667" s="90">
        <f t="shared" si="680"/>
        <v>0</v>
      </c>
      <c r="BH667" s="90">
        <f t="shared" si="681"/>
        <v>0</v>
      </c>
      <c r="BI667" s="90">
        <f t="shared" si="682"/>
        <v>0</v>
      </c>
      <c r="BJ667" s="90">
        <f t="shared" si="683"/>
        <v>0</v>
      </c>
    </row>
    <row r="668" spans="1:16" ht="12.75" hidden="1">
      <c r="A668" s="162"/>
      <c r="B668" s="163" t="s">
        <v>61</v>
      </c>
      <c r="C668" s="163"/>
      <c r="D668" s="163" t="s">
        <v>67</v>
      </c>
      <c r="E668" s="162" t="s">
        <v>57</v>
      </c>
      <c r="F668" s="162" t="s">
        <v>57</v>
      </c>
      <c r="G668" s="162" t="s">
        <v>57</v>
      </c>
      <c r="H668" s="164">
        <f>H669+H672+H678+H688+H690+H695+H700+H711+H720+H730+H732+H770+H799+H804+H848+H852+H856+H868+H885+H890</f>
        <v>0</v>
      </c>
      <c r="I668" s="164">
        <f>I669+I672+I678+I688+I690+I695+I700+I711+I720+I730+I732+I770+I799+I804+I848+I852+I856+I868+I885+I890</f>
        <v>0</v>
      </c>
      <c r="J668" s="164">
        <f>J669+J672+J678+J688+J690+J695+J700+J711+J720+J730+J732+J770+J799+J804+J848+J852+J856+J868+J885+J890</f>
        <v>0</v>
      </c>
      <c r="K668" s="165"/>
      <c r="L668" s="164">
        <f>L669+L672+L678+L688+L690+L695+L700+L711+L720+L730+L732+L770+L799+L804+L848+L852+L856+L868+L885+L890</f>
        <v>0</v>
      </c>
      <c r="M668" s="165"/>
      <c r="O668" s="162"/>
      <c r="P668" s="162"/>
    </row>
    <row r="669" spans="1:47" ht="12.75" hidden="1">
      <c r="A669" s="159"/>
      <c r="B669" s="160" t="s">
        <v>61</v>
      </c>
      <c r="C669" s="160" t="s">
        <v>109</v>
      </c>
      <c r="D669" s="160" t="s">
        <v>420</v>
      </c>
      <c r="E669" s="159" t="s">
        <v>57</v>
      </c>
      <c r="F669" s="159" t="s">
        <v>57</v>
      </c>
      <c r="G669" s="159" t="s">
        <v>57</v>
      </c>
      <c r="H669" s="161">
        <f>SUM(H670:H671)</f>
        <v>0</v>
      </c>
      <c r="I669" s="161">
        <f>SUM(I670:I671)</f>
        <v>0</v>
      </c>
      <c r="J669" s="161">
        <f>SUM(J670:J671)</f>
        <v>0</v>
      </c>
      <c r="K669" s="154"/>
      <c r="L669" s="161">
        <f>SUM(L670:L671)</f>
        <v>0</v>
      </c>
      <c r="M669" s="154"/>
      <c r="O669" s="159"/>
      <c r="P669" s="159"/>
      <c r="AI669" s="154" t="s">
        <v>61</v>
      </c>
      <c r="AS669" s="161">
        <f>SUM(AJ670:AJ671)</f>
        <v>0</v>
      </c>
      <c r="AT669" s="161">
        <f>SUM(AK670:AK671)</f>
        <v>0</v>
      </c>
      <c r="AU669" s="161">
        <f>SUM(AL670:AL671)</f>
        <v>0</v>
      </c>
    </row>
    <row r="670" spans="1:62" ht="12.75" hidden="1">
      <c r="A670" s="88" t="s">
        <v>1907</v>
      </c>
      <c r="B670" s="88" t="s">
        <v>61</v>
      </c>
      <c r="C670" s="88" t="s">
        <v>944</v>
      </c>
      <c r="D670" s="88" t="s">
        <v>1225</v>
      </c>
      <c r="E670" s="88" t="s">
        <v>606</v>
      </c>
      <c r="F670" s="90"/>
      <c r="G670" s="90">
        <v>273.5</v>
      </c>
      <c r="H670" s="90">
        <f>F670*AO670</f>
        <v>0</v>
      </c>
      <c r="I670" s="90">
        <f>F670*AP670</f>
        <v>0</v>
      </c>
      <c r="J670" s="90">
        <f>F670*G670</f>
        <v>0</v>
      </c>
      <c r="K670" s="90">
        <v>0.03637</v>
      </c>
      <c r="L670" s="90">
        <f>F670*K670</f>
        <v>0</v>
      </c>
      <c r="M670" s="91" t="s">
        <v>622</v>
      </c>
      <c r="O670" s="90"/>
      <c r="P670" s="90"/>
      <c r="Z670" s="90">
        <f>IF(AQ670="5",BJ670,0)</f>
        <v>0</v>
      </c>
      <c r="AB670" s="90">
        <f>IF(AQ670="1",BH670,0)</f>
        <v>0</v>
      </c>
      <c r="AC670" s="90">
        <f>IF(AQ670="1",BI670,0)</f>
        <v>0</v>
      </c>
      <c r="AD670" s="90">
        <f>IF(AQ670="7",BH670,0)</f>
        <v>0</v>
      </c>
      <c r="AE670" s="90">
        <f>IF(AQ670="7",BI670,0)</f>
        <v>0</v>
      </c>
      <c r="AF670" s="90">
        <f>IF(AQ670="2",BH670,0)</f>
        <v>0</v>
      </c>
      <c r="AG670" s="90">
        <f>IF(AQ670="2",BI670,0)</f>
        <v>0</v>
      </c>
      <c r="AH670" s="90">
        <f>IF(AQ670="0",BJ670,0)</f>
        <v>0</v>
      </c>
      <c r="AI670" s="154" t="s">
        <v>61</v>
      </c>
      <c r="AJ670" s="90">
        <f>IF(AN670=0,J670,0)</f>
        <v>0</v>
      </c>
      <c r="AK670" s="90">
        <f>IF(AN670=15,J670,0)</f>
        <v>0</v>
      </c>
      <c r="AL670" s="90">
        <f>IF(AN670=21,J670,0)</f>
        <v>0</v>
      </c>
      <c r="AN670" s="90">
        <v>15</v>
      </c>
      <c r="AO670" s="90">
        <f>G670*0.695173674588665</f>
        <v>190.12999999999988</v>
      </c>
      <c r="AP670" s="90">
        <f>G670*(1-0.695173674588665)</f>
        <v>83.37000000000013</v>
      </c>
      <c r="AQ670" s="91" t="s">
        <v>79</v>
      </c>
      <c r="AV670" s="90">
        <f>AW670+AX670</f>
        <v>0</v>
      </c>
      <c r="AW670" s="90">
        <f>F670*AO670</f>
        <v>0</v>
      </c>
      <c r="AX670" s="90">
        <f>F670*AP670</f>
        <v>0</v>
      </c>
      <c r="AY670" s="91" t="s">
        <v>632</v>
      </c>
      <c r="AZ670" s="91" t="s">
        <v>1641</v>
      </c>
      <c r="BA670" s="154" t="s">
        <v>1649</v>
      </c>
      <c r="BC670" s="90">
        <f>AW670+AX670</f>
        <v>0</v>
      </c>
      <c r="BD670" s="90">
        <f>G670/(100-BE670)*100</f>
        <v>273.5</v>
      </c>
      <c r="BE670" s="90">
        <v>0</v>
      </c>
      <c r="BF670" s="90">
        <f>L670</f>
        <v>0</v>
      </c>
      <c r="BH670" s="90">
        <f>F670*AO670</f>
        <v>0</v>
      </c>
      <c r="BI670" s="90">
        <f>F670*AP670</f>
        <v>0</v>
      </c>
      <c r="BJ670" s="90">
        <f>F670*G670</f>
        <v>0</v>
      </c>
    </row>
    <row r="671" spans="1:62" ht="12.75" hidden="1">
      <c r="A671" s="88" t="s">
        <v>1908</v>
      </c>
      <c r="B671" s="88" t="s">
        <v>61</v>
      </c>
      <c r="C671" s="88" t="s">
        <v>246</v>
      </c>
      <c r="D671" s="88" t="s">
        <v>421</v>
      </c>
      <c r="E671" s="88" t="s">
        <v>606</v>
      </c>
      <c r="F671" s="90"/>
      <c r="G671" s="90">
        <v>339</v>
      </c>
      <c r="H671" s="90">
        <f>F671*AO671</f>
        <v>0</v>
      </c>
      <c r="I671" s="90">
        <f>F671*AP671</f>
        <v>0</v>
      </c>
      <c r="J671" s="90">
        <f>F671*G671</f>
        <v>0</v>
      </c>
      <c r="K671" s="90">
        <v>0.04529</v>
      </c>
      <c r="L671" s="90">
        <f>F671*K671</f>
        <v>0</v>
      </c>
      <c r="M671" s="91" t="s">
        <v>622</v>
      </c>
      <c r="O671" s="90"/>
      <c r="P671" s="90"/>
      <c r="Z671" s="90">
        <f>IF(AQ671="5",BJ671,0)</f>
        <v>0</v>
      </c>
      <c r="AB671" s="90">
        <f>IF(AQ671="1",BH671,0)</f>
        <v>0</v>
      </c>
      <c r="AC671" s="90">
        <f>IF(AQ671="1",BI671,0)</f>
        <v>0</v>
      </c>
      <c r="AD671" s="90">
        <f>IF(AQ671="7",BH671,0)</f>
        <v>0</v>
      </c>
      <c r="AE671" s="90">
        <f>IF(AQ671="7",BI671,0)</f>
        <v>0</v>
      </c>
      <c r="AF671" s="90">
        <f>IF(AQ671="2",BH671,0)</f>
        <v>0</v>
      </c>
      <c r="AG671" s="90">
        <f>IF(AQ671="2",BI671,0)</f>
        <v>0</v>
      </c>
      <c r="AH671" s="90">
        <f>IF(AQ671="0",BJ671,0)</f>
        <v>0</v>
      </c>
      <c r="AI671" s="154" t="s">
        <v>61</v>
      </c>
      <c r="AJ671" s="90">
        <f>IF(AN671=0,J671,0)</f>
        <v>0</v>
      </c>
      <c r="AK671" s="90">
        <f>IF(AN671=15,J671,0)</f>
        <v>0</v>
      </c>
      <c r="AL671" s="90">
        <f>IF(AN671=21,J671,0)</f>
        <v>0</v>
      </c>
      <c r="AN671" s="90">
        <v>15</v>
      </c>
      <c r="AO671" s="90">
        <f>G671*0.746607669616519</f>
        <v>253.09999999999997</v>
      </c>
      <c r="AP671" s="90">
        <f>G671*(1-0.746607669616519)</f>
        <v>85.90000000000005</v>
      </c>
      <c r="AQ671" s="91" t="s">
        <v>79</v>
      </c>
      <c r="AV671" s="90">
        <f>AW671+AX671</f>
        <v>0</v>
      </c>
      <c r="AW671" s="90">
        <f>F671*AO671</f>
        <v>0</v>
      </c>
      <c r="AX671" s="90">
        <f>F671*AP671</f>
        <v>0</v>
      </c>
      <c r="AY671" s="91" t="s">
        <v>632</v>
      </c>
      <c r="AZ671" s="91" t="s">
        <v>1641</v>
      </c>
      <c r="BA671" s="154" t="s">
        <v>1649</v>
      </c>
      <c r="BC671" s="90">
        <f>AW671+AX671</f>
        <v>0</v>
      </c>
      <c r="BD671" s="90">
        <f>G671/(100-BE671)*100</f>
        <v>339</v>
      </c>
      <c r="BE671" s="90">
        <v>0</v>
      </c>
      <c r="BF671" s="90">
        <f>L671</f>
        <v>0</v>
      </c>
      <c r="BH671" s="90">
        <f>F671*AO671</f>
        <v>0</v>
      </c>
      <c r="BI671" s="90">
        <f>F671*AP671</f>
        <v>0</v>
      </c>
      <c r="BJ671" s="90">
        <f>F671*G671</f>
        <v>0</v>
      </c>
    </row>
    <row r="672" spans="1:47" ht="12.75" hidden="1">
      <c r="A672" s="159"/>
      <c r="B672" s="160" t="s">
        <v>61</v>
      </c>
      <c r="C672" s="160" t="s">
        <v>112</v>
      </c>
      <c r="D672" s="160" t="s">
        <v>425</v>
      </c>
      <c r="E672" s="159" t="s">
        <v>57</v>
      </c>
      <c r="F672" s="159"/>
      <c r="G672" s="159" t="s">
        <v>57</v>
      </c>
      <c r="H672" s="161">
        <f>SUM(H673:H677)</f>
        <v>0</v>
      </c>
      <c r="I672" s="161">
        <f>SUM(I673:I677)</f>
        <v>0</v>
      </c>
      <c r="J672" s="161">
        <f>SUM(J673:J677)</f>
        <v>0</v>
      </c>
      <c r="K672" s="154"/>
      <c r="L672" s="161">
        <f>SUM(L673:L677)</f>
        <v>0</v>
      </c>
      <c r="M672" s="154"/>
      <c r="O672" s="159"/>
      <c r="P672" s="159"/>
      <c r="AI672" s="154" t="s">
        <v>61</v>
      </c>
      <c r="AS672" s="161">
        <f>SUM(AJ673:AJ677)</f>
        <v>0</v>
      </c>
      <c r="AT672" s="161">
        <f>SUM(AK673:AK677)</f>
        <v>0</v>
      </c>
      <c r="AU672" s="161">
        <f>SUM(AL673:AL677)</f>
        <v>0</v>
      </c>
    </row>
    <row r="673" spans="1:62" ht="12.75" hidden="1">
      <c r="A673" s="88" t="s">
        <v>1909</v>
      </c>
      <c r="B673" s="88" t="s">
        <v>61</v>
      </c>
      <c r="C673" s="88" t="s">
        <v>249</v>
      </c>
      <c r="D673" s="88" t="s">
        <v>426</v>
      </c>
      <c r="E673" s="88" t="s">
        <v>608</v>
      </c>
      <c r="F673" s="90"/>
      <c r="G673" s="90">
        <v>548</v>
      </c>
      <c r="H673" s="90">
        <f>F673*AO673</f>
        <v>0</v>
      </c>
      <c r="I673" s="90">
        <f>F673*AP673</f>
        <v>0</v>
      </c>
      <c r="J673" s="90">
        <f>F673*G673</f>
        <v>0</v>
      </c>
      <c r="K673" s="90">
        <v>0.11666</v>
      </c>
      <c r="L673" s="90">
        <f>F673*K673</f>
        <v>0</v>
      </c>
      <c r="M673" s="91" t="s">
        <v>622</v>
      </c>
      <c r="O673" s="90"/>
      <c r="P673" s="90"/>
      <c r="Z673" s="90">
        <f>IF(AQ673="5",BJ673,0)</f>
        <v>0</v>
      </c>
      <c r="AB673" s="90">
        <f>IF(AQ673="1",BH673,0)</f>
        <v>0</v>
      </c>
      <c r="AC673" s="90">
        <f>IF(AQ673="1",BI673,0)</f>
        <v>0</v>
      </c>
      <c r="AD673" s="90">
        <f>IF(AQ673="7",BH673,0)</f>
        <v>0</v>
      </c>
      <c r="AE673" s="90">
        <f>IF(AQ673="7",BI673,0)</f>
        <v>0</v>
      </c>
      <c r="AF673" s="90">
        <f>IF(AQ673="2",BH673,0)</f>
        <v>0</v>
      </c>
      <c r="AG673" s="90">
        <f>IF(AQ673="2",BI673,0)</f>
        <v>0</v>
      </c>
      <c r="AH673" s="90">
        <f>IF(AQ673="0",BJ673,0)</f>
        <v>0</v>
      </c>
      <c r="AI673" s="154" t="s">
        <v>61</v>
      </c>
      <c r="AJ673" s="90">
        <f>IF(AN673=0,J673,0)</f>
        <v>0</v>
      </c>
      <c r="AK673" s="90">
        <f>IF(AN673=15,J673,0)</f>
        <v>0</v>
      </c>
      <c r="AL673" s="90">
        <f>IF(AN673=21,J673,0)</f>
        <v>0</v>
      </c>
      <c r="AN673" s="90">
        <v>15</v>
      </c>
      <c r="AO673" s="90">
        <f>G673*0.640748138092589</f>
        <v>351.12997967473876</v>
      </c>
      <c r="AP673" s="90">
        <f>G673*(1-0.640748138092589)</f>
        <v>196.8700203252612</v>
      </c>
      <c r="AQ673" s="91" t="s">
        <v>79</v>
      </c>
      <c r="AV673" s="90">
        <f>AW673+AX673</f>
        <v>0</v>
      </c>
      <c r="AW673" s="90">
        <f>F673*AO673</f>
        <v>0</v>
      </c>
      <c r="AX673" s="90">
        <f>F673*AP673</f>
        <v>0</v>
      </c>
      <c r="AY673" s="91" t="s">
        <v>633</v>
      </c>
      <c r="AZ673" s="91" t="s">
        <v>1641</v>
      </c>
      <c r="BA673" s="154" t="s">
        <v>1649</v>
      </c>
      <c r="BC673" s="90">
        <f>AW673+AX673</f>
        <v>0</v>
      </c>
      <c r="BD673" s="90">
        <f>G673/(100-BE673)*100</f>
        <v>548</v>
      </c>
      <c r="BE673" s="90">
        <v>0</v>
      </c>
      <c r="BF673" s="90">
        <f>L673</f>
        <v>0</v>
      </c>
      <c r="BH673" s="90">
        <f>F673*AO673</f>
        <v>0</v>
      </c>
      <c r="BI673" s="90">
        <f>F673*AP673</f>
        <v>0</v>
      </c>
      <c r="BJ673" s="90">
        <f>F673*G673</f>
        <v>0</v>
      </c>
    </row>
    <row r="674" spans="1:62" ht="12.75" hidden="1">
      <c r="A674" s="88" t="s">
        <v>1910</v>
      </c>
      <c r="B674" s="88" t="s">
        <v>61</v>
      </c>
      <c r="C674" s="88" t="s">
        <v>250</v>
      </c>
      <c r="D674" s="88" t="s">
        <v>427</v>
      </c>
      <c r="E674" s="88" t="s">
        <v>608</v>
      </c>
      <c r="F674" s="90"/>
      <c r="G674" s="90">
        <v>1230</v>
      </c>
      <c r="H674" s="90">
        <f>F674*AO674</f>
        <v>0</v>
      </c>
      <c r="I674" s="90">
        <f>F674*AP674</f>
        <v>0</v>
      </c>
      <c r="J674" s="90">
        <f>F674*G674</f>
        <v>0</v>
      </c>
      <c r="K674" s="90">
        <v>0.0286</v>
      </c>
      <c r="L674" s="90">
        <f>F674*K674</f>
        <v>0</v>
      </c>
      <c r="M674" s="91" t="s">
        <v>622</v>
      </c>
      <c r="O674" s="90"/>
      <c r="P674" s="90"/>
      <c r="Z674" s="90">
        <f>IF(AQ674="5",BJ674,0)</f>
        <v>0</v>
      </c>
      <c r="AB674" s="90">
        <f>IF(AQ674="1",BH674,0)</f>
        <v>0</v>
      </c>
      <c r="AC674" s="90">
        <f>IF(AQ674="1",BI674,0)</f>
        <v>0</v>
      </c>
      <c r="AD674" s="90">
        <f>IF(AQ674="7",BH674,0)</f>
        <v>0</v>
      </c>
      <c r="AE674" s="90">
        <f>IF(AQ674="7",BI674,0)</f>
        <v>0</v>
      </c>
      <c r="AF674" s="90">
        <f>IF(AQ674="2",BH674,0)</f>
        <v>0</v>
      </c>
      <c r="AG674" s="90">
        <f>IF(AQ674="2",BI674,0)</f>
        <v>0</v>
      </c>
      <c r="AH674" s="90">
        <f>IF(AQ674="0",BJ674,0)</f>
        <v>0</v>
      </c>
      <c r="AI674" s="154" t="s">
        <v>61</v>
      </c>
      <c r="AJ674" s="90">
        <f>IF(AN674=0,J674,0)</f>
        <v>0</v>
      </c>
      <c r="AK674" s="90">
        <f>IF(AN674=15,J674,0)</f>
        <v>0</v>
      </c>
      <c r="AL674" s="90">
        <f>IF(AN674=21,J674,0)</f>
        <v>0</v>
      </c>
      <c r="AN674" s="90">
        <v>15</v>
      </c>
      <c r="AO674" s="90">
        <f>G674*0.356243902439024</f>
        <v>438.1799999999995</v>
      </c>
      <c r="AP674" s="90">
        <f>G674*(1-0.356243902439024)</f>
        <v>791.8200000000004</v>
      </c>
      <c r="AQ674" s="91" t="s">
        <v>79</v>
      </c>
      <c r="AV674" s="90">
        <f>AW674+AX674</f>
        <v>0</v>
      </c>
      <c r="AW674" s="90">
        <f>F674*AO674</f>
        <v>0</v>
      </c>
      <c r="AX674" s="90">
        <f>F674*AP674</f>
        <v>0</v>
      </c>
      <c r="AY674" s="91" t="s">
        <v>633</v>
      </c>
      <c r="AZ674" s="91" t="s">
        <v>1641</v>
      </c>
      <c r="BA674" s="154" t="s">
        <v>1649</v>
      </c>
      <c r="BC674" s="90">
        <f>AW674+AX674</f>
        <v>0</v>
      </c>
      <c r="BD674" s="90">
        <f>G674/(100-BE674)*100</f>
        <v>1230</v>
      </c>
      <c r="BE674" s="90">
        <v>0</v>
      </c>
      <c r="BF674" s="90">
        <f>L674</f>
        <v>0</v>
      </c>
      <c r="BH674" s="90">
        <f>F674*AO674</f>
        <v>0</v>
      </c>
      <c r="BI674" s="90">
        <f>F674*AP674</f>
        <v>0</v>
      </c>
      <c r="BJ674" s="90">
        <f>F674*G674</f>
        <v>0</v>
      </c>
    </row>
    <row r="675" spans="1:62" ht="12.75" hidden="1">
      <c r="A675" s="88" t="s">
        <v>1911</v>
      </c>
      <c r="B675" s="88" t="s">
        <v>61</v>
      </c>
      <c r="C675" s="88" t="s">
        <v>251</v>
      </c>
      <c r="D675" s="88" t="s">
        <v>429</v>
      </c>
      <c r="E675" s="88" t="s">
        <v>606</v>
      </c>
      <c r="F675" s="90"/>
      <c r="G675" s="90">
        <v>1107.84</v>
      </c>
      <c r="H675" s="90">
        <f>F675*AO675</f>
        <v>0</v>
      </c>
      <c r="I675" s="90">
        <f>F675*AP675</f>
        <v>0</v>
      </c>
      <c r="J675" s="90">
        <f>F675*G675</f>
        <v>0</v>
      </c>
      <c r="K675" s="90">
        <v>0.0016</v>
      </c>
      <c r="L675" s="90">
        <f>F675*K675</f>
        <v>0</v>
      </c>
      <c r="M675" s="91" t="s">
        <v>622</v>
      </c>
      <c r="O675" s="90"/>
      <c r="P675" s="90"/>
      <c r="Z675" s="90">
        <f>IF(AQ675="5",BJ675,0)</f>
        <v>0</v>
      </c>
      <c r="AB675" s="90">
        <f>IF(AQ675="1",BH675,0)</f>
        <v>0</v>
      </c>
      <c r="AC675" s="90">
        <f>IF(AQ675="1",BI675,0)</f>
        <v>0</v>
      </c>
      <c r="AD675" s="90">
        <f>IF(AQ675="7",BH675,0)</f>
        <v>0</v>
      </c>
      <c r="AE675" s="90">
        <f>IF(AQ675="7",BI675,0)</f>
        <v>0</v>
      </c>
      <c r="AF675" s="90">
        <f>IF(AQ675="2",BH675,0)</f>
        <v>0</v>
      </c>
      <c r="AG675" s="90">
        <f>IF(AQ675="2",BI675,0)</f>
        <v>0</v>
      </c>
      <c r="AH675" s="90">
        <f>IF(AQ675="0",BJ675,0)</f>
        <v>0</v>
      </c>
      <c r="AI675" s="154" t="s">
        <v>61</v>
      </c>
      <c r="AJ675" s="90">
        <f>IF(AN675=0,J675,0)</f>
        <v>0</v>
      </c>
      <c r="AK675" s="90">
        <f>IF(AN675=15,J675,0)</f>
        <v>0</v>
      </c>
      <c r="AL675" s="90">
        <f>IF(AN675=21,J675,0)</f>
        <v>0</v>
      </c>
      <c r="AN675" s="90">
        <v>15</v>
      </c>
      <c r="AO675" s="90">
        <f>G675*0.608391103408434</f>
        <v>673.9999999999995</v>
      </c>
      <c r="AP675" s="90">
        <f>G675*(1-0.608391103408434)</f>
        <v>433.8400000000004</v>
      </c>
      <c r="AQ675" s="91" t="s">
        <v>79</v>
      </c>
      <c r="AV675" s="90">
        <f>AW675+AX675</f>
        <v>0</v>
      </c>
      <c r="AW675" s="90">
        <f>F675*AO675</f>
        <v>0</v>
      </c>
      <c r="AX675" s="90">
        <f>F675*AP675</f>
        <v>0</v>
      </c>
      <c r="AY675" s="91" t="s">
        <v>633</v>
      </c>
      <c r="AZ675" s="91" t="s">
        <v>1641</v>
      </c>
      <c r="BA675" s="154" t="s">
        <v>1649</v>
      </c>
      <c r="BC675" s="90">
        <f>AW675+AX675</f>
        <v>0</v>
      </c>
      <c r="BD675" s="90">
        <f>G675/(100-BE675)*100</f>
        <v>1107.84</v>
      </c>
      <c r="BE675" s="90">
        <v>0</v>
      </c>
      <c r="BF675" s="90">
        <f>L675</f>
        <v>0</v>
      </c>
      <c r="BH675" s="90">
        <f>F675*AO675</f>
        <v>0</v>
      </c>
      <c r="BI675" s="90">
        <f>F675*AP675</f>
        <v>0</v>
      </c>
      <c r="BJ675" s="90">
        <f>F675*G675</f>
        <v>0</v>
      </c>
    </row>
    <row r="676" spans="1:62" ht="12.75" hidden="1">
      <c r="A676" s="88" t="s">
        <v>1912</v>
      </c>
      <c r="B676" s="88" t="s">
        <v>61</v>
      </c>
      <c r="C676" s="88" t="s">
        <v>252</v>
      </c>
      <c r="D676" s="88" t="s">
        <v>431</v>
      </c>
      <c r="E676" s="88" t="s">
        <v>609</v>
      </c>
      <c r="F676" s="90"/>
      <c r="G676" s="90">
        <v>147</v>
      </c>
      <c r="H676" s="90">
        <f>F676*AO676</f>
        <v>0</v>
      </c>
      <c r="I676" s="90">
        <f>F676*AP676</f>
        <v>0</v>
      </c>
      <c r="J676" s="90">
        <f>F676*G676</f>
        <v>0</v>
      </c>
      <c r="K676" s="90">
        <v>0.00102</v>
      </c>
      <c r="L676" s="90">
        <f>F676*K676</f>
        <v>0</v>
      </c>
      <c r="M676" s="91" t="s">
        <v>622</v>
      </c>
      <c r="O676" s="90"/>
      <c r="P676" s="90"/>
      <c r="Z676" s="90">
        <f>IF(AQ676="5",BJ676,0)</f>
        <v>0</v>
      </c>
      <c r="AB676" s="90">
        <f>IF(AQ676="1",BH676,0)</f>
        <v>0</v>
      </c>
      <c r="AC676" s="90">
        <f>IF(AQ676="1",BI676,0)</f>
        <v>0</v>
      </c>
      <c r="AD676" s="90">
        <f>IF(AQ676="7",BH676,0)</f>
        <v>0</v>
      </c>
      <c r="AE676" s="90">
        <f>IF(AQ676="7",BI676,0)</f>
        <v>0</v>
      </c>
      <c r="AF676" s="90">
        <f>IF(AQ676="2",BH676,0)</f>
        <v>0</v>
      </c>
      <c r="AG676" s="90">
        <f>IF(AQ676="2",BI676,0)</f>
        <v>0</v>
      </c>
      <c r="AH676" s="90">
        <f>IF(AQ676="0",BJ676,0)</f>
        <v>0</v>
      </c>
      <c r="AI676" s="154" t="s">
        <v>61</v>
      </c>
      <c r="AJ676" s="90">
        <f>IF(AN676=0,J676,0)</f>
        <v>0</v>
      </c>
      <c r="AK676" s="90">
        <f>IF(AN676=15,J676,0)</f>
        <v>0</v>
      </c>
      <c r="AL676" s="90">
        <f>IF(AN676=21,J676,0)</f>
        <v>0</v>
      </c>
      <c r="AN676" s="90">
        <v>15</v>
      </c>
      <c r="AO676" s="90">
        <f>G676*0.142925170068027</f>
        <v>21.009999999999966</v>
      </c>
      <c r="AP676" s="90">
        <f>G676*(1-0.142925170068027)</f>
        <v>125.99000000000004</v>
      </c>
      <c r="AQ676" s="91" t="s">
        <v>79</v>
      </c>
      <c r="AV676" s="90">
        <f>AW676+AX676</f>
        <v>0</v>
      </c>
      <c r="AW676" s="90">
        <f>F676*AO676</f>
        <v>0</v>
      </c>
      <c r="AX676" s="90">
        <f>F676*AP676</f>
        <v>0</v>
      </c>
      <c r="AY676" s="91" t="s">
        <v>633</v>
      </c>
      <c r="AZ676" s="91" t="s">
        <v>1641</v>
      </c>
      <c r="BA676" s="154" t="s">
        <v>1649</v>
      </c>
      <c r="BC676" s="90">
        <f>AW676+AX676</f>
        <v>0</v>
      </c>
      <c r="BD676" s="90">
        <f>G676/(100-BE676)*100</f>
        <v>147</v>
      </c>
      <c r="BE676" s="90">
        <v>0</v>
      </c>
      <c r="BF676" s="90">
        <f>L676</f>
        <v>0</v>
      </c>
      <c r="BH676" s="90">
        <f>F676*AO676</f>
        <v>0</v>
      </c>
      <c r="BI676" s="90">
        <f>F676*AP676</f>
        <v>0</v>
      </c>
      <c r="BJ676" s="90">
        <f>F676*G676</f>
        <v>0</v>
      </c>
    </row>
    <row r="677" spans="1:62" ht="12.75" hidden="1">
      <c r="A677" s="88" t="s">
        <v>1913</v>
      </c>
      <c r="B677" s="88" t="s">
        <v>61</v>
      </c>
      <c r="C677" s="88" t="s">
        <v>947</v>
      </c>
      <c r="D677" s="88" t="s">
        <v>1228</v>
      </c>
      <c r="E677" s="88" t="s">
        <v>608</v>
      </c>
      <c r="F677" s="90"/>
      <c r="G677" s="90">
        <v>1296.9</v>
      </c>
      <c r="H677" s="90">
        <f>F677*AO677</f>
        <v>0</v>
      </c>
      <c r="I677" s="90">
        <f>F677*AP677</f>
        <v>0</v>
      </c>
      <c r="J677" s="90">
        <f>F677*G677</f>
        <v>0</v>
      </c>
      <c r="K677" s="90">
        <v>0.03925</v>
      </c>
      <c r="L677" s="90">
        <f>F677*K677</f>
        <v>0</v>
      </c>
      <c r="M677" s="91" t="s">
        <v>622</v>
      </c>
      <c r="O677" s="90"/>
      <c r="P677" s="90"/>
      <c r="Z677" s="90">
        <f>IF(AQ677="5",BJ677,0)</f>
        <v>0</v>
      </c>
      <c r="AB677" s="90">
        <f>IF(AQ677="1",BH677,0)</f>
        <v>0</v>
      </c>
      <c r="AC677" s="90">
        <f>IF(AQ677="1",BI677,0)</f>
        <v>0</v>
      </c>
      <c r="AD677" s="90">
        <f>IF(AQ677="7",BH677,0)</f>
        <v>0</v>
      </c>
      <c r="AE677" s="90">
        <f>IF(AQ677="7",BI677,0)</f>
        <v>0</v>
      </c>
      <c r="AF677" s="90">
        <f>IF(AQ677="2",BH677,0)</f>
        <v>0</v>
      </c>
      <c r="AG677" s="90">
        <f>IF(AQ677="2",BI677,0)</f>
        <v>0</v>
      </c>
      <c r="AH677" s="90">
        <f>IF(AQ677="0",BJ677,0)</f>
        <v>0</v>
      </c>
      <c r="AI677" s="154" t="s">
        <v>61</v>
      </c>
      <c r="AJ677" s="90">
        <f>IF(AN677=0,J677,0)</f>
        <v>0</v>
      </c>
      <c r="AK677" s="90">
        <f>IF(AN677=15,J677,0)</f>
        <v>0</v>
      </c>
      <c r="AL677" s="90">
        <f>IF(AN677=21,J677,0)</f>
        <v>0</v>
      </c>
      <c r="AN677" s="90">
        <v>15</v>
      </c>
      <c r="AO677" s="90">
        <f>G677*0.518119527311599</f>
        <v>671.9492149704129</v>
      </c>
      <c r="AP677" s="90">
        <f>G677*(1-0.518119527311599)</f>
        <v>624.9507850295872</v>
      </c>
      <c r="AQ677" s="91" t="s">
        <v>79</v>
      </c>
      <c r="AV677" s="90">
        <f>AW677+AX677</f>
        <v>0</v>
      </c>
      <c r="AW677" s="90">
        <f>F677*AO677</f>
        <v>0</v>
      </c>
      <c r="AX677" s="90">
        <f>F677*AP677</f>
        <v>0</v>
      </c>
      <c r="AY677" s="91" t="s">
        <v>633</v>
      </c>
      <c r="AZ677" s="91" t="s">
        <v>1641</v>
      </c>
      <c r="BA677" s="154" t="s">
        <v>1649</v>
      </c>
      <c r="BC677" s="90">
        <f>AW677+AX677</f>
        <v>0</v>
      </c>
      <c r="BD677" s="90">
        <f>G677/(100-BE677)*100</f>
        <v>1296.9</v>
      </c>
      <c r="BE677" s="90">
        <v>0</v>
      </c>
      <c r="BF677" s="90">
        <f>L677</f>
        <v>0</v>
      </c>
      <c r="BH677" s="90">
        <f>F677*AO677</f>
        <v>0</v>
      </c>
      <c r="BI677" s="90">
        <f>F677*AP677</f>
        <v>0</v>
      </c>
      <c r="BJ677" s="90">
        <f>F677*G677</f>
        <v>0</v>
      </c>
    </row>
    <row r="678" spans="1:47" ht="12.75" hidden="1">
      <c r="A678" s="159"/>
      <c r="B678" s="160" t="s">
        <v>61</v>
      </c>
      <c r="C678" s="160" t="s">
        <v>139</v>
      </c>
      <c r="D678" s="160" t="s">
        <v>434</v>
      </c>
      <c r="E678" s="159" t="s">
        <v>57</v>
      </c>
      <c r="F678" s="159"/>
      <c r="G678" s="159" t="s">
        <v>57</v>
      </c>
      <c r="H678" s="161">
        <f>SUM(H679:H687)</f>
        <v>0</v>
      </c>
      <c r="I678" s="161">
        <f>SUM(I679:I687)</f>
        <v>0</v>
      </c>
      <c r="J678" s="161">
        <f>SUM(J679:J687)</f>
        <v>0</v>
      </c>
      <c r="K678" s="154"/>
      <c r="L678" s="161">
        <f>SUM(L679:L687)</f>
        <v>0</v>
      </c>
      <c r="M678" s="154"/>
      <c r="O678" s="159"/>
      <c r="P678" s="159"/>
      <c r="AI678" s="154" t="s">
        <v>61</v>
      </c>
      <c r="AS678" s="161">
        <f>SUM(AJ679:AJ687)</f>
        <v>0</v>
      </c>
      <c r="AT678" s="161">
        <f>SUM(AK679:AK687)</f>
        <v>0</v>
      </c>
      <c r="AU678" s="161">
        <f>SUM(AL679:AL687)</f>
        <v>0</v>
      </c>
    </row>
    <row r="679" spans="1:62" ht="12.75" hidden="1">
      <c r="A679" s="88" t="s">
        <v>1914</v>
      </c>
      <c r="B679" s="88" t="s">
        <v>61</v>
      </c>
      <c r="C679" s="88" t="s">
        <v>1548</v>
      </c>
      <c r="D679" s="88" t="s">
        <v>1592</v>
      </c>
      <c r="E679" s="88" t="s">
        <v>608</v>
      </c>
      <c r="F679" s="90"/>
      <c r="G679" s="90">
        <v>1080</v>
      </c>
      <c r="H679" s="90">
        <f aca="true" t="shared" si="684" ref="H679:H687">F679*AO679</f>
        <v>0</v>
      </c>
      <c r="I679" s="90">
        <f aca="true" t="shared" si="685" ref="I679:I687">F679*AP679</f>
        <v>0</v>
      </c>
      <c r="J679" s="90">
        <f aca="true" t="shared" si="686" ref="J679:J687">F679*G679</f>
        <v>0</v>
      </c>
      <c r="K679" s="90">
        <v>0.0181</v>
      </c>
      <c r="L679" s="90">
        <f aca="true" t="shared" si="687" ref="L679:L687">F679*K679</f>
        <v>0</v>
      </c>
      <c r="M679" s="91" t="s">
        <v>622</v>
      </c>
      <c r="O679" s="90"/>
      <c r="P679" s="90"/>
      <c r="Z679" s="90">
        <f aca="true" t="shared" si="688" ref="Z679:Z687">IF(AQ679="5",BJ679,0)</f>
        <v>0</v>
      </c>
      <c r="AB679" s="90">
        <f aca="true" t="shared" si="689" ref="AB679:AB687">IF(AQ679="1",BH679,0)</f>
        <v>0</v>
      </c>
      <c r="AC679" s="90">
        <f aca="true" t="shared" si="690" ref="AC679:AC687">IF(AQ679="1",BI679,0)</f>
        <v>0</v>
      </c>
      <c r="AD679" s="90">
        <f aca="true" t="shared" si="691" ref="AD679:AD687">IF(AQ679="7",BH679,0)</f>
        <v>0</v>
      </c>
      <c r="AE679" s="90">
        <f aca="true" t="shared" si="692" ref="AE679:AE687">IF(AQ679="7",BI679,0)</f>
        <v>0</v>
      </c>
      <c r="AF679" s="90">
        <f aca="true" t="shared" si="693" ref="AF679:AF687">IF(AQ679="2",BH679,0)</f>
        <v>0</v>
      </c>
      <c r="AG679" s="90">
        <f aca="true" t="shared" si="694" ref="AG679:AG687">IF(AQ679="2",BI679,0)</f>
        <v>0</v>
      </c>
      <c r="AH679" s="90">
        <f aca="true" t="shared" si="695" ref="AH679:AH687">IF(AQ679="0",BJ679,0)</f>
        <v>0</v>
      </c>
      <c r="AI679" s="154" t="s">
        <v>61</v>
      </c>
      <c r="AJ679" s="90">
        <f aca="true" t="shared" si="696" ref="AJ679:AJ687">IF(AN679=0,J679,0)</f>
        <v>0</v>
      </c>
      <c r="AK679" s="90">
        <f aca="true" t="shared" si="697" ref="AK679:AK687">IF(AN679=15,J679,0)</f>
        <v>0</v>
      </c>
      <c r="AL679" s="90">
        <f aca="true" t="shared" si="698" ref="AL679:AL687">IF(AN679=21,J679,0)</f>
        <v>0</v>
      </c>
      <c r="AN679" s="90">
        <v>15</v>
      </c>
      <c r="AO679" s="90">
        <f>G679*0.230759259259259</f>
        <v>249.21999999999971</v>
      </c>
      <c r="AP679" s="90">
        <f>G679*(1-0.230759259259259)</f>
        <v>830.7800000000003</v>
      </c>
      <c r="AQ679" s="91" t="s">
        <v>79</v>
      </c>
      <c r="AV679" s="90">
        <f aca="true" t="shared" si="699" ref="AV679:AV687">AW679+AX679</f>
        <v>0</v>
      </c>
      <c r="AW679" s="90">
        <f aca="true" t="shared" si="700" ref="AW679:AW687">F679*AO679</f>
        <v>0</v>
      </c>
      <c r="AX679" s="90">
        <f aca="true" t="shared" si="701" ref="AX679:AX687">F679*AP679</f>
        <v>0</v>
      </c>
      <c r="AY679" s="91" t="s">
        <v>634</v>
      </c>
      <c r="AZ679" s="91" t="s">
        <v>1642</v>
      </c>
      <c r="BA679" s="154" t="s">
        <v>1649</v>
      </c>
      <c r="BC679" s="90">
        <f aca="true" t="shared" si="702" ref="BC679:BC687">AW679+AX679</f>
        <v>0</v>
      </c>
      <c r="BD679" s="90">
        <f aca="true" t="shared" si="703" ref="BD679:BD687">G679/(100-BE679)*100</f>
        <v>1080</v>
      </c>
      <c r="BE679" s="90">
        <v>0</v>
      </c>
      <c r="BF679" s="90">
        <f aca="true" t="shared" si="704" ref="BF679:BF687">L679</f>
        <v>0</v>
      </c>
      <c r="BH679" s="90">
        <f aca="true" t="shared" si="705" ref="BH679:BH687">F679*AO679</f>
        <v>0</v>
      </c>
      <c r="BI679" s="90">
        <f aca="true" t="shared" si="706" ref="BI679:BI687">F679*AP679</f>
        <v>0</v>
      </c>
      <c r="BJ679" s="90">
        <f aca="true" t="shared" si="707" ref="BJ679:BJ687">F679*G679</f>
        <v>0</v>
      </c>
    </row>
    <row r="680" spans="1:62" ht="12.75" hidden="1">
      <c r="A680" s="88" t="s">
        <v>1915</v>
      </c>
      <c r="B680" s="88" t="s">
        <v>61</v>
      </c>
      <c r="C680" s="88" t="s">
        <v>255</v>
      </c>
      <c r="D680" s="88" t="s">
        <v>437</v>
      </c>
      <c r="E680" s="88" t="s">
        <v>609</v>
      </c>
      <c r="F680" s="90"/>
      <c r="G680" s="90">
        <v>63.7</v>
      </c>
      <c r="H680" s="90">
        <f t="shared" si="684"/>
        <v>0</v>
      </c>
      <c r="I680" s="90">
        <f t="shared" si="685"/>
        <v>0</v>
      </c>
      <c r="J680" s="90">
        <f t="shared" si="686"/>
        <v>0</v>
      </c>
      <c r="K680" s="90">
        <v>0.00238</v>
      </c>
      <c r="L680" s="90">
        <f t="shared" si="687"/>
        <v>0</v>
      </c>
      <c r="M680" s="91" t="s">
        <v>622</v>
      </c>
      <c r="O680" s="90"/>
      <c r="P680" s="90"/>
      <c r="Z680" s="90">
        <f t="shared" si="688"/>
        <v>0</v>
      </c>
      <c r="AB680" s="90">
        <f t="shared" si="689"/>
        <v>0</v>
      </c>
      <c r="AC680" s="90">
        <f t="shared" si="690"/>
        <v>0</v>
      </c>
      <c r="AD680" s="90">
        <f t="shared" si="691"/>
        <v>0</v>
      </c>
      <c r="AE680" s="90">
        <f t="shared" si="692"/>
        <v>0</v>
      </c>
      <c r="AF680" s="90">
        <f t="shared" si="693"/>
        <v>0</v>
      </c>
      <c r="AG680" s="90">
        <f t="shared" si="694"/>
        <v>0</v>
      </c>
      <c r="AH680" s="90">
        <f t="shared" si="695"/>
        <v>0</v>
      </c>
      <c r="AI680" s="154" t="s">
        <v>61</v>
      </c>
      <c r="AJ680" s="90">
        <f t="shared" si="696"/>
        <v>0</v>
      </c>
      <c r="AK680" s="90">
        <f t="shared" si="697"/>
        <v>0</v>
      </c>
      <c r="AL680" s="90">
        <f t="shared" si="698"/>
        <v>0</v>
      </c>
      <c r="AN680" s="90">
        <v>15</v>
      </c>
      <c r="AO680" s="90">
        <f>G680*0.110518053375196</f>
        <v>7.039999999999986</v>
      </c>
      <c r="AP680" s="90">
        <f>G680*(1-0.110518053375196)</f>
        <v>56.66000000000002</v>
      </c>
      <c r="AQ680" s="91" t="s">
        <v>79</v>
      </c>
      <c r="AV680" s="90">
        <f t="shared" si="699"/>
        <v>0</v>
      </c>
      <c r="AW680" s="90">
        <f t="shared" si="700"/>
        <v>0</v>
      </c>
      <c r="AX680" s="90">
        <f t="shared" si="701"/>
        <v>0</v>
      </c>
      <c r="AY680" s="91" t="s">
        <v>634</v>
      </c>
      <c r="AZ680" s="91" t="s">
        <v>1642</v>
      </c>
      <c r="BA680" s="154" t="s">
        <v>1649</v>
      </c>
      <c r="BC680" s="90">
        <f t="shared" si="702"/>
        <v>0</v>
      </c>
      <c r="BD680" s="90">
        <f t="shared" si="703"/>
        <v>63.7</v>
      </c>
      <c r="BE680" s="90">
        <v>0</v>
      </c>
      <c r="BF680" s="90">
        <f t="shared" si="704"/>
        <v>0</v>
      </c>
      <c r="BH680" s="90">
        <f t="shared" si="705"/>
        <v>0</v>
      </c>
      <c r="BI680" s="90">
        <f t="shared" si="706"/>
        <v>0</v>
      </c>
      <c r="BJ680" s="90">
        <f t="shared" si="707"/>
        <v>0</v>
      </c>
    </row>
    <row r="681" spans="1:62" ht="12.75" hidden="1">
      <c r="A681" s="88" t="s">
        <v>1916</v>
      </c>
      <c r="B681" s="88" t="s">
        <v>61</v>
      </c>
      <c r="C681" s="88" t="s">
        <v>1549</v>
      </c>
      <c r="D681" s="88" t="s">
        <v>1593</v>
      </c>
      <c r="E681" s="88" t="s">
        <v>608</v>
      </c>
      <c r="F681" s="90"/>
      <c r="G681" s="90">
        <v>74.8</v>
      </c>
      <c r="H681" s="90">
        <f t="shared" si="684"/>
        <v>0</v>
      </c>
      <c r="I681" s="90">
        <f t="shared" si="685"/>
        <v>0</v>
      </c>
      <c r="J681" s="90">
        <f t="shared" si="686"/>
        <v>0</v>
      </c>
      <c r="K681" s="90">
        <v>0.00355</v>
      </c>
      <c r="L681" s="90">
        <f t="shared" si="687"/>
        <v>0</v>
      </c>
      <c r="M681" s="91" t="s">
        <v>622</v>
      </c>
      <c r="O681" s="90"/>
      <c r="P681" s="90"/>
      <c r="Z681" s="90">
        <f t="shared" si="688"/>
        <v>0</v>
      </c>
      <c r="AB681" s="90">
        <f t="shared" si="689"/>
        <v>0</v>
      </c>
      <c r="AC681" s="90">
        <f t="shared" si="690"/>
        <v>0</v>
      </c>
      <c r="AD681" s="90">
        <f t="shared" si="691"/>
        <v>0</v>
      </c>
      <c r="AE681" s="90">
        <f t="shared" si="692"/>
        <v>0</v>
      </c>
      <c r="AF681" s="90">
        <f t="shared" si="693"/>
        <v>0</v>
      </c>
      <c r="AG681" s="90">
        <f t="shared" si="694"/>
        <v>0</v>
      </c>
      <c r="AH681" s="90">
        <f t="shared" si="695"/>
        <v>0</v>
      </c>
      <c r="AI681" s="154" t="s">
        <v>61</v>
      </c>
      <c r="AJ681" s="90">
        <f t="shared" si="696"/>
        <v>0</v>
      </c>
      <c r="AK681" s="90">
        <f t="shared" si="697"/>
        <v>0</v>
      </c>
      <c r="AL681" s="90">
        <f t="shared" si="698"/>
        <v>0</v>
      </c>
      <c r="AN681" s="90">
        <v>15</v>
      </c>
      <c r="AO681" s="90">
        <f>G681*0.142647115403888</f>
        <v>10.670004232210822</v>
      </c>
      <c r="AP681" s="90">
        <f>G681*(1-0.142647115403888)</f>
        <v>64.12999576778918</v>
      </c>
      <c r="AQ681" s="91" t="s">
        <v>79</v>
      </c>
      <c r="AV681" s="90">
        <f t="shared" si="699"/>
        <v>0</v>
      </c>
      <c r="AW681" s="90">
        <f t="shared" si="700"/>
        <v>0</v>
      </c>
      <c r="AX681" s="90">
        <f t="shared" si="701"/>
        <v>0</v>
      </c>
      <c r="AY681" s="91" t="s">
        <v>634</v>
      </c>
      <c r="AZ681" s="91" t="s">
        <v>1642</v>
      </c>
      <c r="BA681" s="154" t="s">
        <v>1649</v>
      </c>
      <c r="BC681" s="90">
        <f t="shared" si="702"/>
        <v>0</v>
      </c>
      <c r="BD681" s="90">
        <f t="shared" si="703"/>
        <v>74.8</v>
      </c>
      <c r="BE681" s="90">
        <v>0</v>
      </c>
      <c r="BF681" s="90">
        <f t="shared" si="704"/>
        <v>0</v>
      </c>
      <c r="BH681" s="90">
        <f t="shared" si="705"/>
        <v>0</v>
      </c>
      <c r="BI681" s="90">
        <f t="shared" si="706"/>
        <v>0</v>
      </c>
      <c r="BJ681" s="90">
        <f t="shared" si="707"/>
        <v>0</v>
      </c>
    </row>
    <row r="682" spans="1:62" ht="12.75" hidden="1">
      <c r="A682" s="88" t="s">
        <v>1917</v>
      </c>
      <c r="B682" s="88" t="s">
        <v>61</v>
      </c>
      <c r="C682" s="88" t="s">
        <v>1550</v>
      </c>
      <c r="D682" s="88" t="s">
        <v>1594</v>
      </c>
      <c r="E682" s="88" t="s">
        <v>608</v>
      </c>
      <c r="F682" s="90"/>
      <c r="G682" s="90">
        <v>168</v>
      </c>
      <c r="H682" s="90">
        <f t="shared" si="684"/>
        <v>0</v>
      </c>
      <c r="I682" s="90">
        <f t="shared" si="685"/>
        <v>0</v>
      </c>
      <c r="J682" s="90">
        <f t="shared" si="686"/>
        <v>0</v>
      </c>
      <c r="K682" s="90">
        <v>0.01038</v>
      </c>
      <c r="L682" s="90">
        <f t="shared" si="687"/>
        <v>0</v>
      </c>
      <c r="M682" s="91" t="s">
        <v>622</v>
      </c>
      <c r="O682" s="90"/>
      <c r="P682" s="90"/>
      <c r="Z682" s="90">
        <f t="shared" si="688"/>
        <v>0</v>
      </c>
      <c r="AB682" s="90">
        <f t="shared" si="689"/>
        <v>0</v>
      </c>
      <c r="AC682" s="90">
        <f t="shared" si="690"/>
        <v>0</v>
      </c>
      <c r="AD682" s="90">
        <f t="shared" si="691"/>
        <v>0</v>
      </c>
      <c r="AE682" s="90">
        <f t="shared" si="692"/>
        <v>0</v>
      </c>
      <c r="AF682" s="90">
        <f t="shared" si="693"/>
        <v>0</v>
      </c>
      <c r="AG682" s="90">
        <f t="shared" si="694"/>
        <v>0</v>
      </c>
      <c r="AH682" s="90">
        <f t="shared" si="695"/>
        <v>0</v>
      </c>
      <c r="AI682" s="154" t="s">
        <v>61</v>
      </c>
      <c r="AJ682" s="90">
        <f t="shared" si="696"/>
        <v>0</v>
      </c>
      <c r="AK682" s="90">
        <f t="shared" si="697"/>
        <v>0</v>
      </c>
      <c r="AL682" s="90">
        <f t="shared" si="698"/>
        <v>0</v>
      </c>
      <c r="AN682" s="90">
        <v>15</v>
      </c>
      <c r="AO682" s="90">
        <f>G682*0.261666700272723</f>
        <v>43.96000564581746</v>
      </c>
      <c r="AP682" s="90">
        <f>G682*(1-0.261666700272723)</f>
        <v>124.03999435418254</v>
      </c>
      <c r="AQ682" s="91" t="s">
        <v>79</v>
      </c>
      <c r="AV682" s="90">
        <f t="shared" si="699"/>
        <v>0</v>
      </c>
      <c r="AW682" s="90">
        <f t="shared" si="700"/>
        <v>0</v>
      </c>
      <c r="AX682" s="90">
        <f t="shared" si="701"/>
        <v>0</v>
      </c>
      <c r="AY682" s="91" t="s">
        <v>634</v>
      </c>
      <c r="AZ682" s="91" t="s">
        <v>1642</v>
      </c>
      <c r="BA682" s="154" t="s">
        <v>1649</v>
      </c>
      <c r="BC682" s="90">
        <f t="shared" si="702"/>
        <v>0</v>
      </c>
      <c r="BD682" s="90">
        <f t="shared" si="703"/>
        <v>168</v>
      </c>
      <c r="BE682" s="90">
        <v>0</v>
      </c>
      <c r="BF682" s="90">
        <f t="shared" si="704"/>
        <v>0</v>
      </c>
      <c r="BH682" s="90">
        <f t="shared" si="705"/>
        <v>0</v>
      </c>
      <c r="BI682" s="90">
        <f t="shared" si="706"/>
        <v>0</v>
      </c>
      <c r="BJ682" s="90">
        <f t="shared" si="707"/>
        <v>0</v>
      </c>
    </row>
    <row r="683" spans="1:62" ht="12.75" hidden="1">
      <c r="A683" s="88" t="s">
        <v>1918</v>
      </c>
      <c r="B683" s="88" t="s">
        <v>61</v>
      </c>
      <c r="C683" s="88" t="s">
        <v>257</v>
      </c>
      <c r="D683" s="88" t="s">
        <v>440</v>
      </c>
      <c r="E683" s="88" t="s">
        <v>608</v>
      </c>
      <c r="F683" s="90"/>
      <c r="G683" s="90">
        <v>396.49</v>
      </c>
      <c r="H683" s="90">
        <f t="shared" si="684"/>
        <v>0</v>
      </c>
      <c r="I683" s="90">
        <f t="shared" si="685"/>
        <v>0</v>
      </c>
      <c r="J683" s="90">
        <f t="shared" si="686"/>
        <v>0</v>
      </c>
      <c r="K683" s="90">
        <v>0.06002</v>
      </c>
      <c r="L683" s="90">
        <f t="shared" si="687"/>
        <v>0</v>
      </c>
      <c r="M683" s="91" t="s">
        <v>622</v>
      </c>
      <c r="O683" s="90"/>
      <c r="P683" s="90"/>
      <c r="Z683" s="90">
        <f t="shared" si="688"/>
        <v>0</v>
      </c>
      <c r="AB683" s="90">
        <f t="shared" si="689"/>
        <v>0</v>
      </c>
      <c r="AC683" s="90">
        <f t="shared" si="690"/>
        <v>0</v>
      </c>
      <c r="AD683" s="90">
        <f t="shared" si="691"/>
        <v>0</v>
      </c>
      <c r="AE683" s="90">
        <f t="shared" si="692"/>
        <v>0</v>
      </c>
      <c r="AF683" s="90">
        <f t="shared" si="693"/>
        <v>0</v>
      </c>
      <c r="AG683" s="90">
        <f t="shared" si="694"/>
        <v>0</v>
      </c>
      <c r="AH683" s="90">
        <f t="shared" si="695"/>
        <v>0</v>
      </c>
      <c r="AI683" s="154" t="s">
        <v>61</v>
      </c>
      <c r="AJ683" s="90">
        <f t="shared" si="696"/>
        <v>0</v>
      </c>
      <c r="AK683" s="90">
        <f t="shared" si="697"/>
        <v>0</v>
      </c>
      <c r="AL683" s="90">
        <f t="shared" si="698"/>
        <v>0</v>
      </c>
      <c r="AN683" s="90">
        <v>15</v>
      </c>
      <c r="AO683" s="90">
        <f>G683*0.157507108540178</f>
        <v>62.449993465095176</v>
      </c>
      <c r="AP683" s="90">
        <f>G683*(1-0.157507108540178)</f>
        <v>334.0400065349048</v>
      </c>
      <c r="AQ683" s="91" t="s">
        <v>79</v>
      </c>
      <c r="AV683" s="90">
        <f t="shared" si="699"/>
        <v>0</v>
      </c>
      <c r="AW683" s="90">
        <f t="shared" si="700"/>
        <v>0</v>
      </c>
      <c r="AX683" s="90">
        <f t="shared" si="701"/>
        <v>0</v>
      </c>
      <c r="AY683" s="91" t="s">
        <v>634</v>
      </c>
      <c r="AZ683" s="91" t="s">
        <v>1642</v>
      </c>
      <c r="BA683" s="154" t="s">
        <v>1649</v>
      </c>
      <c r="BC683" s="90">
        <f t="shared" si="702"/>
        <v>0</v>
      </c>
      <c r="BD683" s="90">
        <f t="shared" si="703"/>
        <v>396.49</v>
      </c>
      <c r="BE683" s="90">
        <v>0</v>
      </c>
      <c r="BF683" s="90">
        <f t="shared" si="704"/>
        <v>0</v>
      </c>
      <c r="BH683" s="90">
        <f t="shared" si="705"/>
        <v>0</v>
      </c>
      <c r="BI683" s="90">
        <f t="shared" si="706"/>
        <v>0</v>
      </c>
      <c r="BJ683" s="90">
        <f t="shared" si="707"/>
        <v>0</v>
      </c>
    </row>
    <row r="684" spans="1:62" ht="12.75" hidden="1">
      <c r="A684" s="88" t="s">
        <v>1919</v>
      </c>
      <c r="B684" s="88" t="s">
        <v>61</v>
      </c>
      <c r="C684" s="88" t="s">
        <v>258</v>
      </c>
      <c r="D684" s="88" t="s">
        <v>442</v>
      </c>
      <c r="E684" s="88" t="s">
        <v>608</v>
      </c>
      <c r="F684" s="90"/>
      <c r="G684" s="90">
        <v>51.7</v>
      </c>
      <c r="H684" s="90">
        <f t="shared" si="684"/>
        <v>0</v>
      </c>
      <c r="I684" s="90">
        <f t="shared" si="685"/>
        <v>0</v>
      </c>
      <c r="J684" s="90">
        <f t="shared" si="686"/>
        <v>0</v>
      </c>
      <c r="K684" s="90">
        <v>0.01119</v>
      </c>
      <c r="L684" s="90">
        <f t="shared" si="687"/>
        <v>0</v>
      </c>
      <c r="M684" s="91" t="s">
        <v>622</v>
      </c>
      <c r="O684" s="90"/>
      <c r="P684" s="90"/>
      <c r="Z684" s="90">
        <f t="shared" si="688"/>
        <v>0</v>
      </c>
      <c r="AB684" s="90">
        <f t="shared" si="689"/>
        <v>0</v>
      </c>
      <c r="AC684" s="90">
        <f t="shared" si="690"/>
        <v>0</v>
      </c>
      <c r="AD684" s="90">
        <f t="shared" si="691"/>
        <v>0</v>
      </c>
      <c r="AE684" s="90">
        <f t="shared" si="692"/>
        <v>0</v>
      </c>
      <c r="AF684" s="90">
        <f t="shared" si="693"/>
        <v>0</v>
      </c>
      <c r="AG684" s="90">
        <f t="shared" si="694"/>
        <v>0</v>
      </c>
      <c r="AH684" s="90">
        <f t="shared" si="695"/>
        <v>0</v>
      </c>
      <c r="AI684" s="154" t="s">
        <v>61</v>
      </c>
      <c r="AJ684" s="90">
        <f t="shared" si="696"/>
        <v>0</v>
      </c>
      <c r="AK684" s="90">
        <f t="shared" si="697"/>
        <v>0</v>
      </c>
      <c r="AL684" s="90">
        <f t="shared" si="698"/>
        <v>0</v>
      </c>
      <c r="AN684" s="90">
        <v>15</v>
      </c>
      <c r="AO684" s="90">
        <f>G684*0.206189593953567</f>
        <v>10.660002007399415</v>
      </c>
      <c r="AP684" s="90">
        <f>G684*(1-0.206189593953567)</f>
        <v>41.03999799260059</v>
      </c>
      <c r="AQ684" s="91" t="s">
        <v>79</v>
      </c>
      <c r="AV684" s="90">
        <f t="shared" si="699"/>
        <v>0</v>
      </c>
      <c r="AW684" s="90">
        <f t="shared" si="700"/>
        <v>0</v>
      </c>
      <c r="AX684" s="90">
        <f t="shared" si="701"/>
        <v>0</v>
      </c>
      <c r="AY684" s="91" t="s">
        <v>634</v>
      </c>
      <c r="AZ684" s="91" t="s">
        <v>1642</v>
      </c>
      <c r="BA684" s="154" t="s">
        <v>1649</v>
      </c>
      <c r="BC684" s="90">
        <f t="shared" si="702"/>
        <v>0</v>
      </c>
      <c r="BD684" s="90">
        <f t="shared" si="703"/>
        <v>51.7</v>
      </c>
      <c r="BE684" s="90">
        <v>0</v>
      </c>
      <c r="BF684" s="90">
        <f t="shared" si="704"/>
        <v>0</v>
      </c>
      <c r="BH684" s="90">
        <f t="shared" si="705"/>
        <v>0</v>
      </c>
      <c r="BI684" s="90">
        <f t="shared" si="706"/>
        <v>0</v>
      </c>
      <c r="BJ684" s="90">
        <f t="shared" si="707"/>
        <v>0</v>
      </c>
    </row>
    <row r="685" spans="1:62" ht="12.75" hidden="1">
      <c r="A685" s="88" t="s">
        <v>1920</v>
      </c>
      <c r="B685" s="88" t="s">
        <v>61</v>
      </c>
      <c r="C685" s="88" t="s">
        <v>259</v>
      </c>
      <c r="D685" s="88" t="s">
        <v>443</v>
      </c>
      <c r="E685" s="88" t="s">
        <v>608</v>
      </c>
      <c r="F685" s="90"/>
      <c r="G685" s="90">
        <v>326.5</v>
      </c>
      <c r="H685" s="90">
        <f t="shared" si="684"/>
        <v>0</v>
      </c>
      <c r="I685" s="90">
        <f t="shared" si="685"/>
        <v>0</v>
      </c>
      <c r="J685" s="90">
        <f t="shared" si="686"/>
        <v>0</v>
      </c>
      <c r="K685" s="90">
        <v>0.02888</v>
      </c>
      <c r="L685" s="90">
        <f t="shared" si="687"/>
        <v>0</v>
      </c>
      <c r="M685" s="91" t="s">
        <v>622</v>
      </c>
      <c r="O685" s="90"/>
      <c r="P685" s="90"/>
      <c r="Z685" s="90">
        <f t="shared" si="688"/>
        <v>0</v>
      </c>
      <c r="AB685" s="90">
        <f t="shared" si="689"/>
        <v>0</v>
      </c>
      <c r="AC685" s="90">
        <f t="shared" si="690"/>
        <v>0</v>
      </c>
      <c r="AD685" s="90">
        <f t="shared" si="691"/>
        <v>0</v>
      </c>
      <c r="AE685" s="90">
        <f t="shared" si="692"/>
        <v>0</v>
      </c>
      <c r="AF685" s="90">
        <f t="shared" si="693"/>
        <v>0</v>
      </c>
      <c r="AG685" s="90">
        <f t="shared" si="694"/>
        <v>0</v>
      </c>
      <c r="AH685" s="90">
        <f t="shared" si="695"/>
        <v>0</v>
      </c>
      <c r="AI685" s="154" t="s">
        <v>61</v>
      </c>
      <c r="AJ685" s="90">
        <f t="shared" si="696"/>
        <v>0</v>
      </c>
      <c r="AK685" s="90">
        <f t="shared" si="697"/>
        <v>0</v>
      </c>
      <c r="AL685" s="90">
        <f t="shared" si="698"/>
        <v>0</v>
      </c>
      <c r="AN685" s="90">
        <v>15</v>
      </c>
      <c r="AO685" s="90">
        <f>G685*0.324471683942144</f>
        <v>105.94000480711001</v>
      </c>
      <c r="AP685" s="90">
        <f>G685*(1-0.324471683942144)</f>
        <v>220.55999519289</v>
      </c>
      <c r="AQ685" s="91" t="s">
        <v>79</v>
      </c>
      <c r="AV685" s="90">
        <f t="shared" si="699"/>
        <v>0</v>
      </c>
      <c r="AW685" s="90">
        <f t="shared" si="700"/>
        <v>0</v>
      </c>
      <c r="AX685" s="90">
        <f t="shared" si="701"/>
        <v>0</v>
      </c>
      <c r="AY685" s="91" t="s">
        <v>634</v>
      </c>
      <c r="AZ685" s="91" t="s">
        <v>1642</v>
      </c>
      <c r="BA685" s="154" t="s">
        <v>1649</v>
      </c>
      <c r="BC685" s="90">
        <f t="shared" si="702"/>
        <v>0</v>
      </c>
      <c r="BD685" s="90">
        <f t="shared" si="703"/>
        <v>326.5</v>
      </c>
      <c r="BE685" s="90">
        <v>0</v>
      </c>
      <c r="BF685" s="90">
        <f t="shared" si="704"/>
        <v>0</v>
      </c>
      <c r="BH685" s="90">
        <f t="shared" si="705"/>
        <v>0</v>
      </c>
      <c r="BI685" s="90">
        <f t="shared" si="706"/>
        <v>0</v>
      </c>
      <c r="BJ685" s="90">
        <f t="shared" si="707"/>
        <v>0</v>
      </c>
    </row>
    <row r="686" spans="1:62" ht="12.75" hidden="1">
      <c r="A686" s="88" t="s">
        <v>1921</v>
      </c>
      <c r="B686" s="88" t="s">
        <v>61</v>
      </c>
      <c r="C686" s="88" t="s">
        <v>260</v>
      </c>
      <c r="D686" s="88" t="s">
        <v>445</v>
      </c>
      <c r="E686" s="88" t="s">
        <v>608</v>
      </c>
      <c r="F686" s="90"/>
      <c r="G686" s="90">
        <v>190.5</v>
      </c>
      <c r="H686" s="90">
        <f t="shared" si="684"/>
        <v>0</v>
      </c>
      <c r="I686" s="90">
        <f t="shared" si="685"/>
        <v>0</v>
      </c>
      <c r="J686" s="90">
        <f t="shared" si="686"/>
        <v>0</v>
      </c>
      <c r="K686" s="90">
        <v>0.00367</v>
      </c>
      <c r="L686" s="90">
        <f t="shared" si="687"/>
        <v>0</v>
      </c>
      <c r="M686" s="91" t="s">
        <v>622</v>
      </c>
      <c r="O686" s="90"/>
      <c r="P686" s="90"/>
      <c r="Z686" s="90">
        <f t="shared" si="688"/>
        <v>0</v>
      </c>
      <c r="AB686" s="90">
        <f t="shared" si="689"/>
        <v>0</v>
      </c>
      <c r="AC686" s="90">
        <f t="shared" si="690"/>
        <v>0</v>
      </c>
      <c r="AD686" s="90">
        <f t="shared" si="691"/>
        <v>0</v>
      </c>
      <c r="AE686" s="90">
        <f t="shared" si="692"/>
        <v>0</v>
      </c>
      <c r="AF686" s="90">
        <f t="shared" si="693"/>
        <v>0</v>
      </c>
      <c r="AG686" s="90">
        <f t="shared" si="694"/>
        <v>0</v>
      </c>
      <c r="AH686" s="90">
        <f t="shared" si="695"/>
        <v>0</v>
      </c>
      <c r="AI686" s="154" t="s">
        <v>61</v>
      </c>
      <c r="AJ686" s="90">
        <f t="shared" si="696"/>
        <v>0</v>
      </c>
      <c r="AK686" s="90">
        <f t="shared" si="697"/>
        <v>0</v>
      </c>
      <c r="AL686" s="90">
        <f t="shared" si="698"/>
        <v>0</v>
      </c>
      <c r="AN686" s="90">
        <v>15</v>
      </c>
      <c r="AO686" s="90">
        <f>G686*0.283412080999962</f>
        <v>53.99000143049276</v>
      </c>
      <c r="AP686" s="90">
        <f>G686*(1-0.283412080999962)</f>
        <v>136.50999856950722</v>
      </c>
      <c r="AQ686" s="91" t="s">
        <v>79</v>
      </c>
      <c r="AV686" s="90">
        <f t="shared" si="699"/>
        <v>0</v>
      </c>
      <c r="AW686" s="90">
        <f t="shared" si="700"/>
        <v>0</v>
      </c>
      <c r="AX686" s="90">
        <f t="shared" si="701"/>
        <v>0</v>
      </c>
      <c r="AY686" s="91" t="s">
        <v>634</v>
      </c>
      <c r="AZ686" s="91" t="s">
        <v>1642</v>
      </c>
      <c r="BA686" s="154" t="s">
        <v>1649</v>
      </c>
      <c r="BC686" s="90">
        <f t="shared" si="702"/>
        <v>0</v>
      </c>
      <c r="BD686" s="90">
        <f t="shared" si="703"/>
        <v>190.5</v>
      </c>
      <c r="BE686" s="90">
        <v>0</v>
      </c>
      <c r="BF686" s="90">
        <f t="shared" si="704"/>
        <v>0</v>
      </c>
      <c r="BH686" s="90">
        <f t="shared" si="705"/>
        <v>0</v>
      </c>
      <c r="BI686" s="90">
        <f t="shared" si="706"/>
        <v>0</v>
      </c>
      <c r="BJ686" s="90">
        <f t="shared" si="707"/>
        <v>0</v>
      </c>
    </row>
    <row r="687" spans="1:62" ht="12.75" hidden="1">
      <c r="A687" s="88" t="s">
        <v>1922</v>
      </c>
      <c r="B687" s="88" t="s">
        <v>61</v>
      </c>
      <c r="C687" s="88" t="s">
        <v>261</v>
      </c>
      <c r="D687" s="88" t="s">
        <v>447</v>
      </c>
      <c r="E687" s="88" t="s">
        <v>609</v>
      </c>
      <c r="F687" s="90"/>
      <c r="G687" s="90">
        <v>78</v>
      </c>
      <c r="H687" s="90">
        <f t="shared" si="684"/>
        <v>0</v>
      </c>
      <c r="I687" s="90">
        <f t="shared" si="685"/>
        <v>0</v>
      </c>
      <c r="J687" s="90">
        <f t="shared" si="686"/>
        <v>0</v>
      </c>
      <c r="K687" s="90">
        <v>0.00215</v>
      </c>
      <c r="L687" s="90">
        <f t="shared" si="687"/>
        <v>0</v>
      </c>
      <c r="M687" s="91" t="s">
        <v>622</v>
      </c>
      <c r="O687" s="90"/>
      <c r="P687" s="90"/>
      <c r="Z687" s="90">
        <f t="shared" si="688"/>
        <v>0</v>
      </c>
      <c r="AB687" s="90">
        <f t="shared" si="689"/>
        <v>0</v>
      </c>
      <c r="AC687" s="90">
        <f t="shared" si="690"/>
        <v>0</v>
      </c>
      <c r="AD687" s="90">
        <f t="shared" si="691"/>
        <v>0</v>
      </c>
      <c r="AE687" s="90">
        <f t="shared" si="692"/>
        <v>0</v>
      </c>
      <c r="AF687" s="90">
        <f t="shared" si="693"/>
        <v>0</v>
      </c>
      <c r="AG687" s="90">
        <f t="shared" si="694"/>
        <v>0</v>
      </c>
      <c r="AH687" s="90">
        <f t="shared" si="695"/>
        <v>0</v>
      </c>
      <c r="AI687" s="154" t="s">
        <v>61</v>
      </c>
      <c r="AJ687" s="90">
        <f t="shared" si="696"/>
        <v>0</v>
      </c>
      <c r="AK687" s="90">
        <f t="shared" si="697"/>
        <v>0</v>
      </c>
      <c r="AL687" s="90">
        <f t="shared" si="698"/>
        <v>0</v>
      </c>
      <c r="AN687" s="90">
        <v>15</v>
      </c>
      <c r="AO687" s="90">
        <f>G687*0.312307692307692</f>
        <v>24.359999999999978</v>
      </c>
      <c r="AP687" s="90">
        <f>G687*(1-0.312307692307692)</f>
        <v>53.64000000000003</v>
      </c>
      <c r="AQ687" s="91" t="s">
        <v>79</v>
      </c>
      <c r="AV687" s="90">
        <f t="shared" si="699"/>
        <v>0</v>
      </c>
      <c r="AW687" s="90">
        <f t="shared" si="700"/>
        <v>0</v>
      </c>
      <c r="AX687" s="90">
        <f t="shared" si="701"/>
        <v>0</v>
      </c>
      <c r="AY687" s="91" t="s">
        <v>634</v>
      </c>
      <c r="AZ687" s="91" t="s">
        <v>1642</v>
      </c>
      <c r="BA687" s="154" t="s">
        <v>1649</v>
      </c>
      <c r="BC687" s="90">
        <f t="shared" si="702"/>
        <v>0</v>
      </c>
      <c r="BD687" s="90">
        <f t="shared" si="703"/>
        <v>78</v>
      </c>
      <c r="BE687" s="90">
        <v>0</v>
      </c>
      <c r="BF687" s="90">
        <f t="shared" si="704"/>
        <v>0</v>
      </c>
      <c r="BH687" s="90">
        <f t="shared" si="705"/>
        <v>0</v>
      </c>
      <c r="BI687" s="90">
        <f t="shared" si="706"/>
        <v>0</v>
      </c>
      <c r="BJ687" s="90">
        <f t="shared" si="707"/>
        <v>0</v>
      </c>
    </row>
    <row r="688" spans="1:47" ht="12.75" hidden="1">
      <c r="A688" s="159"/>
      <c r="B688" s="160" t="s">
        <v>61</v>
      </c>
      <c r="C688" s="160" t="s">
        <v>141</v>
      </c>
      <c r="D688" s="160" t="s">
        <v>449</v>
      </c>
      <c r="E688" s="159" t="s">
        <v>57</v>
      </c>
      <c r="F688" s="159"/>
      <c r="G688" s="159" t="s">
        <v>57</v>
      </c>
      <c r="H688" s="161">
        <f>SUM(H689:H689)</f>
        <v>0</v>
      </c>
      <c r="I688" s="161">
        <f>SUM(I689:I689)</f>
        <v>0</v>
      </c>
      <c r="J688" s="161">
        <f>SUM(J689:J689)</f>
        <v>0</v>
      </c>
      <c r="K688" s="154"/>
      <c r="L688" s="161">
        <f>SUM(L689:L689)</f>
        <v>0</v>
      </c>
      <c r="M688" s="154"/>
      <c r="O688" s="159"/>
      <c r="P688" s="159"/>
      <c r="AI688" s="154" t="s">
        <v>61</v>
      </c>
      <c r="AS688" s="161">
        <f>SUM(AJ689:AJ689)</f>
        <v>0</v>
      </c>
      <c r="AT688" s="161">
        <f>SUM(AK689:AK689)</f>
        <v>0</v>
      </c>
      <c r="AU688" s="161">
        <f>SUM(AL689:AL689)</f>
        <v>0</v>
      </c>
    </row>
    <row r="689" spans="1:62" ht="12.75" hidden="1">
      <c r="A689" s="88" t="s">
        <v>1923</v>
      </c>
      <c r="B689" s="88" t="s">
        <v>61</v>
      </c>
      <c r="C689" s="88" t="s">
        <v>262</v>
      </c>
      <c r="D689" s="88" t="s">
        <v>450</v>
      </c>
      <c r="E689" s="88" t="s">
        <v>608</v>
      </c>
      <c r="F689" s="90"/>
      <c r="G689" s="90">
        <v>1151</v>
      </c>
      <c r="H689" s="90">
        <f>F689*AO689</f>
        <v>0</v>
      </c>
      <c r="I689" s="90">
        <f>F689*AP689</f>
        <v>0</v>
      </c>
      <c r="J689" s="90">
        <f>F689*G689</f>
        <v>0</v>
      </c>
      <c r="K689" s="90">
        <v>0.1614</v>
      </c>
      <c r="L689" s="90">
        <f>F689*K689</f>
        <v>0</v>
      </c>
      <c r="M689" s="91" t="s">
        <v>622</v>
      </c>
      <c r="O689" s="90"/>
      <c r="P689" s="90"/>
      <c r="Z689" s="90">
        <f>IF(AQ689="5",BJ689,0)</f>
        <v>0</v>
      </c>
      <c r="AB689" s="90">
        <f>IF(AQ689="1",BH689,0)</f>
        <v>0</v>
      </c>
      <c r="AC689" s="90">
        <f>IF(AQ689="1",BI689,0)</f>
        <v>0</v>
      </c>
      <c r="AD689" s="90">
        <f>IF(AQ689="7",BH689,0)</f>
        <v>0</v>
      </c>
      <c r="AE689" s="90">
        <f>IF(AQ689="7",BI689,0)</f>
        <v>0</v>
      </c>
      <c r="AF689" s="90">
        <f>IF(AQ689="2",BH689,0)</f>
        <v>0</v>
      </c>
      <c r="AG689" s="90">
        <f>IF(AQ689="2",BI689,0)</f>
        <v>0</v>
      </c>
      <c r="AH689" s="90">
        <f>IF(AQ689="0",BJ689,0)</f>
        <v>0</v>
      </c>
      <c r="AI689" s="154" t="s">
        <v>61</v>
      </c>
      <c r="AJ689" s="90">
        <f>IF(AN689=0,J689,0)</f>
        <v>0</v>
      </c>
      <c r="AK689" s="90">
        <f>IF(AN689=15,J689,0)</f>
        <v>0</v>
      </c>
      <c r="AL689" s="90">
        <f>IF(AN689=21,J689,0)</f>
        <v>0</v>
      </c>
      <c r="AN689" s="90">
        <v>15</v>
      </c>
      <c r="AO689" s="90">
        <f>G689*0.710773240660295</f>
        <v>818.0999999999996</v>
      </c>
      <c r="AP689" s="90">
        <f>G689*(1-0.710773240660295)</f>
        <v>332.90000000000043</v>
      </c>
      <c r="AQ689" s="91" t="s">
        <v>79</v>
      </c>
      <c r="AV689" s="90">
        <f>AW689+AX689</f>
        <v>0</v>
      </c>
      <c r="AW689" s="90">
        <f>F689*AO689</f>
        <v>0</v>
      </c>
      <c r="AX689" s="90">
        <f>F689*AP689</f>
        <v>0</v>
      </c>
      <c r="AY689" s="91" t="s">
        <v>635</v>
      </c>
      <c r="AZ689" s="91" t="s">
        <v>1642</v>
      </c>
      <c r="BA689" s="154" t="s">
        <v>1649</v>
      </c>
      <c r="BC689" s="90">
        <f>AW689+AX689</f>
        <v>0</v>
      </c>
      <c r="BD689" s="90">
        <f>G689/(100-BE689)*100</f>
        <v>1151</v>
      </c>
      <c r="BE689" s="90">
        <v>0</v>
      </c>
      <c r="BF689" s="90">
        <f>L689</f>
        <v>0</v>
      </c>
      <c r="BH689" s="90">
        <f>F689*AO689</f>
        <v>0</v>
      </c>
      <c r="BI689" s="90">
        <f>F689*AP689</f>
        <v>0</v>
      </c>
      <c r="BJ689" s="90">
        <f>F689*G689</f>
        <v>0</v>
      </c>
    </row>
    <row r="690" spans="1:47" ht="12.75" hidden="1">
      <c r="A690" s="159"/>
      <c r="B690" s="160" t="s">
        <v>61</v>
      </c>
      <c r="C690" s="160" t="s">
        <v>172</v>
      </c>
      <c r="D690" s="160" t="s">
        <v>453</v>
      </c>
      <c r="E690" s="159" t="s">
        <v>57</v>
      </c>
      <c r="F690" s="159"/>
      <c r="G690" s="159" t="s">
        <v>57</v>
      </c>
      <c r="H690" s="161">
        <f>SUM(H691:H694)</f>
        <v>0</v>
      </c>
      <c r="I690" s="161">
        <f>SUM(I691:I694)</f>
        <v>0</v>
      </c>
      <c r="J690" s="161">
        <f>SUM(J691:J694)</f>
        <v>0</v>
      </c>
      <c r="K690" s="154"/>
      <c r="L690" s="161">
        <f>SUM(L691:L694)</f>
        <v>0</v>
      </c>
      <c r="M690" s="154"/>
      <c r="O690" s="159"/>
      <c r="P690" s="159"/>
      <c r="AI690" s="154" t="s">
        <v>61</v>
      </c>
      <c r="AS690" s="161">
        <f>SUM(AJ691:AJ694)</f>
        <v>0</v>
      </c>
      <c r="AT690" s="161">
        <f>SUM(AK691:AK694)</f>
        <v>0</v>
      </c>
      <c r="AU690" s="161">
        <f>SUM(AL691:AL694)</f>
        <v>0</v>
      </c>
    </row>
    <row r="691" spans="1:62" ht="12.75" hidden="1">
      <c r="A691" s="88" t="s">
        <v>1924</v>
      </c>
      <c r="B691" s="88" t="s">
        <v>61</v>
      </c>
      <c r="C691" s="88" t="s">
        <v>264</v>
      </c>
      <c r="D691" s="88" t="s">
        <v>454</v>
      </c>
      <c r="E691" s="88" t="s">
        <v>608</v>
      </c>
      <c r="F691" s="90"/>
      <c r="G691" s="90">
        <v>108.49</v>
      </c>
      <c r="H691" s="90">
        <f>F691*AO691</f>
        <v>0</v>
      </c>
      <c r="I691" s="90">
        <f>F691*AP691</f>
        <v>0</v>
      </c>
      <c r="J691" s="90">
        <f>F691*G691</f>
        <v>0</v>
      </c>
      <c r="K691" s="90">
        <v>0.00158</v>
      </c>
      <c r="L691" s="90">
        <f>F691*K691</f>
        <v>0</v>
      </c>
      <c r="M691" s="91" t="s">
        <v>622</v>
      </c>
      <c r="O691" s="90"/>
      <c r="P691" s="90"/>
      <c r="Z691" s="90">
        <f>IF(AQ691="5",BJ691,0)</f>
        <v>0</v>
      </c>
      <c r="AB691" s="90">
        <f>IF(AQ691="1",BH691,0)</f>
        <v>0</v>
      </c>
      <c r="AC691" s="90">
        <f>IF(AQ691="1",BI691,0)</f>
        <v>0</v>
      </c>
      <c r="AD691" s="90">
        <f>IF(AQ691="7",BH691,0)</f>
        <v>0</v>
      </c>
      <c r="AE691" s="90">
        <f>IF(AQ691="7",BI691,0)</f>
        <v>0</v>
      </c>
      <c r="AF691" s="90">
        <f>IF(AQ691="2",BH691,0)</f>
        <v>0</v>
      </c>
      <c r="AG691" s="90">
        <f>IF(AQ691="2",BI691,0)</f>
        <v>0</v>
      </c>
      <c r="AH691" s="90">
        <f>IF(AQ691="0",BJ691,0)</f>
        <v>0</v>
      </c>
      <c r="AI691" s="154" t="s">
        <v>61</v>
      </c>
      <c r="AJ691" s="90">
        <f>IF(AN691=0,J691,0)</f>
        <v>0</v>
      </c>
      <c r="AK691" s="90">
        <f>IF(AN691=15,J691,0)</f>
        <v>0</v>
      </c>
      <c r="AL691" s="90">
        <f>IF(AN691=21,J691,0)</f>
        <v>0</v>
      </c>
      <c r="AN691" s="90">
        <v>15</v>
      </c>
      <c r="AO691" s="90">
        <f>G691*0.4197621900636</f>
        <v>45.539999999999964</v>
      </c>
      <c r="AP691" s="90">
        <f>G691*(1-0.4197621900636)</f>
        <v>62.95000000000004</v>
      </c>
      <c r="AQ691" s="91" t="s">
        <v>79</v>
      </c>
      <c r="AV691" s="90">
        <f>AW691+AX691</f>
        <v>0</v>
      </c>
      <c r="AW691" s="90">
        <f>F691*AO691</f>
        <v>0</v>
      </c>
      <c r="AX691" s="90">
        <f>F691*AP691</f>
        <v>0</v>
      </c>
      <c r="AY691" s="91" t="s">
        <v>636</v>
      </c>
      <c r="AZ691" s="91" t="s">
        <v>1643</v>
      </c>
      <c r="BA691" s="154" t="s">
        <v>1649</v>
      </c>
      <c r="BC691" s="90">
        <f>AW691+AX691</f>
        <v>0</v>
      </c>
      <c r="BD691" s="90">
        <f>G691/(100-BE691)*100</f>
        <v>108.49</v>
      </c>
      <c r="BE691" s="90">
        <v>0</v>
      </c>
      <c r="BF691" s="90">
        <f>L691</f>
        <v>0</v>
      </c>
      <c r="BH691" s="90">
        <f>F691*AO691</f>
        <v>0</v>
      </c>
      <c r="BI691" s="90">
        <f>F691*AP691</f>
        <v>0</v>
      </c>
      <c r="BJ691" s="90">
        <f>F691*G691</f>
        <v>0</v>
      </c>
    </row>
    <row r="692" spans="1:62" ht="12.75" hidden="1">
      <c r="A692" s="88" t="s">
        <v>1925</v>
      </c>
      <c r="B692" s="88" t="s">
        <v>61</v>
      </c>
      <c r="C692" s="88" t="s">
        <v>265</v>
      </c>
      <c r="D692" s="88" t="s">
        <v>455</v>
      </c>
      <c r="E692" s="88" t="s">
        <v>610</v>
      </c>
      <c r="F692" s="90"/>
      <c r="G692" s="90">
        <v>11.8</v>
      </c>
      <c r="H692" s="90">
        <f>F692*AO692</f>
        <v>0</v>
      </c>
      <c r="I692" s="90">
        <f>F692*AP692</f>
        <v>0</v>
      </c>
      <c r="J692" s="90">
        <f>F692*G692</f>
        <v>0</v>
      </c>
      <c r="K692" s="90">
        <v>0.00735</v>
      </c>
      <c r="L692" s="90">
        <f>F692*K692</f>
        <v>0</v>
      </c>
      <c r="M692" s="91" t="s">
        <v>622</v>
      </c>
      <c r="O692" s="90"/>
      <c r="P692" s="90"/>
      <c r="Z692" s="90">
        <f>IF(AQ692="5",BJ692,0)</f>
        <v>0</v>
      </c>
      <c r="AB692" s="90">
        <f>IF(AQ692="1",BH692,0)</f>
        <v>0</v>
      </c>
      <c r="AC692" s="90">
        <f>IF(AQ692="1",BI692,0)</f>
        <v>0</v>
      </c>
      <c r="AD692" s="90">
        <f>IF(AQ692="7",BH692,0)</f>
        <v>0</v>
      </c>
      <c r="AE692" s="90">
        <f>IF(AQ692="7",BI692,0)</f>
        <v>0</v>
      </c>
      <c r="AF692" s="90">
        <f>IF(AQ692="2",BH692,0)</f>
        <v>0</v>
      </c>
      <c r="AG692" s="90">
        <f>IF(AQ692="2",BI692,0)</f>
        <v>0</v>
      </c>
      <c r="AH692" s="90">
        <f>IF(AQ692="0",BJ692,0)</f>
        <v>0</v>
      </c>
      <c r="AI692" s="154" t="s">
        <v>61</v>
      </c>
      <c r="AJ692" s="90">
        <f>IF(AN692=0,J692,0)</f>
        <v>0</v>
      </c>
      <c r="AK692" s="90">
        <f>IF(AN692=15,J692,0)</f>
        <v>0</v>
      </c>
      <c r="AL692" s="90">
        <f>IF(AN692=21,J692,0)</f>
        <v>0</v>
      </c>
      <c r="AN692" s="90">
        <v>15</v>
      </c>
      <c r="AO692" s="90">
        <f>G692*0.00169489821563207</f>
        <v>0.019999798944458427</v>
      </c>
      <c r="AP692" s="90">
        <f>G692*(1-0.00169489821563207)</f>
        <v>11.780000201055543</v>
      </c>
      <c r="AQ692" s="91" t="s">
        <v>79</v>
      </c>
      <c r="AV692" s="90">
        <f>AW692+AX692</f>
        <v>0</v>
      </c>
      <c r="AW692" s="90">
        <f>F692*AO692</f>
        <v>0</v>
      </c>
      <c r="AX692" s="90">
        <f>F692*AP692</f>
        <v>0</v>
      </c>
      <c r="AY692" s="91" t="s">
        <v>636</v>
      </c>
      <c r="AZ692" s="91" t="s">
        <v>1643</v>
      </c>
      <c r="BA692" s="154" t="s">
        <v>1649</v>
      </c>
      <c r="BC692" s="90">
        <f>AW692+AX692</f>
        <v>0</v>
      </c>
      <c r="BD692" s="90">
        <f>G692/(100-BE692)*100</f>
        <v>11.8</v>
      </c>
      <c r="BE692" s="90">
        <v>0</v>
      </c>
      <c r="BF692" s="90">
        <f>L692</f>
        <v>0</v>
      </c>
      <c r="BH692" s="90">
        <f>F692*AO692</f>
        <v>0</v>
      </c>
      <c r="BI692" s="90">
        <f>F692*AP692</f>
        <v>0</v>
      </c>
      <c r="BJ692" s="90">
        <f>F692*G692</f>
        <v>0</v>
      </c>
    </row>
    <row r="693" spans="1:62" ht="12.75" hidden="1">
      <c r="A693" s="88" t="s">
        <v>1926</v>
      </c>
      <c r="B693" s="88" t="s">
        <v>61</v>
      </c>
      <c r="C693" s="88" t="s">
        <v>266</v>
      </c>
      <c r="D693" s="88" t="s">
        <v>456</v>
      </c>
      <c r="E693" s="88" t="s">
        <v>610</v>
      </c>
      <c r="F693" s="90"/>
      <c r="G693" s="90">
        <v>4.7</v>
      </c>
      <c r="H693" s="90">
        <f>F693*AO693</f>
        <v>0</v>
      </c>
      <c r="I693" s="90">
        <f>F693*AP693</f>
        <v>0</v>
      </c>
      <c r="J693" s="90">
        <f>F693*G693</f>
        <v>0</v>
      </c>
      <c r="K693" s="90">
        <v>0.00012</v>
      </c>
      <c r="L693" s="90">
        <f>F693*K693</f>
        <v>0</v>
      </c>
      <c r="M693" s="91" t="s">
        <v>622</v>
      </c>
      <c r="O693" s="90"/>
      <c r="P693" s="90"/>
      <c r="Z693" s="90">
        <f>IF(AQ693="5",BJ693,0)</f>
        <v>0</v>
      </c>
      <c r="AB693" s="90">
        <f>IF(AQ693="1",BH693,0)</f>
        <v>0</v>
      </c>
      <c r="AC693" s="90">
        <f>IF(AQ693="1",BI693,0)</f>
        <v>0</v>
      </c>
      <c r="AD693" s="90">
        <f>IF(AQ693="7",BH693,0)</f>
        <v>0</v>
      </c>
      <c r="AE693" s="90">
        <f>IF(AQ693="7",BI693,0)</f>
        <v>0</v>
      </c>
      <c r="AF693" s="90">
        <f>IF(AQ693="2",BH693,0)</f>
        <v>0</v>
      </c>
      <c r="AG693" s="90">
        <f>IF(AQ693="2",BI693,0)</f>
        <v>0</v>
      </c>
      <c r="AH693" s="90">
        <f>IF(AQ693="0",BJ693,0)</f>
        <v>0</v>
      </c>
      <c r="AI693" s="154" t="s">
        <v>61</v>
      </c>
      <c r="AJ693" s="90">
        <f>IF(AN693=0,J693,0)</f>
        <v>0</v>
      </c>
      <c r="AK693" s="90">
        <f>IF(AN693=15,J693,0)</f>
        <v>0</v>
      </c>
      <c r="AL693" s="90">
        <f>IF(AN693=21,J693,0)</f>
        <v>0</v>
      </c>
      <c r="AN693" s="90">
        <v>15</v>
      </c>
      <c r="AO693" s="90">
        <f>G693*0.929810701665825</f>
        <v>4.3701102978293775</v>
      </c>
      <c r="AP693" s="90">
        <f>G693*(1-0.929810701665825)</f>
        <v>0.3298897021706224</v>
      </c>
      <c r="AQ693" s="91" t="s">
        <v>79</v>
      </c>
      <c r="AV693" s="90">
        <f>AW693+AX693</f>
        <v>0</v>
      </c>
      <c r="AW693" s="90">
        <f>F693*AO693</f>
        <v>0</v>
      </c>
      <c r="AX693" s="90">
        <f>F693*AP693</f>
        <v>0</v>
      </c>
      <c r="AY693" s="91" t="s">
        <v>636</v>
      </c>
      <c r="AZ693" s="91" t="s">
        <v>1643</v>
      </c>
      <c r="BA693" s="154" t="s">
        <v>1649</v>
      </c>
      <c r="BC693" s="90">
        <f>AW693+AX693</f>
        <v>0</v>
      </c>
      <c r="BD693" s="90">
        <f>G693/(100-BE693)*100</f>
        <v>4.7</v>
      </c>
      <c r="BE693" s="90">
        <v>0</v>
      </c>
      <c r="BF693" s="90">
        <f>L693</f>
        <v>0</v>
      </c>
      <c r="BH693" s="90">
        <f>F693*AO693</f>
        <v>0</v>
      </c>
      <c r="BI693" s="90">
        <f>F693*AP693</f>
        <v>0</v>
      </c>
      <c r="BJ693" s="90">
        <f>F693*G693</f>
        <v>0</v>
      </c>
    </row>
    <row r="694" spans="1:62" ht="12.75" hidden="1">
      <c r="A694" s="88" t="s">
        <v>1927</v>
      </c>
      <c r="B694" s="88" t="s">
        <v>61</v>
      </c>
      <c r="C694" s="88" t="s">
        <v>267</v>
      </c>
      <c r="D694" s="88" t="s">
        <v>457</v>
      </c>
      <c r="E694" s="88" t="s">
        <v>610</v>
      </c>
      <c r="F694" s="90"/>
      <c r="G694" s="90">
        <v>6.9</v>
      </c>
      <c r="H694" s="90">
        <f>F694*AO694</f>
        <v>0</v>
      </c>
      <c r="I694" s="90">
        <f>F694*AP694</f>
        <v>0</v>
      </c>
      <c r="J694" s="90">
        <f>F694*G694</f>
        <v>0</v>
      </c>
      <c r="K694" s="90">
        <v>0</v>
      </c>
      <c r="L694" s="90">
        <f>F694*K694</f>
        <v>0</v>
      </c>
      <c r="M694" s="91" t="s">
        <v>622</v>
      </c>
      <c r="O694" s="90"/>
      <c r="P694" s="90"/>
      <c r="Z694" s="90">
        <f>IF(AQ694="5",BJ694,0)</f>
        <v>0</v>
      </c>
      <c r="AB694" s="90">
        <f>IF(AQ694="1",BH694,0)</f>
        <v>0</v>
      </c>
      <c r="AC694" s="90">
        <f>IF(AQ694="1",BI694,0)</f>
        <v>0</v>
      </c>
      <c r="AD694" s="90">
        <f>IF(AQ694="7",BH694,0)</f>
        <v>0</v>
      </c>
      <c r="AE694" s="90">
        <f>IF(AQ694="7",BI694,0)</f>
        <v>0</v>
      </c>
      <c r="AF694" s="90">
        <f>IF(AQ694="2",BH694,0)</f>
        <v>0</v>
      </c>
      <c r="AG694" s="90">
        <f>IF(AQ694="2",BI694,0)</f>
        <v>0</v>
      </c>
      <c r="AH694" s="90">
        <f>IF(AQ694="0",BJ694,0)</f>
        <v>0</v>
      </c>
      <c r="AI694" s="154" t="s">
        <v>61</v>
      </c>
      <c r="AJ694" s="90">
        <f>IF(AN694=0,J694,0)</f>
        <v>0</v>
      </c>
      <c r="AK694" s="90">
        <f>IF(AN694=15,J694,0)</f>
        <v>0</v>
      </c>
      <c r="AL694" s="90">
        <f>IF(AN694=21,J694,0)</f>
        <v>0</v>
      </c>
      <c r="AN694" s="90">
        <v>15</v>
      </c>
      <c r="AO694" s="90">
        <f>G694*0</f>
        <v>0</v>
      </c>
      <c r="AP694" s="90">
        <f>G694*(1-0)</f>
        <v>6.9</v>
      </c>
      <c r="AQ694" s="91" t="s">
        <v>79</v>
      </c>
      <c r="AV694" s="90">
        <f>AW694+AX694</f>
        <v>0</v>
      </c>
      <c r="AW694" s="90">
        <f>F694*AO694</f>
        <v>0</v>
      </c>
      <c r="AX694" s="90">
        <f>F694*AP694</f>
        <v>0</v>
      </c>
      <c r="AY694" s="91" t="s">
        <v>636</v>
      </c>
      <c r="AZ694" s="91" t="s">
        <v>1643</v>
      </c>
      <c r="BA694" s="154" t="s">
        <v>1649</v>
      </c>
      <c r="BC694" s="90">
        <f>AW694+AX694</f>
        <v>0</v>
      </c>
      <c r="BD694" s="90">
        <f>G694/(100-BE694)*100</f>
        <v>6.9</v>
      </c>
      <c r="BE694" s="90">
        <v>0</v>
      </c>
      <c r="BF694" s="90">
        <f>L694</f>
        <v>0</v>
      </c>
      <c r="BH694" s="90">
        <f>F694*AO694</f>
        <v>0</v>
      </c>
      <c r="BI694" s="90">
        <f>F694*AP694</f>
        <v>0</v>
      </c>
      <c r="BJ694" s="90">
        <f>F694*G694</f>
        <v>0</v>
      </c>
    </row>
    <row r="695" spans="1:47" ht="12.75" hidden="1">
      <c r="A695" s="159"/>
      <c r="B695" s="160" t="s">
        <v>61</v>
      </c>
      <c r="C695" s="160" t="s">
        <v>173</v>
      </c>
      <c r="D695" s="160" t="s">
        <v>458</v>
      </c>
      <c r="E695" s="159" t="s">
        <v>57</v>
      </c>
      <c r="F695" s="159"/>
      <c r="G695" s="159" t="s">
        <v>57</v>
      </c>
      <c r="H695" s="161">
        <f>SUM(H696:H699)</f>
        <v>0</v>
      </c>
      <c r="I695" s="161">
        <f>SUM(I696:I699)</f>
        <v>0</v>
      </c>
      <c r="J695" s="161">
        <f>SUM(J696:J699)</f>
        <v>0</v>
      </c>
      <c r="K695" s="154"/>
      <c r="L695" s="161">
        <f>SUM(L696:L699)</f>
        <v>0</v>
      </c>
      <c r="M695" s="154"/>
      <c r="O695" s="159"/>
      <c r="P695" s="159"/>
      <c r="AI695" s="154" t="s">
        <v>61</v>
      </c>
      <c r="AS695" s="161">
        <f>SUM(AJ696:AJ699)</f>
        <v>0</v>
      </c>
      <c r="AT695" s="161">
        <f>SUM(AK696:AK699)</f>
        <v>0</v>
      </c>
      <c r="AU695" s="161">
        <f>SUM(AL696:AL699)</f>
        <v>0</v>
      </c>
    </row>
    <row r="696" spans="1:62" ht="12.75" hidden="1">
      <c r="A696" s="88" t="s">
        <v>1928</v>
      </c>
      <c r="B696" s="88" t="s">
        <v>61</v>
      </c>
      <c r="C696" s="88" t="s">
        <v>268</v>
      </c>
      <c r="D696" s="88" t="s">
        <v>459</v>
      </c>
      <c r="E696" s="88" t="s">
        <v>608</v>
      </c>
      <c r="F696" s="90"/>
      <c r="G696" s="90">
        <v>86.5</v>
      </c>
      <c r="H696" s="90">
        <f>F696*AO696</f>
        <v>0</v>
      </c>
      <c r="I696" s="90">
        <f>F696*AP696</f>
        <v>0</v>
      </c>
      <c r="J696" s="90">
        <f>F696*G696</f>
        <v>0</v>
      </c>
      <c r="K696" s="90">
        <v>4E-05</v>
      </c>
      <c r="L696" s="90">
        <f>F696*K696</f>
        <v>0</v>
      </c>
      <c r="M696" s="91" t="s">
        <v>622</v>
      </c>
      <c r="O696" s="90"/>
      <c r="P696" s="90"/>
      <c r="Z696" s="90">
        <f>IF(AQ696="5",BJ696,0)</f>
        <v>0</v>
      </c>
      <c r="AB696" s="90">
        <f>IF(AQ696="1",BH696,0)</f>
        <v>0</v>
      </c>
      <c r="AC696" s="90">
        <f>IF(AQ696="1",BI696,0)</f>
        <v>0</v>
      </c>
      <c r="AD696" s="90">
        <f>IF(AQ696="7",BH696,0)</f>
        <v>0</v>
      </c>
      <c r="AE696" s="90">
        <f>IF(AQ696="7",BI696,0)</f>
        <v>0</v>
      </c>
      <c r="AF696" s="90">
        <f>IF(AQ696="2",BH696,0)</f>
        <v>0</v>
      </c>
      <c r="AG696" s="90">
        <f>IF(AQ696="2",BI696,0)</f>
        <v>0</v>
      </c>
      <c r="AH696" s="90">
        <f>IF(AQ696="0",BJ696,0)</f>
        <v>0</v>
      </c>
      <c r="AI696" s="154" t="s">
        <v>61</v>
      </c>
      <c r="AJ696" s="90">
        <f>IF(AN696=0,J696,0)</f>
        <v>0</v>
      </c>
      <c r="AK696" s="90">
        <f>IF(AN696=15,J696,0)</f>
        <v>0</v>
      </c>
      <c r="AL696" s="90">
        <f>IF(AN696=21,J696,0)</f>
        <v>0</v>
      </c>
      <c r="AN696" s="90">
        <v>15</v>
      </c>
      <c r="AO696" s="90">
        <f>G696*0.0165317919075145</f>
        <v>1.4300000000000044</v>
      </c>
      <c r="AP696" s="90">
        <f>G696*(1-0.0165317919075145)</f>
        <v>85.07</v>
      </c>
      <c r="AQ696" s="91" t="s">
        <v>79</v>
      </c>
      <c r="AV696" s="90">
        <f>AW696+AX696</f>
        <v>0</v>
      </c>
      <c r="AW696" s="90">
        <f>F696*AO696</f>
        <v>0</v>
      </c>
      <c r="AX696" s="90">
        <f>F696*AP696</f>
        <v>0</v>
      </c>
      <c r="AY696" s="91" t="s">
        <v>637</v>
      </c>
      <c r="AZ696" s="91" t="s">
        <v>1643</v>
      </c>
      <c r="BA696" s="154" t="s">
        <v>1649</v>
      </c>
      <c r="BC696" s="90">
        <f>AW696+AX696</f>
        <v>0</v>
      </c>
      <c r="BD696" s="90">
        <f>G696/(100-BE696)*100</f>
        <v>86.5</v>
      </c>
      <c r="BE696" s="90">
        <v>0</v>
      </c>
      <c r="BF696" s="90">
        <f>L696</f>
        <v>0</v>
      </c>
      <c r="BH696" s="90">
        <f>F696*AO696</f>
        <v>0</v>
      </c>
      <c r="BI696" s="90">
        <f>F696*AP696</f>
        <v>0</v>
      </c>
      <c r="BJ696" s="90">
        <f>F696*G696</f>
        <v>0</v>
      </c>
    </row>
    <row r="697" spans="1:62" ht="12.75" hidden="1">
      <c r="A697" s="88" t="s">
        <v>1929</v>
      </c>
      <c r="B697" s="88" t="s">
        <v>61</v>
      </c>
      <c r="C697" s="88" t="s">
        <v>269</v>
      </c>
      <c r="D697" s="88" t="s">
        <v>460</v>
      </c>
      <c r="E697" s="88" t="s">
        <v>606</v>
      </c>
      <c r="F697" s="90"/>
      <c r="G697" s="90">
        <v>1830</v>
      </c>
      <c r="H697" s="90">
        <f>F697*AO697</f>
        <v>0</v>
      </c>
      <c r="I697" s="90">
        <f>F697*AP697</f>
        <v>0</v>
      </c>
      <c r="J697" s="90">
        <f>F697*G697</f>
        <v>0</v>
      </c>
      <c r="K697" s="90">
        <v>0.0065</v>
      </c>
      <c r="L697" s="90">
        <f>F697*K697</f>
        <v>0</v>
      </c>
      <c r="M697" s="91" t="s">
        <v>622</v>
      </c>
      <c r="O697" s="90"/>
      <c r="P697" s="90"/>
      <c r="Z697" s="90">
        <f>IF(AQ697="5",BJ697,0)</f>
        <v>0</v>
      </c>
      <c r="AB697" s="90">
        <f>IF(AQ697="1",BH697,0)</f>
        <v>0</v>
      </c>
      <c r="AC697" s="90">
        <f>IF(AQ697="1",BI697,0)</f>
        <v>0</v>
      </c>
      <c r="AD697" s="90">
        <f>IF(AQ697="7",BH697,0)</f>
        <v>0</v>
      </c>
      <c r="AE697" s="90">
        <f>IF(AQ697="7",BI697,0)</f>
        <v>0</v>
      </c>
      <c r="AF697" s="90">
        <f>IF(AQ697="2",BH697,0)</f>
        <v>0</v>
      </c>
      <c r="AG697" s="90">
        <f>IF(AQ697="2",BI697,0)</f>
        <v>0</v>
      </c>
      <c r="AH697" s="90">
        <f>IF(AQ697="0",BJ697,0)</f>
        <v>0</v>
      </c>
      <c r="AI697" s="154" t="s">
        <v>61</v>
      </c>
      <c r="AJ697" s="90">
        <f>IF(AN697=0,J697,0)</f>
        <v>0</v>
      </c>
      <c r="AK697" s="90">
        <f>IF(AN697=15,J697,0)</f>
        <v>0</v>
      </c>
      <c r="AL697" s="90">
        <f>IF(AN697=21,J697,0)</f>
        <v>0</v>
      </c>
      <c r="AN697" s="90">
        <v>15</v>
      </c>
      <c r="AO697" s="90">
        <f>G697*0.196715846994536</f>
        <v>359.9900000000009</v>
      </c>
      <c r="AP697" s="90">
        <f>G697*(1-0.196715846994536)</f>
        <v>1470.009999999999</v>
      </c>
      <c r="AQ697" s="91" t="s">
        <v>79</v>
      </c>
      <c r="AV697" s="90">
        <f>AW697+AX697</f>
        <v>0</v>
      </c>
      <c r="AW697" s="90">
        <f>F697*AO697</f>
        <v>0</v>
      </c>
      <c r="AX697" s="90">
        <f>F697*AP697</f>
        <v>0</v>
      </c>
      <c r="AY697" s="91" t="s">
        <v>637</v>
      </c>
      <c r="AZ697" s="91" t="s">
        <v>1643</v>
      </c>
      <c r="BA697" s="154" t="s">
        <v>1649</v>
      </c>
      <c r="BC697" s="90">
        <f>AW697+AX697</f>
        <v>0</v>
      </c>
      <c r="BD697" s="90">
        <f>G697/(100-BE697)*100</f>
        <v>1830</v>
      </c>
      <c r="BE697" s="90">
        <v>0</v>
      </c>
      <c r="BF697" s="90">
        <f>L697</f>
        <v>0</v>
      </c>
      <c r="BH697" s="90">
        <f>F697*AO697</f>
        <v>0</v>
      </c>
      <c r="BI697" s="90">
        <f>F697*AP697</f>
        <v>0</v>
      </c>
      <c r="BJ697" s="90">
        <f>F697*G697</f>
        <v>0</v>
      </c>
    </row>
    <row r="698" spans="1:62" ht="12.75" hidden="1">
      <c r="A698" s="88" t="s">
        <v>1930</v>
      </c>
      <c r="B698" s="88" t="s">
        <v>61</v>
      </c>
      <c r="C698" s="88" t="s">
        <v>270</v>
      </c>
      <c r="D698" s="88" t="s">
        <v>461</v>
      </c>
      <c r="E698" s="88" t="s">
        <v>606</v>
      </c>
      <c r="F698" s="90"/>
      <c r="G698" s="90">
        <v>1500</v>
      </c>
      <c r="H698" s="90">
        <f>F698*AO698</f>
        <v>0</v>
      </c>
      <c r="I698" s="90">
        <f>F698*AP698</f>
        <v>0</v>
      </c>
      <c r="J698" s="90">
        <f>F698*G698</f>
        <v>0</v>
      </c>
      <c r="K698" s="90">
        <v>0.0005</v>
      </c>
      <c r="L698" s="90">
        <f>F698*K698</f>
        <v>0</v>
      </c>
      <c r="M698" s="91" t="s">
        <v>622</v>
      </c>
      <c r="O698" s="90"/>
      <c r="P698" s="90"/>
      <c r="Z698" s="90">
        <f>IF(AQ698="5",BJ698,0)</f>
        <v>0</v>
      </c>
      <c r="AB698" s="90">
        <f>IF(AQ698="1",BH698,0)</f>
        <v>0</v>
      </c>
      <c r="AC698" s="90">
        <f>IF(AQ698="1",BI698,0)</f>
        <v>0</v>
      </c>
      <c r="AD698" s="90">
        <f>IF(AQ698="7",BH698,0)</f>
        <v>0</v>
      </c>
      <c r="AE698" s="90">
        <f>IF(AQ698="7",BI698,0)</f>
        <v>0</v>
      </c>
      <c r="AF698" s="90">
        <f>IF(AQ698="2",BH698,0)</f>
        <v>0</v>
      </c>
      <c r="AG698" s="90">
        <f>IF(AQ698="2",BI698,0)</f>
        <v>0</v>
      </c>
      <c r="AH698" s="90">
        <f>IF(AQ698="0",BJ698,0)</f>
        <v>0</v>
      </c>
      <c r="AI698" s="154" t="s">
        <v>61</v>
      </c>
      <c r="AJ698" s="90">
        <f>IF(AN698=0,J698,0)</f>
        <v>0</v>
      </c>
      <c r="AK698" s="90">
        <f>IF(AN698=15,J698,0)</f>
        <v>0</v>
      </c>
      <c r="AL698" s="90">
        <f>IF(AN698=21,J698,0)</f>
        <v>0</v>
      </c>
      <c r="AN698" s="90">
        <v>15</v>
      </c>
      <c r="AO698" s="90">
        <f>G698*0.196713333333333</f>
        <v>295.0699999999995</v>
      </c>
      <c r="AP698" s="90">
        <f>G698*(1-0.196713333333333)</f>
        <v>1204.9300000000005</v>
      </c>
      <c r="AQ698" s="91" t="s">
        <v>79</v>
      </c>
      <c r="AV698" s="90">
        <f>AW698+AX698</f>
        <v>0</v>
      </c>
      <c r="AW698" s="90">
        <f>F698*AO698</f>
        <v>0</v>
      </c>
      <c r="AX698" s="90">
        <f>F698*AP698</f>
        <v>0</v>
      </c>
      <c r="AY698" s="91" t="s">
        <v>637</v>
      </c>
      <c r="AZ698" s="91" t="s">
        <v>1643</v>
      </c>
      <c r="BA698" s="154" t="s">
        <v>1649</v>
      </c>
      <c r="BC698" s="90">
        <f>AW698+AX698</f>
        <v>0</v>
      </c>
      <c r="BD698" s="90">
        <f>G698/(100-BE698)*100</f>
        <v>1500</v>
      </c>
      <c r="BE698" s="90">
        <v>0</v>
      </c>
      <c r="BF698" s="90">
        <f>L698</f>
        <v>0</v>
      </c>
      <c r="BH698" s="90">
        <f>F698*AO698</f>
        <v>0</v>
      </c>
      <c r="BI698" s="90">
        <f>F698*AP698</f>
        <v>0</v>
      </c>
      <c r="BJ698" s="90">
        <f>F698*G698</f>
        <v>0</v>
      </c>
    </row>
    <row r="699" spans="1:62" ht="12.75" hidden="1">
      <c r="A699" s="88" t="s">
        <v>1931</v>
      </c>
      <c r="B699" s="88" t="s">
        <v>61</v>
      </c>
      <c r="C699" s="88" t="s">
        <v>271</v>
      </c>
      <c r="D699" s="88" t="s">
        <v>462</v>
      </c>
      <c r="E699" s="88" t="s">
        <v>611</v>
      </c>
      <c r="F699" s="90"/>
      <c r="G699" s="90">
        <v>290</v>
      </c>
      <c r="H699" s="90">
        <f>F699*AO699</f>
        <v>0</v>
      </c>
      <c r="I699" s="90">
        <f>F699*AP699</f>
        <v>0</v>
      </c>
      <c r="J699" s="90">
        <f>F699*G699</f>
        <v>0</v>
      </c>
      <c r="K699" s="90">
        <v>0</v>
      </c>
      <c r="L699" s="90">
        <f>F699*K699</f>
        <v>0</v>
      </c>
      <c r="M699" s="91" t="s">
        <v>622</v>
      </c>
      <c r="O699" s="90"/>
      <c r="P699" s="90"/>
      <c r="Z699" s="90">
        <f>IF(AQ699="5",BJ699,0)</f>
        <v>0</v>
      </c>
      <c r="AB699" s="90">
        <f>IF(AQ699="1",BH699,0)</f>
        <v>0</v>
      </c>
      <c r="AC699" s="90">
        <f>IF(AQ699="1",BI699,0)</f>
        <v>0</v>
      </c>
      <c r="AD699" s="90">
        <f>IF(AQ699="7",BH699,0)</f>
        <v>0</v>
      </c>
      <c r="AE699" s="90">
        <f>IF(AQ699="7",BI699,0)</f>
        <v>0</v>
      </c>
      <c r="AF699" s="90">
        <f>IF(AQ699="2",BH699,0)</f>
        <v>0</v>
      </c>
      <c r="AG699" s="90">
        <f>IF(AQ699="2",BI699,0)</f>
        <v>0</v>
      </c>
      <c r="AH699" s="90">
        <f>IF(AQ699="0",BJ699,0)</f>
        <v>0</v>
      </c>
      <c r="AI699" s="154" t="s">
        <v>61</v>
      </c>
      <c r="AJ699" s="90">
        <f>IF(AN699=0,J699,0)</f>
        <v>0</v>
      </c>
      <c r="AK699" s="90">
        <f>IF(AN699=15,J699,0)</f>
        <v>0</v>
      </c>
      <c r="AL699" s="90">
        <f>IF(AN699=21,J699,0)</f>
        <v>0</v>
      </c>
      <c r="AN699" s="90">
        <v>15</v>
      </c>
      <c r="AO699" s="90">
        <f>G699*0.469344827586207</f>
        <v>136.11</v>
      </c>
      <c r="AP699" s="90">
        <f>G699*(1-0.469344827586207)</f>
        <v>153.89</v>
      </c>
      <c r="AQ699" s="91" t="s">
        <v>79</v>
      </c>
      <c r="AV699" s="90">
        <f>AW699+AX699</f>
        <v>0</v>
      </c>
      <c r="AW699" s="90">
        <f>F699*AO699</f>
        <v>0</v>
      </c>
      <c r="AX699" s="90">
        <f>F699*AP699</f>
        <v>0</v>
      </c>
      <c r="AY699" s="91" t="s">
        <v>637</v>
      </c>
      <c r="AZ699" s="91" t="s">
        <v>1643</v>
      </c>
      <c r="BA699" s="154" t="s">
        <v>1649</v>
      </c>
      <c r="BC699" s="90">
        <f>AW699+AX699</f>
        <v>0</v>
      </c>
      <c r="BD699" s="90">
        <f>G699/(100-BE699)*100</f>
        <v>290</v>
      </c>
      <c r="BE699" s="90">
        <v>0</v>
      </c>
      <c r="BF699" s="90">
        <f>L699</f>
        <v>0</v>
      </c>
      <c r="BH699" s="90">
        <f>F699*AO699</f>
        <v>0</v>
      </c>
      <c r="BI699" s="90">
        <f>F699*AP699</f>
        <v>0</v>
      </c>
      <c r="BJ699" s="90">
        <f>F699*G699</f>
        <v>0</v>
      </c>
    </row>
    <row r="700" spans="1:47" ht="12.75" hidden="1">
      <c r="A700" s="159"/>
      <c r="B700" s="160" t="s">
        <v>61</v>
      </c>
      <c r="C700" s="160" t="s">
        <v>174</v>
      </c>
      <c r="D700" s="160" t="s">
        <v>463</v>
      </c>
      <c r="E700" s="159" t="s">
        <v>57</v>
      </c>
      <c r="F700" s="159"/>
      <c r="G700" s="159" t="s">
        <v>57</v>
      </c>
      <c r="H700" s="161">
        <f>SUM(H701:H710)</f>
        <v>0</v>
      </c>
      <c r="I700" s="161">
        <f>SUM(I701:I710)</f>
        <v>0</v>
      </c>
      <c r="J700" s="161">
        <f>SUM(J701:J710)</f>
        <v>0</v>
      </c>
      <c r="K700" s="154"/>
      <c r="L700" s="161">
        <f>SUM(L701:L710)</f>
        <v>0</v>
      </c>
      <c r="M700" s="154"/>
      <c r="O700" s="159"/>
      <c r="P700" s="159"/>
      <c r="AI700" s="154" t="s">
        <v>61</v>
      </c>
      <c r="AS700" s="161">
        <f>SUM(AJ701:AJ710)</f>
        <v>0</v>
      </c>
      <c r="AT700" s="161">
        <f>SUM(AK701:AK710)</f>
        <v>0</v>
      </c>
      <c r="AU700" s="161">
        <f>SUM(AL701:AL710)</f>
        <v>0</v>
      </c>
    </row>
    <row r="701" spans="1:62" ht="12.75" hidden="1">
      <c r="A701" s="88" t="s">
        <v>1932</v>
      </c>
      <c r="B701" s="88" t="s">
        <v>61</v>
      </c>
      <c r="C701" s="88" t="s">
        <v>1551</v>
      </c>
      <c r="D701" s="88" t="s">
        <v>1595</v>
      </c>
      <c r="E701" s="88" t="s">
        <v>608</v>
      </c>
      <c r="F701" s="90"/>
      <c r="G701" s="90">
        <v>87.7</v>
      </c>
      <c r="H701" s="90">
        <f aca="true" t="shared" si="708" ref="H701:H710">F701*AO701</f>
        <v>0</v>
      </c>
      <c r="I701" s="90">
        <f aca="true" t="shared" si="709" ref="I701:I710">F701*AP701</f>
        <v>0</v>
      </c>
      <c r="J701" s="90">
        <f aca="true" t="shared" si="710" ref="J701:J710">F701*G701</f>
        <v>0</v>
      </c>
      <c r="K701" s="90">
        <v>0.13167</v>
      </c>
      <c r="L701" s="90">
        <f aca="true" t="shared" si="711" ref="L701:L710">F701*K701</f>
        <v>0</v>
      </c>
      <c r="M701" s="91" t="s">
        <v>622</v>
      </c>
      <c r="O701" s="90"/>
      <c r="P701" s="90"/>
      <c r="Z701" s="90">
        <f aca="true" t="shared" si="712" ref="Z701:Z710">IF(AQ701="5",BJ701,0)</f>
        <v>0</v>
      </c>
      <c r="AB701" s="90">
        <f aca="true" t="shared" si="713" ref="AB701:AB710">IF(AQ701="1",BH701,0)</f>
        <v>0</v>
      </c>
      <c r="AC701" s="90">
        <f aca="true" t="shared" si="714" ref="AC701:AC710">IF(AQ701="1",BI701,0)</f>
        <v>0</v>
      </c>
      <c r="AD701" s="90">
        <f aca="true" t="shared" si="715" ref="AD701:AD710">IF(AQ701="7",BH701,0)</f>
        <v>0</v>
      </c>
      <c r="AE701" s="90">
        <f aca="true" t="shared" si="716" ref="AE701:AE710">IF(AQ701="7",BI701,0)</f>
        <v>0</v>
      </c>
      <c r="AF701" s="90">
        <f aca="true" t="shared" si="717" ref="AF701:AF710">IF(AQ701="2",BH701,0)</f>
        <v>0</v>
      </c>
      <c r="AG701" s="90">
        <f aca="true" t="shared" si="718" ref="AG701:AG710">IF(AQ701="2",BI701,0)</f>
        <v>0</v>
      </c>
      <c r="AH701" s="90">
        <f aca="true" t="shared" si="719" ref="AH701:AH710">IF(AQ701="0",BJ701,0)</f>
        <v>0</v>
      </c>
      <c r="AI701" s="154" t="s">
        <v>61</v>
      </c>
      <c r="AJ701" s="90">
        <f aca="true" t="shared" si="720" ref="AJ701:AJ710">IF(AN701=0,J701,0)</f>
        <v>0</v>
      </c>
      <c r="AK701" s="90">
        <f aca="true" t="shared" si="721" ref="AK701:AK710">IF(AN701=15,J701,0)</f>
        <v>0</v>
      </c>
      <c r="AL701" s="90">
        <f aca="true" t="shared" si="722" ref="AL701:AL710">IF(AN701=21,J701,0)</f>
        <v>0</v>
      </c>
      <c r="AN701" s="90">
        <v>15</v>
      </c>
      <c r="AO701" s="90">
        <f>G701*0.180615655853315</f>
        <v>15.839993018335726</v>
      </c>
      <c r="AP701" s="90">
        <f>G701*(1-0.180615655853315)</f>
        <v>71.86000698166428</v>
      </c>
      <c r="AQ701" s="91" t="s">
        <v>79</v>
      </c>
      <c r="AV701" s="90">
        <f aca="true" t="shared" si="723" ref="AV701:AV710">AW701+AX701</f>
        <v>0</v>
      </c>
      <c r="AW701" s="90">
        <f aca="true" t="shared" si="724" ref="AW701:AW710">F701*AO701</f>
        <v>0</v>
      </c>
      <c r="AX701" s="90">
        <f aca="true" t="shared" si="725" ref="AX701:AX710">F701*AP701</f>
        <v>0</v>
      </c>
      <c r="AY701" s="91" t="s">
        <v>638</v>
      </c>
      <c r="AZ701" s="91" t="s">
        <v>1643</v>
      </c>
      <c r="BA701" s="154" t="s">
        <v>1649</v>
      </c>
      <c r="BC701" s="90">
        <f aca="true" t="shared" si="726" ref="BC701:BC710">AW701+AX701</f>
        <v>0</v>
      </c>
      <c r="BD701" s="90">
        <f aca="true" t="shared" si="727" ref="BD701:BD710">G701/(100-BE701)*100</f>
        <v>87.7</v>
      </c>
      <c r="BE701" s="90">
        <v>0</v>
      </c>
      <c r="BF701" s="90">
        <f aca="true" t="shared" si="728" ref="BF701:BF710">L701</f>
        <v>0</v>
      </c>
      <c r="BH701" s="90">
        <f aca="true" t="shared" si="729" ref="BH701:BH710">F701*AO701</f>
        <v>0</v>
      </c>
      <c r="BI701" s="90">
        <f aca="true" t="shared" si="730" ref="BI701:BI710">F701*AP701</f>
        <v>0</v>
      </c>
      <c r="BJ701" s="90">
        <f aca="true" t="shared" si="731" ref="BJ701:BJ710">F701*G701</f>
        <v>0</v>
      </c>
    </row>
    <row r="702" spans="1:62" ht="12.75" hidden="1">
      <c r="A702" s="88" t="s">
        <v>1933</v>
      </c>
      <c r="B702" s="88" t="s">
        <v>61</v>
      </c>
      <c r="C702" s="88" t="s">
        <v>1552</v>
      </c>
      <c r="D702" s="88" t="s">
        <v>1596</v>
      </c>
      <c r="E702" s="88" t="s">
        <v>608</v>
      </c>
      <c r="F702" s="90"/>
      <c r="G702" s="90">
        <v>106.5</v>
      </c>
      <c r="H702" s="90">
        <f t="shared" si="708"/>
        <v>0</v>
      </c>
      <c r="I702" s="90">
        <f t="shared" si="709"/>
        <v>0</v>
      </c>
      <c r="J702" s="90">
        <f t="shared" si="710"/>
        <v>0</v>
      </c>
      <c r="K702" s="90">
        <v>0.26167</v>
      </c>
      <c r="L702" s="90">
        <f t="shared" si="711"/>
        <v>0</v>
      </c>
      <c r="M702" s="91" t="s">
        <v>622</v>
      </c>
      <c r="O702" s="90"/>
      <c r="P702" s="90"/>
      <c r="Z702" s="90">
        <f t="shared" si="712"/>
        <v>0</v>
      </c>
      <c r="AB702" s="90">
        <f t="shared" si="713"/>
        <v>0</v>
      </c>
      <c r="AC702" s="90">
        <f t="shared" si="714"/>
        <v>0</v>
      </c>
      <c r="AD702" s="90">
        <f t="shared" si="715"/>
        <v>0</v>
      </c>
      <c r="AE702" s="90">
        <f t="shared" si="716"/>
        <v>0</v>
      </c>
      <c r="AF702" s="90">
        <f t="shared" si="717"/>
        <v>0</v>
      </c>
      <c r="AG702" s="90">
        <f t="shared" si="718"/>
        <v>0</v>
      </c>
      <c r="AH702" s="90">
        <f t="shared" si="719"/>
        <v>0</v>
      </c>
      <c r="AI702" s="154" t="s">
        <v>61</v>
      </c>
      <c r="AJ702" s="90">
        <f t="shared" si="720"/>
        <v>0</v>
      </c>
      <c r="AK702" s="90">
        <f t="shared" si="721"/>
        <v>0</v>
      </c>
      <c r="AL702" s="90">
        <f t="shared" si="722"/>
        <v>0</v>
      </c>
      <c r="AN702" s="90">
        <v>15</v>
      </c>
      <c r="AO702" s="90">
        <f>G702*0.148732496065204</f>
        <v>15.840010830944227</v>
      </c>
      <c r="AP702" s="90">
        <f>G702*(1-0.148732496065204)</f>
        <v>90.65998916905578</v>
      </c>
      <c r="AQ702" s="91" t="s">
        <v>79</v>
      </c>
      <c r="AV702" s="90">
        <f t="shared" si="723"/>
        <v>0</v>
      </c>
      <c r="AW702" s="90">
        <f t="shared" si="724"/>
        <v>0</v>
      </c>
      <c r="AX702" s="90">
        <f t="shared" si="725"/>
        <v>0</v>
      </c>
      <c r="AY702" s="91" t="s">
        <v>638</v>
      </c>
      <c r="AZ702" s="91" t="s">
        <v>1643</v>
      </c>
      <c r="BA702" s="154" t="s">
        <v>1649</v>
      </c>
      <c r="BC702" s="90">
        <f t="shared" si="726"/>
        <v>0</v>
      </c>
      <c r="BD702" s="90">
        <f t="shared" si="727"/>
        <v>106.5</v>
      </c>
      <c r="BE702" s="90">
        <v>0</v>
      </c>
      <c r="BF702" s="90">
        <f t="shared" si="728"/>
        <v>0</v>
      </c>
      <c r="BH702" s="90">
        <f t="shared" si="729"/>
        <v>0</v>
      </c>
      <c r="BI702" s="90">
        <f t="shared" si="730"/>
        <v>0</v>
      </c>
      <c r="BJ702" s="90">
        <f t="shared" si="731"/>
        <v>0</v>
      </c>
    </row>
    <row r="703" spans="1:62" ht="12.75" hidden="1">
      <c r="A703" s="88" t="s">
        <v>1934</v>
      </c>
      <c r="B703" s="88" t="s">
        <v>61</v>
      </c>
      <c r="C703" s="88" t="s">
        <v>1553</v>
      </c>
      <c r="D703" s="88" t="s">
        <v>1597</v>
      </c>
      <c r="E703" s="88" t="s">
        <v>610</v>
      </c>
      <c r="F703" s="90"/>
      <c r="G703" s="90">
        <v>2140</v>
      </c>
      <c r="H703" s="90">
        <f t="shared" si="708"/>
        <v>0</v>
      </c>
      <c r="I703" s="90">
        <f t="shared" si="709"/>
        <v>0</v>
      </c>
      <c r="J703" s="90">
        <f t="shared" si="710"/>
        <v>0</v>
      </c>
      <c r="K703" s="90">
        <v>2.2</v>
      </c>
      <c r="L703" s="90">
        <f t="shared" si="711"/>
        <v>0</v>
      </c>
      <c r="M703" s="91" t="s">
        <v>622</v>
      </c>
      <c r="O703" s="90"/>
      <c r="P703" s="90"/>
      <c r="Z703" s="90">
        <f t="shared" si="712"/>
        <v>0</v>
      </c>
      <c r="AB703" s="90">
        <f t="shared" si="713"/>
        <v>0</v>
      </c>
      <c r="AC703" s="90">
        <f t="shared" si="714"/>
        <v>0</v>
      </c>
      <c r="AD703" s="90">
        <f t="shared" si="715"/>
        <v>0</v>
      </c>
      <c r="AE703" s="90">
        <f t="shared" si="716"/>
        <v>0</v>
      </c>
      <c r="AF703" s="90">
        <f t="shared" si="717"/>
        <v>0</v>
      </c>
      <c r="AG703" s="90">
        <f t="shared" si="718"/>
        <v>0</v>
      </c>
      <c r="AH703" s="90">
        <f t="shared" si="719"/>
        <v>0</v>
      </c>
      <c r="AI703" s="154" t="s">
        <v>61</v>
      </c>
      <c r="AJ703" s="90">
        <f t="shared" si="720"/>
        <v>0</v>
      </c>
      <c r="AK703" s="90">
        <f t="shared" si="721"/>
        <v>0</v>
      </c>
      <c r="AL703" s="90">
        <f t="shared" si="722"/>
        <v>0</v>
      </c>
      <c r="AN703" s="90">
        <v>15</v>
      </c>
      <c r="AO703" s="90">
        <f>G703*0</f>
        <v>0</v>
      </c>
      <c r="AP703" s="90">
        <f>G703*(1-0)</f>
        <v>2140</v>
      </c>
      <c r="AQ703" s="91" t="s">
        <v>79</v>
      </c>
      <c r="AV703" s="90">
        <f t="shared" si="723"/>
        <v>0</v>
      </c>
      <c r="AW703" s="90">
        <f t="shared" si="724"/>
        <v>0</v>
      </c>
      <c r="AX703" s="90">
        <f t="shared" si="725"/>
        <v>0</v>
      </c>
      <c r="AY703" s="91" t="s">
        <v>638</v>
      </c>
      <c r="AZ703" s="91" t="s">
        <v>1643</v>
      </c>
      <c r="BA703" s="154" t="s">
        <v>1649</v>
      </c>
      <c r="BC703" s="90">
        <f t="shared" si="726"/>
        <v>0</v>
      </c>
      <c r="BD703" s="90">
        <f t="shared" si="727"/>
        <v>2140</v>
      </c>
      <c r="BE703" s="90">
        <v>0</v>
      </c>
      <c r="BF703" s="90">
        <f t="shared" si="728"/>
        <v>0</v>
      </c>
      <c r="BH703" s="90">
        <f t="shared" si="729"/>
        <v>0</v>
      </c>
      <c r="BI703" s="90">
        <f t="shared" si="730"/>
        <v>0</v>
      </c>
      <c r="BJ703" s="90">
        <f t="shared" si="731"/>
        <v>0</v>
      </c>
    </row>
    <row r="704" spans="1:62" ht="12.75" hidden="1">
      <c r="A704" s="88" t="s">
        <v>1935</v>
      </c>
      <c r="B704" s="88" t="s">
        <v>61</v>
      </c>
      <c r="C704" s="88" t="s">
        <v>953</v>
      </c>
      <c r="D704" s="88" t="s">
        <v>1598</v>
      </c>
      <c r="E704" s="88" t="s">
        <v>610</v>
      </c>
      <c r="F704" s="90"/>
      <c r="G704" s="90">
        <v>1757</v>
      </c>
      <c r="H704" s="90">
        <f t="shared" si="708"/>
        <v>0</v>
      </c>
      <c r="I704" s="90">
        <f t="shared" si="709"/>
        <v>0</v>
      </c>
      <c r="J704" s="90">
        <f t="shared" si="710"/>
        <v>0</v>
      </c>
      <c r="K704" s="90">
        <v>2.2</v>
      </c>
      <c r="L704" s="90">
        <f t="shared" si="711"/>
        <v>0</v>
      </c>
      <c r="M704" s="91" t="s">
        <v>622</v>
      </c>
      <c r="O704" s="90"/>
      <c r="P704" s="90"/>
      <c r="Z704" s="90">
        <f t="shared" si="712"/>
        <v>0</v>
      </c>
      <c r="AB704" s="90">
        <f t="shared" si="713"/>
        <v>0</v>
      </c>
      <c r="AC704" s="90">
        <f t="shared" si="714"/>
        <v>0</v>
      </c>
      <c r="AD704" s="90">
        <f t="shared" si="715"/>
        <v>0</v>
      </c>
      <c r="AE704" s="90">
        <f t="shared" si="716"/>
        <v>0</v>
      </c>
      <c r="AF704" s="90">
        <f t="shared" si="717"/>
        <v>0</v>
      </c>
      <c r="AG704" s="90">
        <f t="shared" si="718"/>
        <v>0</v>
      </c>
      <c r="AH704" s="90">
        <f t="shared" si="719"/>
        <v>0</v>
      </c>
      <c r="AI704" s="154" t="s">
        <v>61</v>
      </c>
      <c r="AJ704" s="90">
        <f t="shared" si="720"/>
        <v>0</v>
      </c>
      <c r="AK704" s="90">
        <f t="shared" si="721"/>
        <v>0</v>
      </c>
      <c r="AL704" s="90">
        <f t="shared" si="722"/>
        <v>0</v>
      </c>
      <c r="AN704" s="90">
        <v>15</v>
      </c>
      <c r="AO704" s="90">
        <f>G704*0</f>
        <v>0</v>
      </c>
      <c r="AP704" s="90">
        <f>G704*(1-0)</f>
        <v>1757</v>
      </c>
      <c r="AQ704" s="91" t="s">
        <v>79</v>
      </c>
      <c r="AV704" s="90">
        <f t="shared" si="723"/>
        <v>0</v>
      </c>
      <c r="AW704" s="90">
        <f t="shared" si="724"/>
        <v>0</v>
      </c>
      <c r="AX704" s="90">
        <f t="shared" si="725"/>
        <v>0</v>
      </c>
      <c r="AY704" s="91" t="s">
        <v>638</v>
      </c>
      <c r="AZ704" s="91" t="s">
        <v>1643</v>
      </c>
      <c r="BA704" s="154" t="s">
        <v>1649</v>
      </c>
      <c r="BC704" s="90">
        <f t="shared" si="726"/>
        <v>0</v>
      </c>
      <c r="BD704" s="90">
        <f t="shared" si="727"/>
        <v>1757</v>
      </c>
      <c r="BE704" s="90">
        <v>0</v>
      </c>
      <c r="BF704" s="90">
        <f t="shared" si="728"/>
        <v>0</v>
      </c>
      <c r="BH704" s="90">
        <f t="shared" si="729"/>
        <v>0</v>
      </c>
      <c r="BI704" s="90">
        <f t="shared" si="730"/>
        <v>0</v>
      </c>
      <c r="BJ704" s="90">
        <f t="shared" si="731"/>
        <v>0</v>
      </c>
    </row>
    <row r="705" spans="1:62" ht="12.75" hidden="1">
      <c r="A705" s="88" t="s">
        <v>1936</v>
      </c>
      <c r="B705" s="88" t="s">
        <v>61</v>
      </c>
      <c r="C705" s="88" t="s">
        <v>955</v>
      </c>
      <c r="D705" s="88" t="s">
        <v>1244</v>
      </c>
      <c r="E705" s="88" t="s">
        <v>610</v>
      </c>
      <c r="F705" s="90"/>
      <c r="G705" s="90">
        <v>1332</v>
      </c>
      <c r="H705" s="90">
        <f t="shared" si="708"/>
        <v>0</v>
      </c>
      <c r="I705" s="90">
        <f t="shared" si="709"/>
        <v>0</v>
      </c>
      <c r="J705" s="90">
        <f t="shared" si="710"/>
        <v>0</v>
      </c>
      <c r="K705" s="90">
        <v>0</v>
      </c>
      <c r="L705" s="90">
        <f t="shared" si="711"/>
        <v>0</v>
      </c>
      <c r="M705" s="91" t="s">
        <v>622</v>
      </c>
      <c r="O705" s="90"/>
      <c r="P705" s="90"/>
      <c r="Z705" s="90">
        <f t="shared" si="712"/>
        <v>0</v>
      </c>
      <c r="AB705" s="90">
        <f t="shared" si="713"/>
        <v>0</v>
      </c>
      <c r="AC705" s="90">
        <f t="shared" si="714"/>
        <v>0</v>
      </c>
      <c r="AD705" s="90">
        <f t="shared" si="715"/>
        <v>0</v>
      </c>
      <c r="AE705" s="90">
        <f t="shared" si="716"/>
        <v>0</v>
      </c>
      <c r="AF705" s="90">
        <f t="shared" si="717"/>
        <v>0</v>
      </c>
      <c r="AG705" s="90">
        <f t="shared" si="718"/>
        <v>0</v>
      </c>
      <c r="AH705" s="90">
        <f t="shared" si="719"/>
        <v>0</v>
      </c>
      <c r="AI705" s="154" t="s">
        <v>61</v>
      </c>
      <c r="AJ705" s="90">
        <f t="shared" si="720"/>
        <v>0</v>
      </c>
      <c r="AK705" s="90">
        <f t="shared" si="721"/>
        <v>0</v>
      </c>
      <c r="AL705" s="90">
        <f t="shared" si="722"/>
        <v>0</v>
      </c>
      <c r="AN705" s="90">
        <v>15</v>
      </c>
      <c r="AO705" s="90">
        <f>G705*0</f>
        <v>0</v>
      </c>
      <c r="AP705" s="90">
        <f>G705*(1-0)</f>
        <v>1332</v>
      </c>
      <c r="AQ705" s="91" t="s">
        <v>79</v>
      </c>
      <c r="AV705" s="90">
        <f t="shared" si="723"/>
        <v>0</v>
      </c>
      <c r="AW705" s="90">
        <f t="shared" si="724"/>
        <v>0</v>
      </c>
      <c r="AX705" s="90">
        <f t="shared" si="725"/>
        <v>0</v>
      </c>
      <c r="AY705" s="91" t="s">
        <v>638</v>
      </c>
      <c r="AZ705" s="91" t="s">
        <v>1643</v>
      </c>
      <c r="BA705" s="154" t="s">
        <v>1649</v>
      </c>
      <c r="BC705" s="90">
        <f t="shared" si="726"/>
        <v>0</v>
      </c>
      <c r="BD705" s="90">
        <f t="shared" si="727"/>
        <v>1332</v>
      </c>
      <c r="BE705" s="90">
        <v>0</v>
      </c>
      <c r="BF705" s="90">
        <f t="shared" si="728"/>
        <v>0</v>
      </c>
      <c r="BH705" s="90">
        <f t="shared" si="729"/>
        <v>0</v>
      </c>
      <c r="BI705" s="90">
        <f t="shared" si="730"/>
        <v>0</v>
      </c>
      <c r="BJ705" s="90">
        <f t="shared" si="731"/>
        <v>0</v>
      </c>
    </row>
    <row r="706" spans="1:62" ht="12.75" hidden="1">
      <c r="A706" s="88" t="s">
        <v>1937</v>
      </c>
      <c r="B706" s="88" t="s">
        <v>61</v>
      </c>
      <c r="C706" s="88" t="s">
        <v>1554</v>
      </c>
      <c r="D706" s="88" t="s">
        <v>1599</v>
      </c>
      <c r="E706" s="88" t="s">
        <v>608</v>
      </c>
      <c r="F706" s="90"/>
      <c r="G706" s="90">
        <v>29.59</v>
      </c>
      <c r="H706" s="90">
        <f t="shared" si="708"/>
        <v>0</v>
      </c>
      <c r="I706" s="90">
        <f t="shared" si="709"/>
        <v>0</v>
      </c>
      <c r="J706" s="90">
        <f t="shared" si="710"/>
        <v>0</v>
      </c>
      <c r="K706" s="90">
        <v>0.001</v>
      </c>
      <c r="L706" s="90">
        <f t="shared" si="711"/>
        <v>0</v>
      </c>
      <c r="M706" s="91" t="s">
        <v>622</v>
      </c>
      <c r="O706" s="90"/>
      <c r="P706" s="90"/>
      <c r="Z706" s="90">
        <f t="shared" si="712"/>
        <v>0</v>
      </c>
      <c r="AB706" s="90">
        <f t="shared" si="713"/>
        <v>0</v>
      </c>
      <c r="AC706" s="90">
        <f t="shared" si="714"/>
        <v>0</v>
      </c>
      <c r="AD706" s="90">
        <f t="shared" si="715"/>
        <v>0</v>
      </c>
      <c r="AE706" s="90">
        <f t="shared" si="716"/>
        <v>0</v>
      </c>
      <c r="AF706" s="90">
        <f t="shared" si="717"/>
        <v>0</v>
      </c>
      <c r="AG706" s="90">
        <f t="shared" si="718"/>
        <v>0</v>
      </c>
      <c r="AH706" s="90">
        <f t="shared" si="719"/>
        <v>0</v>
      </c>
      <c r="AI706" s="154" t="s">
        <v>61</v>
      </c>
      <c r="AJ706" s="90">
        <f t="shared" si="720"/>
        <v>0</v>
      </c>
      <c r="AK706" s="90">
        <f t="shared" si="721"/>
        <v>0</v>
      </c>
      <c r="AL706" s="90">
        <f t="shared" si="722"/>
        <v>0</v>
      </c>
      <c r="AN706" s="90">
        <v>15</v>
      </c>
      <c r="AO706" s="90">
        <f>G706*0</f>
        <v>0</v>
      </c>
      <c r="AP706" s="90">
        <f>G706*(1-0)</f>
        <v>29.59</v>
      </c>
      <c r="AQ706" s="91" t="s">
        <v>79</v>
      </c>
      <c r="AV706" s="90">
        <f t="shared" si="723"/>
        <v>0</v>
      </c>
      <c r="AW706" s="90">
        <f t="shared" si="724"/>
        <v>0</v>
      </c>
      <c r="AX706" s="90">
        <f t="shared" si="725"/>
        <v>0</v>
      </c>
      <c r="AY706" s="91" t="s">
        <v>638</v>
      </c>
      <c r="AZ706" s="91" t="s">
        <v>1643</v>
      </c>
      <c r="BA706" s="154" t="s">
        <v>1649</v>
      </c>
      <c r="BC706" s="90">
        <f t="shared" si="726"/>
        <v>0</v>
      </c>
      <c r="BD706" s="90">
        <f t="shared" si="727"/>
        <v>29.59</v>
      </c>
      <c r="BE706" s="90">
        <v>0</v>
      </c>
      <c r="BF706" s="90">
        <f t="shared" si="728"/>
        <v>0</v>
      </c>
      <c r="BH706" s="90">
        <f t="shared" si="729"/>
        <v>0</v>
      </c>
      <c r="BI706" s="90">
        <f t="shared" si="730"/>
        <v>0</v>
      </c>
      <c r="BJ706" s="90">
        <f t="shared" si="731"/>
        <v>0</v>
      </c>
    </row>
    <row r="707" spans="1:62" ht="12.75" hidden="1">
      <c r="A707" s="88" t="s">
        <v>1938</v>
      </c>
      <c r="B707" s="88" t="s">
        <v>61</v>
      </c>
      <c r="C707" s="88" t="s">
        <v>275</v>
      </c>
      <c r="D707" s="88" t="s">
        <v>1600</v>
      </c>
      <c r="E707" s="88" t="s">
        <v>608</v>
      </c>
      <c r="F707" s="90"/>
      <c r="G707" s="90">
        <v>49.1</v>
      </c>
      <c r="H707" s="90">
        <f t="shared" si="708"/>
        <v>0</v>
      </c>
      <c r="I707" s="90">
        <f t="shared" si="709"/>
        <v>0</v>
      </c>
      <c r="J707" s="90">
        <f t="shared" si="710"/>
        <v>0</v>
      </c>
      <c r="K707" s="90">
        <v>0.02</v>
      </c>
      <c r="L707" s="90">
        <f t="shared" si="711"/>
        <v>0</v>
      </c>
      <c r="M707" s="91" t="s">
        <v>622</v>
      </c>
      <c r="O707" s="90"/>
      <c r="P707" s="90"/>
      <c r="Z707" s="90">
        <f t="shared" si="712"/>
        <v>0</v>
      </c>
      <c r="AB707" s="90">
        <f t="shared" si="713"/>
        <v>0</v>
      </c>
      <c r="AC707" s="90">
        <f t="shared" si="714"/>
        <v>0</v>
      </c>
      <c r="AD707" s="90">
        <f t="shared" si="715"/>
        <v>0</v>
      </c>
      <c r="AE707" s="90">
        <f t="shared" si="716"/>
        <v>0</v>
      </c>
      <c r="AF707" s="90">
        <f t="shared" si="717"/>
        <v>0</v>
      </c>
      <c r="AG707" s="90">
        <f t="shared" si="718"/>
        <v>0</v>
      </c>
      <c r="AH707" s="90">
        <f t="shared" si="719"/>
        <v>0</v>
      </c>
      <c r="AI707" s="154" t="s">
        <v>61</v>
      </c>
      <c r="AJ707" s="90">
        <f t="shared" si="720"/>
        <v>0</v>
      </c>
      <c r="AK707" s="90">
        <f t="shared" si="721"/>
        <v>0</v>
      </c>
      <c r="AL707" s="90">
        <f t="shared" si="722"/>
        <v>0</v>
      </c>
      <c r="AN707" s="90">
        <v>15</v>
      </c>
      <c r="AO707" s="90">
        <f>G707*0</f>
        <v>0</v>
      </c>
      <c r="AP707" s="90">
        <f>G707*(1-0)</f>
        <v>49.1</v>
      </c>
      <c r="AQ707" s="91" t="s">
        <v>79</v>
      </c>
      <c r="AV707" s="90">
        <f t="shared" si="723"/>
        <v>0</v>
      </c>
      <c r="AW707" s="90">
        <f t="shared" si="724"/>
        <v>0</v>
      </c>
      <c r="AX707" s="90">
        <f t="shared" si="725"/>
        <v>0</v>
      </c>
      <c r="AY707" s="91" t="s">
        <v>638</v>
      </c>
      <c r="AZ707" s="91" t="s">
        <v>1643</v>
      </c>
      <c r="BA707" s="154" t="s">
        <v>1649</v>
      </c>
      <c r="BC707" s="90">
        <f t="shared" si="726"/>
        <v>0</v>
      </c>
      <c r="BD707" s="90">
        <f t="shared" si="727"/>
        <v>49.1</v>
      </c>
      <c r="BE707" s="90">
        <v>0</v>
      </c>
      <c r="BF707" s="90">
        <f t="shared" si="728"/>
        <v>0</v>
      </c>
      <c r="BH707" s="90">
        <f t="shared" si="729"/>
        <v>0</v>
      </c>
      <c r="BI707" s="90">
        <f t="shared" si="730"/>
        <v>0</v>
      </c>
      <c r="BJ707" s="90">
        <f t="shared" si="731"/>
        <v>0</v>
      </c>
    </row>
    <row r="708" spans="1:62" ht="12.75" hidden="1">
      <c r="A708" s="88" t="s">
        <v>1939</v>
      </c>
      <c r="B708" s="88" t="s">
        <v>61</v>
      </c>
      <c r="C708" s="88" t="s">
        <v>276</v>
      </c>
      <c r="D708" s="88" t="s">
        <v>468</v>
      </c>
      <c r="E708" s="88" t="s">
        <v>608</v>
      </c>
      <c r="F708" s="90"/>
      <c r="G708" s="90">
        <v>258.5</v>
      </c>
      <c r="H708" s="90">
        <f t="shared" si="708"/>
        <v>0</v>
      </c>
      <c r="I708" s="90">
        <f t="shared" si="709"/>
        <v>0</v>
      </c>
      <c r="J708" s="90">
        <f t="shared" si="710"/>
        <v>0</v>
      </c>
      <c r="K708" s="90">
        <v>0.27534</v>
      </c>
      <c r="L708" s="90">
        <f t="shared" si="711"/>
        <v>0</v>
      </c>
      <c r="M708" s="91" t="s">
        <v>622</v>
      </c>
      <c r="O708" s="90"/>
      <c r="P708" s="90"/>
      <c r="Z708" s="90">
        <f t="shared" si="712"/>
        <v>0</v>
      </c>
      <c r="AB708" s="90">
        <f t="shared" si="713"/>
        <v>0</v>
      </c>
      <c r="AC708" s="90">
        <f t="shared" si="714"/>
        <v>0</v>
      </c>
      <c r="AD708" s="90">
        <f t="shared" si="715"/>
        <v>0</v>
      </c>
      <c r="AE708" s="90">
        <f t="shared" si="716"/>
        <v>0</v>
      </c>
      <c r="AF708" s="90">
        <f t="shared" si="717"/>
        <v>0</v>
      </c>
      <c r="AG708" s="90">
        <f t="shared" si="718"/>
        <v>0</v>
      </c>
      <c r="AH708" s="90">
        <f t="shared" si="719"/>
        <v>0</v>
      </c>
      <c r="AI708" s="154" t="s">
        <v>61</v>
      </c>
      <c r="AJ708" s="90">
        <f t="shared" si="720"/>
        <v>0</v>
      </c>
      <c r="AK708" s="90">
        <f t="shared" si="721"/>
        <v>0</v>
      </c>
      <c r="AL708" s="90">
        <f t="shared" si="722"/>
        <v>0</v>
      </c>
      <c r="AN708" s="90">
        <v>15</v>
      </c>
      <c r="AO708" s="90">
        <f>G708*0.0308316736466574</f>
        <v>7.969987637660938</v>
      </c>
      <c r="AP708" s="90">
        <f>G708*(1-0.0308316736466574)</f>
        <v>250.53001236233905</v>
      </c>
      <c r="AQ708" s="91" t="s">
        <v>79</v>
      </c>
      <c r="AV708" s="90">
        <f t="shared" si="723"/>
        <v>0</v>
      </c>
      <c r="AW708" s="90">
        <f t="shared" si="724"/>
        <v>0</v>
      </c>
      <c r="AX708" s="90">
        <f t="shared" si="725"/>
        <v>0</v>
      </c>
      <c r="AY708" s="91" t="s">
        <v>638</v>
      </c>
      <c r="AZ708" s="91" t="s">
        <v>1643</v>
      </c>
      <c r="BA708" s="154" t="s">
        <v>1649</v>
      </c>
      <c r="BC708" s="90">
        <f t="shared" si="726"/>
        <v>0</v>
      </c>
      <c r="BD708" s="90">
        <f t="shared" si="727"/>
        <v>258.5</v>
      </c>
      <c r="BE708" s="90">
        <v>0</v>
      </c>
      <c r="BF708" s="90">
        <f t="shared" si="728"/>
        <v>0</v>
      </c>
      <c r="BH708" s="90">
        <f t="shared" si="729"/>
        <v>0</v>
      </c>
      <c r="BI708" s="90">
        <f t="shared" si="730"/>
        <v>0</v>
      </c>
      <c r="BJ708" s="90">
        <f t="shared" si="731"/>
        <v>0</v>
      </c>
    </row>
    <row r="709" spans="1:62" ht="12.75" hidden="1">
      <c r="A709" s="88" t="s">
        <v>1940</v>
      </c>
      <c r="B709" s="88" t="s">
        <v>61</v>
      </c>
      <c r="C709" s="88" t="s">
        <v>1555</v>
      </c>
      <c r="D709" s="88" t="s">
        <v>1601</v>
      </c>
      <c r="E709" s="88" t="s">
        <v>606</v>
      </c>
      <c r="F709" s="90"/>
      <c r="G709" s="90">
        <v>211</v>
      </c>
      <c r="H709" s="90">
        <f t="shared" si="708"/>
        <v>0</v>
      </c>
      <c r="I709" s="90">
        <f t="shared" si="709"/>
        <v>0</v>
      </c>
      <c r="J709" s="90">
        <f t="shared" si="710"/>
        <v>0</v>
      </c>
      <c r="K709" s="90">
        <v>0</v>
      </c>
      <c r="L709" s="90">
        <f t="shared" si="711"/>
        <v>0</v>
      </c>
      <c r="M709" s="91" t="s">
        <v>622</v>
      </c>
      <c r="O709" s="90"/>
      <c r="P709" s="90"/>
      <c r="Z709" s="90">
        <f t="shared" si="712"/>
        <v>0</v>
      </c>
      <c r="AB709" s="90">
        <f t="shared" si="713"/>
        <v>0</v>
      </c>
      <c r="AC709" s="90">
        <f t="shared" si="714"/>
        <v>0</v>
      </c>
      <c r="AD709" s="90">
        <f t="shared" si="715"/>
        <v>0</v>
      </c>
      <c r="AE709" s="90">
        <f t="shared" si="716"/>
        <v>0</v>
      </c>
      <c r="AF709" s="90">
        <f t="shared" si="717"/>
        <v>0</v>
      </c>
      <c r="AG709" s="90">
        <f t="shared" si="718"/>
        <v>0</v>
      </c>
      <c r="AH709" s="90">
        <f t="shared" si="719"/>
        <v>0</v>
      </c>
      <c r="AI709" s="154" t="s">
        <v>61</v>
      </c>
      <c r="AJ709" s="90">
        <f t="shared" si="720"/>
        <v>0</v>
      </c>
      <c r="AK709" s="90">
        <f t="shared" si="721"/>
        <v>0</v>
      </c>
      <c r="AL709" s="90">
        <f t="shared" si="722"/>
        <v>0</v>
      </c>
      <c r="AN709" s="90">
        <v>15</v>
      </c>
      <c r="AO709" s="90">
        <f>G709*0</f>
        <v>0</v>
      </c>
      <c r="AP709" s="90">
        <f>G709*(1-0)</f>
        <v>211</v>
      </c>
      <c r="AQ709" s="91" t="s">
        <v>79</v>
      </c>
      <c r="AV709" s="90">
        <f t="shared" si="723"/>
        <v>0</v>
      </c>
      <c r="AW709" s="90">
        <f t="shared" si="724"/>
        <v>0</v>
      </c>
      <c r="AX709" s="90">
        <f t="shared" si="725"/>
        <v>0</v>
      </c>
      <c r="AY709" s="91" t="s">
        <v>638</v>
      </c>
      <c r="AZ709" s="91" t="s">
        <v>1643</v>
      </c>
      <c r="BA709" s="154" t="s">
        <v>1649</v>
      </c>
      <c r="BC709" s="90">
        <f t="shared" si="726"/>
        <v>0</v>
      </c>
      <c r="BD709" s="90">
        <f t="shared" si="727"/>
        <v>211</v>
      </c>
      <c r="BE709" s="90">
        <v>0</v>
      </c>
      <c r="BF709" s="90">
        <f t="shared" si="728"/>
        <v>0</v>
      </c>
      <c r="BH709" s="90">
        <f t="shared" si="729"/>
        <v>0</v>
      </c>
      <c r="BI709" s="90">
        <f t="shared" si="730"/>
        <v>0</v>
      </c>
      <c r="BJ709" s="90">
        <f t="shared" si="731"/>
        <v>0</v>
      </c>
    </row>
    <row r="710" spans="1:62" ht="12.75" hidden="1">
      <c r="A710" s="88" t="s">
        <v>1941</v>
      </c>
      <c r="B710" s="88" t="s">
        <v>61</v>
      </c>
      <c r="C710" s="88" t="s">
        <v>1556</v>
      </c>
      <c r="D710" s="88" t="s">
        <v>1602</v>
      </c>
      <c r="E710" s="88" t="s">
        <v>608</v>
      </c>
      <c r="F710" s="90"/>
      <c r="G710" s="90">
        <v>276.5</v>
      </c>
      <c r="H710" s="90">
        <f t="shared" si="708"/>
        <v>0</v>
      </c>
      <c r="I710" s="90">
        <f t="shared" si="709"/>
        <v>0</v>
      </c>
      <c r="J710" s="90">
        <f t="shared" si="710"/>
        <v>0</v>
      </c>
      <c r="K710" s="90">
        <v>0.07717</v>
      </c>
      <c r="L710" s="90">
        <f t="shared" si="711"/>
        <v>0</v>
      </c>
      <c r="M710" s="91" t="s">
        <v>622</v>
      </c>
      <c r="O710" s="90"/>
      <c r="P710" s="90"/>
      <c r="Z710" s="90">
        <f t="shared" si="712"/>
        <v>0</v>
      </c>
      <c r="AB710" s="90">
        <f t="shared" si="713"/>
        <v>0</v>
      </c>
      <c r="AC710" s="90">
        <f t="shared" si="714"/>
        <v>0</v>
      </c>
      <c r="AD710" s="90">
        <f t="shared" si="715"/>
        <v>0</v>
      </c>
      <c r="AE710" s="90">
        <f t="shared" si="716"/>
        <v>0</v>
      </c>
      <c r="AF710" s="90">
        <f t="shared" si="717"/>
        <v>0</v>
      </c>
      <c r="AG710" s="90">
        <f t="shared" si="718"/>
        <v>0</v>
      </c>
      <c r="AH710" s="90">
        <f t="shared" si="719"/>
        <v>0</v>
      </c>
      <c r="AI710" s="154" t="s">
        <v>61</v>
      </c>
      <c r="AJ710" s="90">
        <f t="shared" si="720"/>
        <v>0</v>
      </c>
      <c r="AK710" s="90">
        <f t="shared" si="721"/>
        <v>0</v>
      </c>
      <c r="AL710" s="90">
        <f t="shared" si="722"/>
        <v>0</v>
      </c>
      <c r="AN710" s="90">
        <v>15</v>
      </c>
      <c r="AO710" s="90">
        <f>G710*0.100723357130378</f>
        <v>27.850008246549518</v>
      </c>
      <c r="AP710" s="90">
        <f>G710*(1-0.100723357130378)</f>
        <v>248.64999175345048</v>
      </c>
      <c r="AQ710" s="91" t="s">
        <v>79</v>
      </c>
      <c r="AV710" s="90">
        <f t="shared" si="723"/>
        <v>0</v>
      </c>
      <c r="AW710" s="90">
        <f t="shared" si="724"/>
        <v>0</v>
      </c>
      <c r="AX710" s="90">
        <f t="shared" si="725"/>
        <v>0</v>
      </c>
      <c r="AY710" s="91" t="s">
        <v>638</v>
      </c>
      <c r="AZ710" s="91" t="s">
        <v>1643</v>
      </c>
      <c r="BA710" s="154" t="s">
        <v>1649</v>
      </c>
      <c r="BC710" s="90">
        <f t="shared" si="726"/>
        <v>0</v>
      </c>
      <c r="BD710" s="90">
        <f t="shared" si="727"/>
        <v>276.5</v>
      </c>
      <c r="BE710" s="90">
        <v>0</v>
      </c>
      <c r="BF710" s="90">
        <f t="shared" si="728"/>
        <v>0</v>
      </c>
      <c r="BH710" s="90">
        <f t="shared" si="729"/>
        <v>0</v>
      </c>
      <c r="BI710" s="90">
        <f t="shared" si="730"/>
        <v>0</v>
      </c>
      <c r="BJ710" s="90">
        <f t="shared" si="731"/>
        <v>0</v>
      </c>
    </row>
    <row r="711" spans="1:47" ht="12.75" hidden="1">
      <c r="A711" s="159"/>
      <c r="B711" s="160" t="s">
        <v>61</v>
      </c>
      <c r="C711" s="160" t="s">
        <v>175</v>
      </c>
      <c r="D711" s="160" t="s">
        <v>470</v>
      </c>
      <c r="E711" s="159" t="s">
        <v>57</v>
      </c>
      <c r="F711" s="159"/>
      <c r="G711" s="159" t="s">
        <v>57</v>
      </c>
      <c r="H711" s="161">
        <f>SUM(H712:H719)</f>
        <v>0</v>
      </c>
      <c r="I711" s="161">
        <f>SUM(I712:I719)</f>
        <v>0</v>
      </c>
      <c r="J711" s="161">
        <f>SUM(J712:J719)</f>
        <v>0</v>
      </c>
      <c r="K711" s="154"/>
      <c r="L711" s="161">
        <f>SUM(L712:L719)</f>
        <v>0</v>
      </c>
      <c r="M711" s="154"/>
      <c r="O711" s="159"/>
      <c r="P711" s="159"/>
      <c r="AI711" s="154" t="s">
        <v>61</v>
      </c>
      <c r="AS711" s="161">
        <f>SUM(AJ712:AJ719)</f>
        <v>0</v>
      </c>
      <c r="AT711" s="161">
        <f>SUM(AK712:AK719)</f>
        <v>0</v>
      </c>
      <c r="AU711" s="161">
        <f>SUM(AL712:AL719)</f>
        <v>0</v>
      </c>
    </row>
    <row r="712" spans="1:62" ht="12.75" hidden="1">
      <c r="A712" s="88" t="s">
        <v>1942</v>
      </c>
      <c r="B712" s="88" t="s">
        <v>61</v>
      </c>
      <c r="C712" s="88" t="s">
        <v>956</v>
      </c>
      <c r="D712" s="88" t="s">
        <v>1603</v>
      </c>
      <c r="E712" s="88" t="s">
        <v>606</v>
      </c>
      <c r="F712" s="90"/>
      <c r="G712" s="90">
        <v>355</v>
      </c>
      <c r="H712" s="90">
        <f aca="true" t="shared" si="732" ref="H712:H719">F712*AO712</f>
        <v>0</v>
      </c>
      <c r="I712" s="90">
        <f aca="true" t="shared" si="733" ref="I712:I719">F712*AP712</f>
        <v>0</v>
      </c>
      <c r="J712" s="90">
        <f aca="true" t="shared" si="734" ref="J712:J719">F712*G712</f>
        <v>0</v>
      </c>
      <c r="K712" s="90">
        <v>0</v>
      </c>
      <c r="L712" s="90">
        <f aca="true" t="shared" si="735" ref="L712:L719">F712*K712</f>
        <v>0</v>
      </c>
      <c r="M712" s="91" t="s">
        <v>622</v>
      </c>
      <c r="O712" s="90"/>
      <c r="P712" s="90"/>
      <c r="Z712" s="90">
        <f aca="true" t="shared" si="736" ref="Z712:Z719">IF(AQ712="5",BJ712,0)</f>
        <v>0</v>
      </c>
      <c r="AB712" s="90">
        <f aca="true" t="shared" si="737" ref="AB712:AB719">IF(AQ712="1",BH712,0)</f>
        <v>0</v>
      </c>
      <c r="AC712" s="90">
        <f aca="true" t="shared" si="738" ref="AC712:AC719">IF(AQ712="1",BI712,0)</f>
        <v>0</v>
      </c>
      <c r="AD712" s="90">
        <f aca="true" t="shared" si="739" ref="AD712:AD719">IF(AQ712="7",BH712,0)</f>
        <v>0</v>
      </c>
      <c r="AE712" s="90">
        <f aca="true" t="shared" si="740" ref="AE712:AE719">IF(AQ712="7",BI712,0)</f>
        <v>0</v>
      </c>
      <c r="AF712" s="90">
        <f aca="true" t="shared" si="741" ref="AF712:AF719">IF(AQ712="2",BH712,0)</f>
        <v>0</v>
      </c>
      <c r="AG712" s="90">
        <f aca="true" t="shared" si="742" ref="AG712:AG719">IF(AQ712="2",BI712,0)</f>
        <v>0</v>
      </c>
      <c r="AH712" s="90">
        <f aca="true" t="shared" si="743" ref="AH712:AH719">IF(AQ712="0",BJ712,0)</f>
        <v>0</v>
      </c>
      <c r="AI712" s="154" t="s">
        <v>61</v>
      </c>
      <c r="AJ712" s="90">
        <f aca="true" t="shared" si="744" ref="AJ712:AJ719">IF(AN712=0,J712,0)</f>
        <v>0</v>
      </c>
      <c r="AK712" s="90">
        <f aca="true" t="shared" si="745" ref="AK712:AK719">IF(AN712=15,J712,0)</f>
        <v>0</v>
      </c>
      <c r="AL712" s="90">
        <f aca="true" t="shared" si="746" ref="AL712:AL719">IF(AN712=21,J712,0)</f>
        <v>0</v>
      </c>
      <c r="AN712" s="90">
        <v>15</v>
      </c>
      <c r="AO712" s="90">
        <f>G712*0</f>
        <v>0</v>
      </c>
      <c r="AP712" s="90">
        <f>G712*(1-0)</f>
        <v>355</v>
      </c>
      <c r="AQ712" s="91" t="s">
        <v>79</v>
      </c>
      <c r="AV712" s="90">
        <f aca="true" t="shared" si="747" ref="AV712:AV719">AW712+AX712</f>
        <v>0</v>
      </c>
      <c r="AW712" s="90">
        <f aca="true" t="shared" si="748" ref="AW712:AW719">F712*AO712</f>
        <v>0</v>
      </c>
      <c r="AX712" s="90">
        <f aca="true" t="shared" si="749" ref="AX712:AX719">F712*AP712</f>
        <v>0</v>
      </c>
      <c r="AY712" s="91" t="s">
        <v>639</v>
      </c>
      <c r="AZ712" s="91" t="s">
        <v>1643</v>
      </c>
      <c r="BA712" s="154" t="s">
        <v>1649</v>
      </c>
      <c r="BC712" s="90">
        <f aca="true" t="shared" si="750" ref="BC712:BC719">AW712+AX712</f>
        <v>0</v>
      </c>
      <c r="BD712" s="90">
        <f aca="true" t="shared" si="751" ref="BD712:BD719">G712/(100-BE712)*100</f>
        <v>355</v>
      </c>
      <c r="BE712" s="90">
        <v>0</v>
      </c>
      <c r="BF712" s="90">
        <f aca="true" t="shared" si="752" ref="BF712:BF719">L712</f>
        <v>0</v>
      </c>
      <c r="BH712" s="90">
        <f aca="true" t="shared" si="753" ref="BH712:BH719">F712*AO712</f>
        <v>0</v>
      </c>
      <c r="BI712" s="90">
        <f aca="true" t="shared" si="754" ref="BI712:BI719">F712*AP712</f>
        <v>0</v>
      </c>
      <c r="BJ712" s="90">
        <f aca="true" t="shared" si="755" ref="BJ712:BJ719">F712*G712</f>
        <v>0</v>
      </c>
    </row>
    <row r="713" spans="1:62" ht="12.75" hidden="1">
      <c r="A713" s="88" t="s">
        <v>1943</v>
      </c>
      <c r="B713" s="88" t="s">
        <v>61</v>
      </c>
      <c r="C713" s="88" t="s">
        <v>1557</v>
      </c>
      <c r="D713" s="88" t="s">
        <v>1604</v>
      </c>
      <c r="E713" s="88" t="s">
        <v>608</v>
      </c>
      <c r="F713" s="90"/>
      <c r="G713" s="90">
        <v>127</v>
      </c>
      <c r="H713" s="90">
        <f t="shared" si="732"/>
        <v>0</v>
      </c>
      <c r="I713" s="90">
        <f t="shared" si="733"/>
        <v>0</v>
      </c>
      <c r="J713" s="90">
        <f t="shared" si="734"/>
        <v>0</v>
      </c>
      <c r="K713" s="90">
        <v>0.27054</v>
      </c>
      <c r="L713" s="90">
        <f t="shared" si="735"/>
        <v>0</v>
      </c>
      <c r="M713" s="91" t="s">
        <v>622</v>
      </c>
      <c r="O713" s="90"/>
      <c r="P713" s="90"/>
      <c r="Z713" s="90">
        <f t="shared" si="736"/>
        <v>0</v>
      </c>
      <c r="AB713" s="90">
        <f t="shared" si="737"/>
        <v>0</v>
      </c>
      <c r="AC713" s="90">
        <f t="shared" si="738"/>
        <v>0</v>
      </c>
      <c r="AD713" s="90">
        <f t="shared" si="739"/>
        <v>0</v>
      </c>
      <c r="AE713" s="90">
        <f t="shared" si="740"/>
        <v>0</v>
      </c>
      <c r="AF713" s="90">
        <f t="shared" si="741"/>
        <v>0</v>
      </c>
      <c r="AG713" s="90">
        <f t="shared" si="742"/>
        <v>0</v>
      </c>
      <c r="AH713" s="90">
        <f t="shared" si="743"/>
        <v>0</v>
      </c>
      <c r="AI713" s="154" t="s">
        <v>61</v>
      </c>
      <c r="AJ713" s="90">
        <f t="shared" si="744"/>
        <v>0</v>
      </c>
      <c r="AK713" s="90">
        <f t="shared" si="745"/>
        <v>0</v>
      </c>
      <c r="AL713" s="90">
        <f t="shared" si="746"/>
        <v>0</v>
      </c>
      <c r="AN713" s="90">
        <v>15</v>
      </c>
      <c r="AO713" s="90">
        <f>G713*0.101339833384758</f>
        <v>12.870158839864265</v>
      </c>
      <c r="AP713" s="90">
        <f>G713*(1-0.101339833384758)</f>
        <v>114.12984116013574</v>
      </c>
      <c r="AQ713" s="91" t="s">
        <v>79</v>
      </c>
      <c r="AV713" s="90">
        <f t="shared" si="747"/>
        <v>0</v>
      </c>
      <c r="AW713" s="90">
        <f t="shared" si="748"/>
        <v>0</v>
      </c>
      <c r="AX713" s="90">
        <f t="shared" si="749"/>
        <v>0</v>
      </c>
      <c r="AY713" s="91" t="s">
        <v>639</v>
      </c>
      <c r="AZ713" s="91" t="s">
        <v>1643</v>
      </c>
      <c r="BA713" s="154" t="s">
        <v>1649</v>
      </c>
      <c r="BC713" s="90">
        <f t="shared" si="750"/>
        <v>0</v>
      </c>
      <c r="BD713" s="90">
        <f t="shared" si="751"/>
        <v>127</v>
      </c>
      <c r="BE713" s="90">
        <v>0</v>
      </c>
      <c r="BF713" s="90">
        <f t="shared" si="752"/>
        <v>0</v>
      </c>
      <c r="BH713" s="90">
        <f t="shared" si="753"/>
        <v>0</v>
      </c>
      <c r="BI713" s="90">
        <f t="shared" si="754"/>
        <v>0</v>
      </c>
      <c r="BJ713" s="90">
        <f t="shared" si="755"/>
        <v>0</v>
      </c>
    </row>
    <row r="714" spans="1:62" ht="12.75" hidden="1">
      <c r="A714" s="88" t="s">
        <v>1944</v>
      </c>
      <c r="B714" s="88" t="s">
        <v>61</v>
      </c>
      <c r="C714" s="88" t="s">
        <v>957</v>
      </c>
      <c r="D714" s="88" t="s">
        <v>1247</v>
      </c>
      <c r="E714" s="88" t="s">
        <v>609</v>
      </c>
      <c r="F714" s="90"/>
      <c r="G714" s="90">
        <v>1750</v>
      </c>
      <c r="H714" s="90">
        <f t="shared" si="732"/>
        <v>0</v>
      </c>
      <c r="I714" s="90">
        <f t="shared" si="733"/>
        <v>0</v>
      </c>
      <c r="J714" s="90">
        <f t="shared" si="734"/>
        <v>0</v>
      </c>
      <c r="K714" s="90">
        <v>0</v>
      </c>
      <c r="L714" s="90">
        <f t="shared" si="735"/>
        <v>0</v>
      </c>
      <c r="M714" s="91" t="s">
        <v>622</v>
      </c>
      <c r="O714" s="90"/>
      <c r="P714" s="90"/>
      <c r="Z714" s="90">
        <f t="shared" si="736"/>
        <v>0</v>
      </c>
      <c r="AB714" s="90">
        <f t="shared" si="737"/>
        <v>0</v>
      </c>
      <c r="AC714" s="90">
        <f t="shared" si="738"/>
        <v>0</v>
      </c>
      <c r="AD714" s="90">
        <f t="shared" si="739"/>
        <v>0</v>
      </c>
      <c r="AE714" s="90">
        <f t="shared" si="740"/>
        <v>0</v>
      </c>
      <c r="AF714" s="90">
        <f t="shared" si="741"/>
        <v>0</v>
      </c>
      <c r="AG714" s="90">
        <f t="shared" si="742"/>
        <v>0</v>
      </c>
      <c r="AH714" s="90">
        <f t="shared" si="743"/>
        <v>0</v>
      </c>
      <c r="AI714" s="154" t="s">
        <v>61</v>
      </c>
      <c r="AJ714" s="90">
        <f t="shared" si="744"/>
        <v>0</v>
      </c>
      <c r="AK714" s="90">
        <f t="shared" si="745"/>
        <v>0</v>
      </c>
      <c r="AL714" s="90">
        <f t="shared" si="746"/>
        <v>0</v>
      </c>
      <c r="AN714" s="90">
        <v>15</v>
      </c>
      <c r="AO714" s="90">
        <f>G714*0.105417142857143</f>
        <v>184.48000000000025</v>
      </c>
      <c r="AP714" s="90">
        <f>G714*(1-0.105417142857143)</f>
        <v>1565.5199999999998</v>
      </c>
      <c r="AQ714" s="91" t="s">
        <v>79</v>
      </c>
      <c r="AV714" s="90">
        <f t="shared" si="747"/>
        <v>0</v>
      </c>
      <c r="AW714" s="90">
        <f t="shared" si="748"/>
        <v>0</v>
      </c>
      <c r="AX714" s="90">
        <f t="shared" si="749"/>
        <v>0</v>
      </c>
      <c r="AY714" s="91" t="s">
        <v>639</v>
      </c>
      <c r="AZ714" s="91" t="s">
        <v>1643</v>
      </c>
      <c r="BA714" s="154" t="s">
        <v>1649</v>
      </c>
      <c r="BC714" s="90">
        <f t="shared" si="750"/>
        <v>0</v>
      </c>
      <c r="BD714" s="90">
        <f t="shared" si="751"/>
        <v>1750</v>
      </c>
      <c r="BE714" s="90">
        <v>0</v>
      </c>
      <c r="BF714" s="90">
        <f t="shared" si="752"/>
        <v>0</v>
      </c>
      <c r="BH714" s="90">
        <f t="shared" si="753"/>
        <v>0</v>
      </c>
      <c r="BI714" s="90">
        <f t="shared" si="754"/>
        <v>0</v>
      </c>
      <c r="BJ714" s="90">
        <f t="shared" si="755"/>
        <v>0</v>
      </c>
    </row>
    <row r="715" spans="1:62" ht="12.75" hidden="1">
      <c r="A715" s="88" t="s">
        <v>1945</v>
      </c>
      <c r="B715" s="88" t="s">
        <v>61</v>
      </c>
      <c r="C715" s="88" t="s">
        <v>1558</v>
      </c>
      <c r="D715" s="88" t="s">
        <v>1605</v>
      </c>
      <c r="E715" s="88" t="s">
        <v>608</v>
      </c>
      <c r="F715" s="90"/>
      <c r="G715" s="90">
        <v>7.1</v>
      </c>
      <c r="H715" s="90">
        <f t="shared" si="732"/>
        <v>0</v>
      </c>
      <c r="I715" s="90">
        <f t="shared" si="733"/>
        <v>0</v>
      </c>
      <c r="J715" s="90">
        <f t="shared" si="734"/>
        <v>0</v>
      </c>
      <c r="K715" s="90">
        <v>0.004</v>
      </c>
      <c r="L715" s="90">
        <f t="shared" si="735"/>
        <v>0</v>
      </c>
      <c r="M715" s="91" t="s">
        <v>622</v>
      </c>
      <c r="O715" s="90"/>
      <c r="P715" s="90"/>
      <c r="Z715" s="90">
        <f t="shared" si="736"/>
        <v>0</v>
      </c>
      <c r="AB715" s="90">
        <f t="shared" si="737"/>
        <v>0</v>
      </c>
      <c r="AC715" s="90">
        <f t="shared" si="738"/>
        <v>0</v>
      </c>
      <c r="AD715" s="90">
        <f t="shared" si="739"/>
        <v>0</v>
      </c>
      <c r="AE715" s="90">
        <f t="shared" si="740"/>
        <v>0</v>
      </c>
      <c r="AF715" s="90">
        <f t="shared" si="741"/>
        <v>0</v>
      </c>
      <c r="AG715" s="90">
        <f t="shared" si="742"/>
        <v>0</v>
      </c>
      <c r="AH715" s="90">
        <f t="shared" si="743"/>
        <v>0</v>
      </c>
      <c r="AI715" s="154" t="s">
        <v>61</v>
      </c>
      <c r="AJ715" s="90">
        <f t="shared" si="744"/>
        <v>0</v>
      </c>
      <c r="AK715" s="90">
        <f t="shared" si="745"/>
        <v>0</v>
      </c>
      <c r="AL715" s="90">
        <f t="shared" si="746"/>
        <v>0</v>
      </c>
      <c r="AN715" s="90">
        <v>15</v>
      </c>
      <c r="AO715" s="90">
        <f>G715*0</f>
        <v>0</v>
      </c>
      <c r="AP715" s="90">
        <f>G715*(1-0)</f>
        <v>7.1</v>
      </c>
      <c r="AQ715" s="91" t="s">
        <v>79</v>
      </c>
      <c r="AV715" s="90">
        <f t="shared" si="747"/>
        <v>0</v>
      </c>
      <c r="AW715" s="90">
        <f t="shared" si="748"/>
        <v>0</v>
      </c>
      <c r="AX715" s="90">
        <f t="shared" si="749"/>
        <v>0</v>
      </c>
      <c r="AY715" s="91" t="s">
        <v>639</v>
      </c>
      <c r="AZ715" s="91" t="s">
        <v>1643</v>
      </c>
      <c r="BA715" s="154" t="s">
        <v>1649</v>
      </c>
      <c r="BC715" s="90">
        <f t="shared" si="750"/>
        <v>0</v>
      </c>
      <c r="BD715" s="90">
        <f t="shared" si="751"/>
        <v>7.1</v>
      </c>
      <c r="BE715" s="90">
        <v>0</v>
      </c>
      <c r="BF715" s="90">
        <f t="shared" si="752"/>
        <v>0</v>
      </c>
      <c r="BH715" s="90">
        <f t="shared" si="753"/>
        <v>0</v>
      </c>
      <c r="BI715" s="90">
        <f t="shared" si="754"/>
        <v>0</v>
      </c>
      <c r="BJ715" s="90">
        <f t="shared" si="755"/>
        <v>0</v>
      </c>
    </row>
    <row r="716" spans="1:62" ht="12.75" hidden="1">
      <c r="A716" s="88" t="s">
        <v>1946</v>
      </c>
      <c r="B716" s="88" t="s">
        <v>61</v>
      </c>
      <c r="C716" s="88" t="s">
        <v>1559</v>
      </c>
      <c r="D716" s="88" t="s">
        <v>1606</v>
      </c>
      <c r="E716" s="88" t="s">
        <v>608</v>
      </c>
      <c r="F716" s="90"/>
      <c r="G716" s="90">
        <v>18.9</v>
      </c>
      <c r="H716" s="90">
        <f t="shared" si="732"/>
        <v>0</v>
      </c>
      <c r="I716" s="90">
        <f t="shared" si="733"/>
        <v>0</v>
      </c>
      <c r="J716" s="90">
        <f t="shared" si="734"/>
        <v>0</v>
      </c>
      <c r="K716" s="90">
        <v>0.01</v>
      </c>
      <c r="L716" s="90">
        <f t="shared" si="735"/>
        <v>0</v>
      </c>
      <c r="M716" s="91" t="s">
        <v>622</v>
      </c>
      <c r="O716" s="90"/>
      <c r="P716" s="90"/>
      <c r="Z716" s="90">
        <f t="shared" si="736"/>
        <v>0</v>
      </c>
      <c r="AB716" s="90">
        <f t="shared" si="737"/>
        <v>0</v>
      </c>
      <c r="AC716" s="90">
        <f t="shared" si="738"/>
        <v>0</v>
      </c>
      <c r="AD716" s="90">
        <f t="shared" si="739"/>
        <v>0</v>
      </c>
      <c r="AE716" s="90">
        <f t="shared" si="740"/>
        <v>0</v>
      </c>
      <c r="AF716" s="90">
        <f t="shared" si="741"/>
        <v>0</v>
      </c>
      <c r="AG716" s="90">
        <f t="shared" si="742"/>
        <v>0</v>
      </c>
      <c r="AH716" s="90">
        <f t="shared" si="743"/>
        <v>0</v>
      </c>
      <c r="AI716" s="154" t="s">
        <v>61</v>
      </c>
      <c r="AJ716" s="90">
        <f t="shared" si="744"/>
        <v>0</v>
      </c>
      <c r="AK716" s="90">
        <f t="shared" si="745"/>
        <v>0</v>
      </c>
      <c r="AL716" s="90">
        <f t="shared" si="746"/>
        <v>0</v>
      </c>
      <c r="AN716" s="90">
        <v>15</v>
      </c>
      <c r="AO716" s="90">
        <f>G716*0</f>
        <v>0</v>
      </c>
      <c r="AP716" s="90">
        <f>G716*(1-0)</f>
        <v>18.9</v>
      </c>
      <c r="AQ716" s="91" t="s">
        <v>79</v>
      </c>
      <c r="AV716" s="90">
        <f t="shared" si="747"/>
        <v>0</v>
      </c>
      <c r="AW716" s="90">
        <f t="shared" si="748"/>
        <v>0</v>
      </c>
      <c r="AX716" s="90">
        <f t="shared" si="749"/>
        <v>0</v>
      </c>
      <c r="AY716" s="91" t="s">
        <v>639</v>
      </c>
      <c r="AZ716" s="91" t="s">
        <v>1643</v>
      </c>
      <c r="BA716" s="154" t="s">
        <v>1649</v>
      </c>
      <c r="BC716" s="90">
        <f t="shared" si="750"/>
        <v>0</v>
      </c>
      <c r="BD716" s="90">
        <f t="shared" si="751"/>
        <v>18.9</v>
      </c>
      <c r="BE716" s="90">
        <v>0</v>
      </c>
      <c r="BF716" s="90">
        <f t="shared" si="752"/>
        <v>0</v>
      </c>
      <c r="BH716" s="90">
        <f t="shared" si="753"/>
        <v>0</v>
      </c>
      <c r="BI716" s="90">
        <f t="shared" si="754"/>
        <v>0</v>
      </c>
      <c r="BJ716" s="90">
        <f t="shared" si="755"/>
        <v>0</v>
      </c>
    </row>
    <row r="717" spans="1:62" ht="12.75" hidden="1">
      <c r="A717" s="88" t="s">
        <v>1947</v>
      </c>
      <c r="B717" s="88" t="s">
        <v>61</v>
      </c>
      <c r="C717" s="88" t="s">
        <v>278</v>
      </c>
      <c r="D717" s="88" t="s">
        <v>1607</v>
      </c>
      <c r="E717" s="88" t="s">
        <v>608</v>
      </c>
      <c r="F717" s="90"/>
      <c r="G717" s="90">
        <v>61.4</v>
      </c>
      <c r="H717" s="90">
        <f t="shared" si="732"/>
        <v>0</v>
      </c>
      <c r="I717" s="90">
        <f t="shared" si="733"/>
        <v>0</v>
      </c>
      <c r="J717" s="90">
        <f t="shared" si="734"/>
        <v>0</v>
      </c>
      <c r="K717" s="90">
        <v>0.046</v>
      </c>
      <c r="L717" s="90">
        <f t="shared" si="735"/>
        <v>0</v>
      </c>
      <c r="M717" s="91" t="s">
        <v>622</v>
      </c>
      <c r="O717" s="90"/>
      <c r="P717" s="90"/>
      <c r="Z717" s="90">
        <f t="shared" si="736"/>
        <v>0</v>
      </c>
      <c r="AB717" s="90">
        <f t="shared" si="737"/>
        <v>0</v>
      </c>
      <c r="AC717" s="90">
        <f t="shared" si="738"/>
        <v>0</v>
      </c>
      <c r="AD717" s="90">
        <f t="shared" si="739"/>
        <v>0</v>
      </c>
      <c r="AE717" s="90">
        <f t="shared" si="740"/>
        <v>0</v>
      </c>
      <c r="AF717" s="90">
        <f t="shared" si="741"/>
        <v>0</v>
      </c>
      <c r="AG717" s="90">
        <f t="shared" si="742"/>
        <v>0</v>
      </c>
      <c r="AH717" s="90">
        <f t="shared" si="743"/>
        <v>0</v>
      </c>
      <c r="AI717" s="154" t="s">
        <v>61</v>
      </c>
      <c r="AJ717" s="90">
        <f t="shared" si="744"/>
        <v>0</v>
      </c>
      <c r="AK717" s="90">
        <f t="shared" si="745"/>
        <v>0</v>
      </c>
      <c r="AL717" s="90">
        <f t="shared" si="746"/>
        <v>0</v>
      </c>
      <c r="AN717" s="90">
        <v>15</v>
      </c>
      <c r="AO717" s="90">
        <f>G717*0</f>
        <v>0</v>
      </c>
      <c r="AP717" s="90">
        <f>G717*(1-0)</f>
        <v>61.4</v>
      </c>
      <c r="AQ717" s="91" t="s">
        <v>79</v>
      </c>
      <c r="AV717" s="90">
        <f t="shared" si="747"/>
        <v>0</v>
      </c>
      <c r="AW717" s="90">
        <f t="shared" si="748"/>
        <v>0</v>
      </c>
      <c r="AX717" s="90">
        <f t="shared" si="749"/>
        <v>0</v>
      </c>
      <c r="AY717" s="91" t="s">
        <v>639</v>
      </c>
      <c r="AZ717" s="91" t="s">
        <v>1643</v>
      </c>
      <c r="BA717" s="154" t="s">
        <v>1649</v>
      </c>
      <c r="BC717" s="90">
        <f t="shared" si="750"/>
        <v>0</v>
      </c>
      <c r="BD717" s="90">
        <f t="shared" si="751"/>
        <v>61.4</v>
      </c>
      <c r="BE717" s="90">
        <v>0</v>
      </c>
      <c r="BF717" s="90">
        <f t="shared" si="752"/>
        <v>0</v>
      </c>
      <c r="BH717" s="90">
        <f t="shared" si="753"/>
        <v>0</v>
      </c>
      <c r="BI717" s="90">
        <f t="shared" si="754"/>
        <v>0</v>
      </c>
      <c r="BJ717" s="90">
        <f t="shared" si="755"/>
        <v>0</v>
      </c>
    </row>
    <row r="718" spans="1:62" ht="12.75" hidden="1">
      <c r="A718" s="88" t="s">
        <v>1948</v>
      </c>
      <c r="B718" s="88" t="s">
        <v>61</v>
      </c>
      <c r="C718" s="88" t="s">
        <v>279</v>
      </c>
      <c r="D718" s="88" t="s">
        <v>1608</v>
      </c>
      <c r="E718" s="88" t="s">
        <v>608</v>
      </c>
      <c r="F718" s="90"/>
      <c r="G718" s="90">
        <v>78.3</v>
      </c>
      <c r="H718" s="90">
        <f t="shared" si="732"/>
        <v>0</v>
      </c>
      <c r="I718" s="90">
        <f t="shared" si="733"/>
        <v>0</v>
      </c>
      <c r="J718" s="90">
        <f t="shared" si="734"/>
        <v>0</v>
      </c>
      <c r="K718" s="90">
        <v>0.068</v>
      </c>
      <c r="L718" s="90">
        <f t="shared" si="735"/>
        <v>0</v>
      </c>
      <c r="M718" s="91" t="s">
        <v>622</v>
      </c>
      <c r="O718" s="90"/>
      <c r="P718" s="90"/>
      <c r="Z718" s="90">
        <f t="shared" si="736"/>
        <v>0</v>
      </c>
      <c r="AB718" s="90">
        <f t="shared" si="737"/>
        <v>0</v>
      </c>
      <c r="AC718" s="90">
        <f t="shared" si="738"/>
        <v>0</v>
      </c>
      <c r="AD718" s="90">
        <f t="shared" si="739"/>
        <v>0</v>
      </c>
      <c r="AE718" s="90">
        <f t="shared" si="740"/>
        <v>0</v>
      </c>
      <c r="AF718" s="90">
        <f t="shared" si="741"/>
        <v>0</v>
      </c>
      <c r="AG718" s="90">
        <f t="shared" si="742"/>
        <v>0</v>
      </c>
      <c r="AH718" s="90">
        <f t="shared" si="743"/>
        <v>0</v>
      </c>
      <c r="AI718" s="154" t="s">
        <v>61</v>
      </c>
      <c r="AJ718" s="90">
        <f t="shared" si="744"/>
        <v>0</v>
      </c>
      <c r="AK718" s="90">
        <f t="shared" si="745"/>
        <v>0</v>
      </c>
      <c r="AL718" s="90">
        <f t="shared" si="746"/>
        <v>0</v>
      </c>
      <c r="AN718" s="90">
        <v>15</v>
      </c>
      <c r="AO718" s="90">
        <f>G718*0</f>
        <v>0</v>
      </c>
      <c r="AP718" s="90">
        <f>G718*(1-0)</f>
        <v>78.3</v>
      </c>
      <c r="AQ718" s="91" t="s">
        <v>79</v>
      </c>
      <c r="AV718" s="90">
        <f t="shared" si="747"/>
        <v>0</v>
      </c>
      <c r="AW718" s="90">
        <f t="shared" si="748"/>
        <v>0</v>
      </c>
      <c r="AX718" s="90">
        <f t="shared" si="749"/>
        <v>0</v>
      </c>
      <c r="AY718" s="91" t="s">
        <v>639</v>
      </c>
      <c r="AZ718" s="91" t="s">
        <v>1643</v>
      </c>
      <c r="BA718" s="154" t="s">
        <v>1649</v>
      </c>
      <c r="BC718" s="90">
        <f t="shared" si="750"/>
        <v>0</v>
      </c>
      <c r="BD718" s="90">
        <f t="shared" si="751"/>
        <v>78.3</v>
      </c>
      <c r="BE718" s="90">
        <v>0</v>
      </c>
      <c r="BF718" s="90">
        <f t="shared" si="752"/>
        <v>0</v>
      </c>
      <c r="BH718" s="90">
        <f t="shared" si="753"/>
        <v>0</v>
      </c>
      <c r="BI718" s="90">
        <f t="shared" si="754"/>
        <v>0</v>
      </c>
      <c r="BJ718" s="90">
        <f t="shared" si="755"/>
        <v>0</v>
      </c>
    </row>
    <row r="719" spans="1:62" ht="12.75" hidden="1">
      <c r="A719" s="88" t="s">
        <v>1949</v>
      </c>
      <c r="B719" s="88" t="s">
        <v>61</v>
      </c>
      <c r="C719" s="88" t="s">
        <v>1560</v>
      </c>
      <c r="D719" s="88" t="s">
        <v>1609</v>
      </c>
      <c r="E719" s="88" t="s">
        <v>608</v>
      </c>
      <c r="F719" s="90"/>
      <c r="G719" s="90">
        <v>85</v>
      </c>
      <c r="H719" s="90">
        <f t="shared" si="732"/>
        <v>0</v>
      </c>
      <c r="I719" s="90">
        <f t="shared" si="733"/>
        <v>0</v>
      </c>
      <c r="J719" s="90">
        <f t="shared" si="734"/>
        <v>0</v>
      </c>
      <c r="K719" s="90">
        <v>0.0286</v>
      </c>
      <c r="L719" s="90">
        <f t="shared" si="735"/>
        <v>0</v>
      </c>
      <c r="M719" s="91" t="s">
        <v>622</v>
      </c>
      <c r="O719" s="90"/>
      <c r="P719" s="90"/>
      <c r="Z719" s="90">
        <f t="shared" si="736"/>
        <v>0</v>
      </c>
      <c r="AB719" s="90">
        <f t="shared" si="737"/>
        <v>0</v>
      </c>
      <c r="AC719" s="90">
        <f t="shared" si="738"/>
        <v>0</v>
      </c>
      <c r="AD719" s="90">
        <f t="shared" si="739"/>
        <v>0</v>
      </c>
      <c r="AE719" s="90">
        <f t="shared" si="740"/>
        <v>0</v>
      </c>
      <c r="AF719" s="90">
        <f t="shared" si="741"/>
        <v>0</v>
      </c>
      <c r="AG719" s="90">
        <f t="shared" si="742"/>
        <v>0</v>
      </c>
      <c r="AH719" s="90">
        <f t="shared" si="743"/>
        <v>0</v>
      </c>
      <c r="AI719" s="154" t="s">
        <v>61</v>
      </c>
      <c r="AJ719" s="90">
        <f t="shared" si="744"/>
        <v>0</v>
      </c>
      <c r="AK719" s="90">
        <f t="shared" si="745"/>
        <v>0</v>
      </c>
      <c r="AL719" s="90">
        <f t="shared" si="746"/>
        <v>0</v>
      </c>
      <c r="AN719" s="90">
        <v>15</v>
      </c>
      <c r="AO719" s="90">
        <f>G719*0</f>
        <v>0</v>
      </c>
      <c r="AP719" s="90">
        <f>G719*(1-0)</f>
        <v>85</v>
      </c>
      <c r="AQ719" s="91" t="s">
        <v>79</v>
      </c>
      <c r="AV719" s="90">
        <f t="shared" si="747"/>
        <v>0</v>
      </c>
      <c r="AW719" s="90">
        <f t="shared" si="748"/>
        <v>0</v>
      </c>
      <c r="AX719" s="90">
        <f t="shared" si="749"/>
        <v>0</v>
      </c>
      <c r="AY719" s="91" t="s">
        <v>639</v>
      </c>
      <c r="AZ719" s="91" t="s">
        <v>1643</v>
      </c>
      <c r="BA719" s="154" t="s">
        <v>1649</v>
      </c>
      <c r="BC719" s="90">
        <f t="shared" si="750"/>
        <v>0</v>
      </c>
      <c r="BD719" s="90">
        <f t="shared" si="751"/>
        <v>85</v>
      </c>
      <c r="BE719" s="90">
        <v>0</v>
      </c>
      <c r="BF719" s="90">
        <f t="shared" si="752"/>
        <v>0</v>
      </c>
      <c r="BH719" s="90">
        <f t="shared" si="753"/>
        <v>0</v>
      </c>
      <c r="BI719" s="90">
        <f t="shared" si="754"/>
        <v>0</v>
      </c>
      <c r="BJ719" s="90">
        <f t="shared" si="755"/>
        <v>0</v>
      </c>
    </row>
    <row r="720" spans="1:47" ht="12.75" hidden="1">
      <c r="A720" s="159"/>
      <c r="B720" s="160" t="s">
        <v>61</v>
      </c>
      <c r="C720" s="160" t="s">
        <v>280</v>
      </c>
      <c r="D720" s="160" t="s">
        <v>473</v>
      </c>
      <c r="E720" s="159" t="s">
        <v>57</v>
      </c>
      <c r="F720" s="159"/>
      <c r="G720" s="159" t="s">
        <v>57</v>
      </c>
      <c r="H720" s="161">
        <f>SUM(H721:H729)</f>
        <v>0</v>
      </c>
      <c r="I720" s="161">
        <f>SUM(I721:I729)</f>
        <v>0</v>
      </c>
      <c r="J720" s="161">
        <f>SUM(J721:J729)</f>
        <v>0</v>
      </c>
      <c r="K720" s="154"/>
      <c r="L720" s="161">
        <f>SUM(L721:L729)</f>
        <v>0</v>
      </c>
      <c r="M720" s="154"/>
      <c r="O720" s="159"/>
      <c r="P720" s="159"/>
      <c r="AI720" s="154" t="s">
        <v>61</v>
      </c>
      <c r="AS720" s="161">
        <f>SUM(AJ721:AJ729)</f>
        <v>0</v>
      </c>
      <c r="AT720" s="161">
        <f>SUM(AK721:AK729)</f>
        <v>0</v>
      </c>
      <c r="AU720" s="161">
        <f>SUM(AL721:AL729)</f>
        <v>0</v>
      </c>
    </row>
    <row r="721" spans="1:62" ht="12.75" hidden="1">
      <c r="A721" s="88" t="s">
        <v>1950</v>
      </c>
      <c r="B721" s="88" t="s">
        <v>61</v>
      </c>
      <c r="C721" s="88" t="s">
        <v>281</v>
      </c>
      <c r="D721" s="88" t="s">
        <v>474</v>
      </c>
      <c r="E721" s="88" t="s">
        <v>612</v>
      </c>
      <c r="F721" s="90"/>
      <c r="G721" s="90">
        <v>174.5</v>
      </c>
      <c r="H721" s="90">
        <f aca="true" t="shared" si="756" ref="H721:H729">F721*AO721</f>
        <v>0</v>
      </c>
      <c r="I721" s="90">
        <f aca="true" t="shared" si="757" ref="I721:I729">F721*AP721</f>
        <v>0</v>
      </c>
      <c r="J721" s="90">
        <f aca="true" t="shared" si="758" ref="J721:J729">F721*G721</f>
        <v>0</v>
      </c>
      <c r="K721" s="90">
        <v>0</v>
      </c>
      <c r="L721" s="90">
        <f aca="true" t="shared" si="759" ref="L721:L729">F721*K721</f>
        <v>0</v>
      </c>
      <c r="M721" s="91" t="s">
        <v>622</v>
      </c>
      <c r="O721" s="90"/>
      <c r="P721" s="90"/>
      <c r="Z721" s="90">
        <f aca="true" t="shared" si="760" ref="Z721:Z729">IF(AQ721="5",BJ721,0)</f>
        <v>0</v>
      </c>
      <c r="AB721" s="90">
        <f aca="true" t="shared" si="761" ref="AB721:AB729">IF(AQ721="1",BH721,0)</f>
        <v>0</v>
      </c>
      <c r="AC721" s="90">
        <f aca="true" t="shared" si="762" ref="AC721:AC729">IF(AQ721="1",BI721,0)</f>
        <v>0</v>
      </c>
      <c r="AD721" s="90">
        <f aca="true" t="shared" si="763" ref="AD721:AD729">IF(AQ721="7",BH721,0)</f>
        <v>0</v>
      </c>
      <c r="AE721" s="90">
        <f aca="true" t="shared" si="764" ref="AE721:AE729">IF(AQ721="7",BI721,0)</f>
        <v>0</v>
      </c>
      <c r="AF721" s="90">
        <f aca="true" t="shared" si="765" ref="AF721:AF729">IF(AQ721="2",BH721,0)</f>
        <v>0</v>
      </c>
      <c r="AG721" s="90">
        <f aca="true" t="shared" si="766" ref="AG721:AG729">IF(AQ721="2",BI721,0)</f>
        <v>0</v>
      </c>
      <c r="AH721" s="90">
        <f aca="true" t="shared" si="767" ref="AH721:AH729">IF(AQ721="0",BJ721,0)</f>
        <v>0</v>
      </c>
      <c r="AI721" s="154" t="s">
        <v>61</v>
      </c>
      <c r="AJ721" s="90">
        <f aca="true" t="shared" si="768" ref="AJ721:AJ729">IF(AN721=0,J721,0)</f>
        <v>0</v>
      </c>
      <c r="AK721" s="90">
        <f aca="true" t="shared" si="769" ref="AK721:AK729">IF(AN721=15,J721,0)</f>
        <v>0</v>
      </c>
      <c r="AL721" s="90">
        <f aca="true" t="shared" si="770" ref="AL721:AL729">IF(AN721=21,J721,0)</f>
        <v>0</v>
      </c>
      <c r="AN721" s="90">
        <v>15</v>
      </c>
      <c r="AO721" s="90">
        <f aca="true" t="shared" si="771" ref="AO721:AO729">G721*0</f>
        <v>0</v>
      </c>
      <c r="AP721" s="90">
        <f aca="true" t="shared" si="772" ref="AP721:AP729">G721*(1-0)</f>
        <v>174.5</v>
      </c>
      <c r="AQ721" s="91" t="s">
        <v>83</v>
      </c>
      <c r="AV721" s="90">
        <f aca="true" t="shared" si="773" ref="AV721:AV729">AW721+AX721</f>
        <v>0</v>
      </c>
      <c r="AW721" s="90">
        <f aca="true" t="shared" si="774" ref="AW721:AW729">F721*AO721</f>
        <v>0</v>
      </c>
      <c r="AX721" s="90">
        <f aca="true" t="shared" si="775" ref="AX721:AX729">F721*AP721</f>
        <v>0</v>
      </c>
      <c r="AY721" s="91" t="s">
        <v>640</v>
      </c>
      <c r="AZ721" s="91" t="s">
        <v>1643</v>
      </c>
      <c r="BA721" s="154" t="s">
        <v>1649</v>
      </c>
      <c r="BC721" s="90">
        <f aca="true" t="shared" si="776" ref="BC721:BC729">AW721+AX721</f>
        <v>0</v>
      </c>
      <c r="BD721" s="90">
        <f aca="true" t="shared" si="777" ref="BD721:BD729">G721/(100-BE721)*100</f>
        <v>174.5</v>
      </c>
      <c r="BE721" s="90">
        <v>0</v>
      </c>
      <c r="BF721" s="90">
        <f aca="true" t="shared" si="778" ref="BF721:BF729">L721</f>
        <v>0</v>
      </c>
      <c r="BH721" s="90">
        <f aca="true" t="shared" si="779" ref="BH721:BH729">F721*AO721</f>
        <v>0</v>
      </c>
      <c r="BI721" s="90">
        <f aca="true" t="shared" si="780" ref="BI721:BI729">F721*AP721</f>
        <v>0</v>
      </c>
      <c r="BJ721" s="90">
        <f aca="true" t="shared" si="781" ref="BJ721:BJ729">F721*G721</f>
        <v>0</v>
      </c>
    </row>
    <row r="722" spans="1:62" ht="12.75" hidden="1">
      <c r="A722" s="88" t="s">
        <v>1951</v>
      </c>
      <c r="B722" s="88" t="s">
        <v>61</v>
      </c>
      <c r="C722" s="88" t="s">
        <v>282</v>
      </c>
      <c r="D722" s="88" t="s">
        <v>475</v>
      </c>
      <c r="E722" s="88" t="s">
        <v>612</v>
      </c>
      <c r="F722" s="90"/>
      <c r="G722" s="90">
        <v>15</v>
      </c>
      <c r="H722" s="90">
        <f t="shared" si="756"/>
        <v>0</v>
      </c>
      <c r="I722" s="90">
        <f t="shared" si="757"/>
        <v>0</v>
      </c>
      <c r="J722" s="90">
        <f t="shared" si="758"/>
        <v>0</v>
      </c>
      <c r="K722" s="90">
        <v>0</v>
      </c>
      <c r="L722" s="90">
        <f t="shared" si="759"/>
        <v>0</v>
      </c>
      <c r="M722" s="91" t="s">
        <v>622</v>
      </c>
      <c r="O722" s="90"/>
      <c r="P722" s="90"/>
      <c r="Z722" s="90">
        <f t="shared" si="760"/>
        <v>0</v>
      </c>
      <c r="AB722" s="90">
        <f t="shared" si="761"/>
        <v>0</v>
      </c>
      <c r="AC722" s="90">
        <f t="shared" si="762"/>
        <v>0</v>
      </c>
      <c r="AD722" s="90">
        <f t="shared" si="763"/>
        <v>0</v>
      </c>
      <c r="AE722" s="90">
        <f t="shared" si="764"/>
        <v>0</v>
      </c>
      <c r="AF722" s="90">
        <f t="shared" si="765"/>
        <v>0</v>
      </c>
      <c r="AG722" s="90">
        <f t="shared" si="766"/>
        <v>0</v>
      </c>
      <c r="AH722" s="90">
        <f t="shared" si="767"/>
        <v>0</v>
      </c>
      <c r="AI722" s="154" t="s">
        <v>61</v>
      </c>
      <c r="AJ722" s="90">
        <f t="shared" si="768"/>
        <v>0</v>
      </c>
      <c r="AK722" s="90">
        <f t="shared" si="769"/>
        <v>0</v>
      </c>
      <c r="AL722" s="90">
        <f t="shared" si="770"/>
        <v>0</v>
      </c>
      <c r="AN722" s="90">
        <v>15</v>
      </c>
      <c r="AO722" s="90">
        <f t="shared" si="771"/>
        <v>0</v>
      </c>
      <c r="AP722" s="90">
        <f t="shared" si="772"/>
        <v>15</v>
      </c>
      <c r="AQ722" s="91" t="s">
        <v>83</v>
      </c>
      <c r="AV722" s="90">
        <f t="shared" si="773"/>
        <v>0</v>
      </c>
      <c r="AW722" s="90">
        <f t="shared" si="774"/>
        <v>0</v>
      </c>
      <c r="AX722" s="90">
        <f t="shared" si="775"/>
        <v>0</v>
      </c>
      <c r="AY722" s="91" t="s">
        <v>640</v>
      </c>
      <c r="AZ722" s="91" t="s">
        <v>1643</v>
      </c>
      <c r="BA722" s="154" t="s">
        <v>1649</v>
      </c>
      <c r="BC722" s="90">
        <f t="shared" si="776"/>
        <v>0</v>
      </c>
      <c r="BD722" s="90">
        <f t="shared" si="777"/>
        <v>15</v>
      </c>
      <c r="BE722" s="90">
        <v>0</v>
      </c>
      <c r="BF722" s="90">
        <f t="shared" si="778"/>
        <v>0</v>
      </c>
      <c r="BH722" s="90">
        <f t="shared" si="779"/>
        <v>0</v>
      </c>
      <c r="BI722" s="90">
        <f t="shared" si="780"/>
        <v>0</v>
      </c>
      <c r="BJ722" s="90">
        <f t="shared" si="781"/>
        <v>0</v>
      </c>
    </row>
    <row r="723" spans="1:62" ht="12.75" hidden="1">
      <c r="A723" s="88" t="s">
        <v>1952</v>
      </c>
      <c r="B723" s="88" t="s">
        <v>61</v>
      </c>
      <c r="C723" s="88" t="s">
        <v>283</v>
      </c>
      <c r="D723" s="88" t="s">
        <v>476</v>
      </c>
      <c r="E723" s="88" t="s">
        <v>612</v>
      </c>
      <c r="F723" s="90"/>
      <c r="G723" s="90">
        <v>222.5</v>
      </c>
      <c r="H723" s="90">
        <f t="shared" si="756"/>
        <v>0</v>
      </c>
      <c r="I723" s="90">
        <f t="shared" si="757"/>
        <v>0</v>
      </c>
      <c r="J723" s="90">
        <f t="shared" si="758"/>
        <v>0</v>
      </c>
      <c r="K723" s="90">
        <v>0</v>
      </c>
      <c r="L723" s="90">
        <f t="shared" si="759"/>
        <v>0</v>
      </c>
      <c r="M723" s="91" t="s">
        <v>622</v>
      </c>
      <c r="O723" s="90"/>
      <c r="P723" s="90"/>
      <c r="Z723" s="90">
        <f t="shared" si="760"/>
        <v>0</v>
      </c>
      <c r="AB723" s="90">
        <f t="shared" si="761"/>
        <v>0</v>
      </c>
      <c r="AC723" s="90">
        <f t="shared" si="762"/>
        <v>0</v>
      </c>
      <c r="AD723" s="90">
        <f t="shared" si="763"/>
        <v>0</v>
      </c>
      <c r="AE723" s="90">
        <f t="shared" si="764"/>
        <v>0</v>
      </c>
      <c r="AF723" s="90">
        <f t="shared" si="765"/>
        <v>0</v>
      </c>
      <c r="AG723" s="90">
        <f t="shared" si="766"/>
        <v>0</v>
      </c>
      <c r="AH723" s="90">
        <f t="shared" si="767"/>
        <v>0</v>
      </c>
      <c r="AI723" s="154" t="s">
        <v>61</v>
      </c>
      <c r="AJ723" s="90">
        <f t="shared" si="768"/>
        <v>0</v>
      </c>
      <c r="AK723" s="90">
        <f t="shared" si="769"/>
        <v>0</v>
      </c>
      <c r="AL723" s="90">
        <f t="shared" si="770"/>
        <v>0</v>
      </c>
      <c r="AN723" s="90">
        <v>15</v>
      </c>
      <c r="AO723" s="90">
        <f t="shared" si="771"/>
        <v>0</v>
      </c>
      <c r="AP723" s="90">
        <f t="shared" si="772"/>
        <v>222.5</v>
      </c>
      <c r="AQ723" s="91" t="s">
        <v>83</v>
      </c>
      <c r="AV723" s="90">
        <f t="shared" si="773"/>
        <v>0</v>
      </c>
      <c r="AW723" s="90">
        <f t="shared" si="774"/>
        <v>0</v>
      </c>
      <c r="AX723" s="90">
        <f t="shared" si="775"/>
        <v>0</v>
      </c>
      <c r="AY723" s="91" t="s">
        <v>640</v>
      </c>
      <c r="AZ723" s="91" t="s">
        <v>1643</v>
      </c>
      <c r="BA723" s="154" t="s">
        <v>1649</v>
      </c>
      <c r="BC723" s="90">
        <f t="shared" si="776"/>
        <v>0</v>
      </c>
      <c r="BD723" s="90">
        <f t="shared" si="777"/>
        <v>222.5</v>
      </c>
      <c r="BE723" s="90">
        <v>0</v>
      </c>
      <c r="BF723" s="90">
        <f t="shared" si="778"/>
        <v>0</v>
      </c>
      <c r="BH723" s="90">
        <f t="shared" si="779"/>
        <v>0</v>
      </c>
      <c r="BI723" s="90">
        <f t="shared" si="780"/>
        <v>0</v>
      </c>
      <c r="BJ723" s="90">
        <f t="shared" si="781"/>
        <v>0</v>
      </c>
    </row>
    <row r="724" spans="1:62" ht="12.75" hidden="1">
      <c r="A724" s="88" t="s">
        <v>1953</v>
      </c>
      <c r="B724" s="88" t="s">
        <v>61</v>
      </c>
      <c r="C724" s="88" t="s">
        <v>284</v>
      </c>
      <c r="D724" s="88" t="s">
        <v>477</v>
      </c>
      <c r="E724" s="88" t="s">
        <v>612</v>
      </c>
      <c r="F724" s="90"/>
      <c r="G724" s="90">
        <v>24.8</v>
      </c>
      <c r="H724" s="90">
        <f t="shared" si="756"/>
        <v>0</v>
      </c>
      <c r="I724" s="90">
        <f t="shared" si="757"/>
        <v>0</v>
      </c>
      <c r="J724" s="90">
        <f t="shared" si="758"/>
        <v>0</v>
      </c>
      <c r="K724" s="90">
        <v>0</v>
      </c>
      <c r="L724" s="90">
        <f t="shared" si="759"/>
        <v>0</v>
      </c>
      <c r="M724" s="91" t="s">
        <v>622</v>
      </c>
      <c r="O724" s="90"/>
      <c r="P724" s="90"/>
      <c r="Z724" s="90">
        <f t="shared" si="760"/>
        <v>0</v>
      </c>
      <c r="AB724" s="90">
        <f t="shared" si="761"/>
        <v>0</v>
      </c>
      <c r="AC724" s="90">
        <f t="shared" si="762"/>
        <v>0</v>
      </c>
      <c r="AD724" s="90">
        <f t="shared" si="763"/>
        <v>0</v>
      </c>
      <c r="AE724" s="90">
        <f t="shared" si="764"/>
        <v>0</v>
      </c>
      <c r="AF724" s="90">
        <f t="shared" si="765"/>
        <v>0</v>
      </c>
      <c r="AG724" s="90">
        <f t="shared" si="766"/>
        <v>0</v>
      </c>
      <c r="AH724" s="90">
        <f t="shared" si="767"/>
        <v>0</v>
      </c>
      <c r="AI724" s="154" t="s">
        <v>61</v>
      </c>
      <c r="AJ724" s="90">
        <f t="shared" si="768"/>
        <v>0</v>
      </c>
      <c r="AK724" s="90">
        <f t="shared" si="769"/>
        <v>0</v>
      </c>
      <c r="AL724" s="90">
        <f t="shared" si="770"/>
        <v>0</v>
      </c>
      <c r="AN724" s="90">
        <v>15</v>
      </c>
      <c r="AO724" s="90">
        <f t="shared" si="771"/>
        <v>0</v>
      </c>
      <c r="AP724" s="90">
        <f t="shared" si="772"/>
        <v>24.8</v>
      </c>
      <c r="AQ724" s="91" t="s">
        <v>83</v>
      </c>
      <c r="AV724" s="90">
        <f t="shared" si="773"/>
        <v>0</v>
      </c>
      <c r="AW724" s="90">
        <f t="shared" si="774"/>
        <v>0</v>
      </c>
      <c r="AX724" s="90">
        <f t="shared" si="775"/>
        <v>0</v>
      </c>
      <c r="AY724" s="91" t="s">
        <v>640</v>
      </c>
      <c r="AZ724" s="91" t="s">
        <v>1643</v>
      </c>
      <c r="BA724" s="154" t="s">
        <v>1649</v>
      </c>
      <c r="BC724" s="90">
        <f t="shared" si="776"/>
        <v>0</v>
      </c>
      <c r="BD724" s="90">
        <f t="shared" si="777"/>
        <v>24.8</v>
      </c>
      <c r="BE724" s="90">
        <v>0</v>
      </c>
      <c r="BF724" s="90">
        <f t="shared" si="778"/>
        <v>0</v>
      </c>
      <c r="BH724" s="90">
        <f t="shared" si="779"/>
        <v>0</v>
      </c>
      <c r="BI724" s="90">
        <f t="shared" si="780"/>
        <v>0</v>
      </c>
      <c r="BJ724" s="90">
        <f t="shared" si="781"/>
        <v>0</v>
      </c>
    </row>
    <row r="725" spans="1:62" ht="12.75" hidden="1">
      <c r="A725" s="88" t="s">
        <v>1954</v>
      </c>
      <c r="B725" s="88" t="s">
        <v>61</v>
      </c>
      <c r="C725" s="88" t="s">
        <v>285</v>
      </c>
      <c r="D725" s="88" t="s">
        <v>478</v>
      </c>
      <c r="E725" s="88" t="s">
        <v>612</v>
      </c>
      <c r="F725" s="90"/>
      <c r="G725" s="90">
        <v>110.49</v>
      </c>
      <c r="H725" s="90">
        <f t="shared" si="756"/>
        <v>0</v>
      </c>
      <c r="I725" s="90">
        <f t="shared" si="757"/>
        <v>0</v>
      </c>
      <c r="J725" s="90">
        <f t="shared" si="758"/>
        <v>0</v>
      </c>
      <c r="K725" s="90">
        <v>0</v>
      </c>
      <c r="L725" s="90">
        <f t="shared" si="759"/>
        <v>0</v>
      </c>
      <c r="M725" s="91" t="s">
        <v>622</v>
      </c>
      <c r="O725" s="90"/>
      <c r="P725" s="90"/>
      <c r="Z725" s="90">
        <f t="shared" si="760"/>
        <v>0</v>
      </c>
      <c r="AB725" s="90">
        <f t="shared" si="761"/>
        <v>0</v>
      </c>
      <c r="AC725" s="90">
        <f t="shared" si="762"/>
        <v>0</v>
      </c>
      <c r="AD725" s="90">
        <f t="shared" si="763"/>
        <v>0</v>
      </c>
      <c r="AE725" s="90">
        <f t="shared" si="764"/>
        <v>0</v>
      </c>
      <c r="AF725" s="90">
        <f t="shared" si="765"/>
        <v>0</v>
      </c>
      <c r="AG725" s="90">
        <f t="shared" si="766"/>
        <v>0</v>
      </c>
      <c r="AH725" s="90">
        <f t="shared" si="767"/>
        <v>0</v>
      </c>
      <c r="AI725" s="154" t="s">
        <v>61</v>
      </c>
      <c r="AJ725" s="90">
        <f t="shared" si="768"/>
        <v>0</v>
      </c>
      <c r="AK725" s="90">
        <f t="shared" si="769"/>
        <v>0</v>
      </c>
      <c r="AL725" s="90">
        <f t="shared" si="770"/>
        <v>0</v>
      </c>
      <c r="AN725" s="90">
        <v>15</v>
      </c>
      <c r="AO725" s="90">
        <f t="shared" si="771"/>
        <v>0</v>
      </c>
      <c r="AP725" s="90">
        <f t="shared" si="772"/>
        <v>110.49</v>
      </c>
      <c r="AQ725" s="91" t="s">
        <v>83</v>
      </c>
      <c r="AV725" s="90">
        <f t="shared" si="773"/>
        <v>0</v>
      </c>
      <c r="AW725" s="90">
        <f t="shared" si="774"/>
        <v>0</v>
      </c>
      <c r="AX725" s="90">
        <f t="shared" si="775"/>
        <v>0</v>
      </c>
      <c r="AY725" s="91" t="s">
        <v>640</v>
      </c>
      <c r="AZ725" s="91" t="s">
        <v>1643</v>
      </c>
      <c r="BA725" s="154" t="s">
        <v>1649</v>
      </c>
      <c r="BC725" s="90">
        <f t="shared" si="776"/>
        <v>0</v>
      </c>
      <c r="BD725" s="90">
        <f t="shared" si="777"/>
        <v>110.49</v>
      </c>
      <c r="BE725" s="90">
        <v>0</v>
      </c>
      <c r="BF725" s="90">
        <f t="shared" si="778"/>
        <v>0</v>
      </c>
      <c r="BH725" s="90">
        <f t="shared" si="779"/>
        <v>0</v>
      </c>
      <c r="BI725" s="90">
        <f t="shared" si="780"/>
        <v>0</v>
      </c>
      <c r="BJ725" s="90">
        <f t="shared" si="781"/>
        <v>0</v>
      </c>
    </row>
    <row r="726" spans="1:62" ht="12.75" hidden="1">
      <c r="A726" s="88" t="s">
        <v>1955</v>
      </c>
      <c r="B726" s="88" t="s">
        <v>61</v>
      </c>
      <c r="C726" s="88" t="s">
        <v>286</v>
      </c>
      <c r="D726" s="88" t="s">
        <v>479</v>
      </c>
      <c r="E726" s="88" t="s">
        <v>612</v>
      </c>
      <c r="F726" s="90"/>
      <c r="G726" s="90">
        <v>250</v>
      </c>
      <c r="H726" s="90">
        <f t="shared" si="756"/>
        <v>0</v>
      </c>
      <c r="I726" s="90">
        <f t="shared" si="757"/>
        <v>0</v>
      </c>
      <c r="J726" s="90">
        <f t="shared" si="758"/>
        <v>0</v>
      </c>
      <c r="K726" s="90">
        <v>0</v>
      </c>
      <c r="L726" s="90">
        <f t="shared" si="759"/>
        <v>0</v>
      </c>
      <c r="M726" s="91" t="s">
        <v>622</v>
      </c>
      <c r="O726" s="90"/>
      <c r="P726" s="90"/>
      <c r="Z726" s="90">
        <f t="shared" si="760"/>
        <v>0</v>
      </c>
      <c r="AB726" s="90">
        <f t="shared" si="761"/>
        <v>0</v>
      </c>
      <c r="AC726" s="90">
        <f t="shared" si="762"/>
        <v>0</v>
      </c>
      <c r="AD726" s="90">
        <f t="shared" si="763"/>
        <v>0</v>
      </c>
      <c r="AE726" s="90">
        <f t="shared" si="764"/>
        <v>0</v>
      </c>
      <c r="AF726" s="90">
        <f t="shared" si="765"/>
        <v>0</v>
      </c>
      <c r="AG726" s="90">
        <f t="shared" si="766"/>
        <v>0</v>
      </c>
      <c r="AH726" s="90">
        <f t="shared" si="767"/>
        <v>0</v>
      </c>
      <c r="AI726" s="154" t="s">
        <v>61</v>
      </c>
      <c r="AJ726" s="90">
        <f t="shared" si="768"/>
        <v>0</v>
      </c>
      <c r="AK726" s="90">
        <f t="shared" si="769"/>
        <v>0</v>
      </c>
      <c r="AL726" s="90">
        <f t="shared" si="770"/>
        <v>0</v>
      </c>
      <c r="AN726" s="90">
        <v>15</v>
      </c>
      <c r="AO726" s="90">
        <f t="shared" si="771"/>
        <v>0</v>
      </c>
      <c r="AP726" s="90">
        <f t="shared" si="772"/>
        <v>250</v>
      </c>
      <c r="AQ726" s="91" t="s">
        <v>83</v>
      </c>
      <c r="AV726" s="90">
        <f t="shared" si="773"/>
        <v>0</v>
      </c>
      <c r="AW726" s="90">
        <f t="shared" si="774"/>
        <v>0</v>
      </c>
      <c r="AX726" s="90">
        <f t="shared" si="775"/>
        <v>0</v>
      </c>
      <c r="AY726" s="91" t="s">
        <v>640</v>
      </c>
      <c r="AZ726" s="91" t="s">
        <v>1643</v>
      </c>
      <c r="BA726" s="154" t="s">
        <v>1649</v>
      </c>
      <c r="BC726" s="90">
        <f t="shared" si="776"/>
        <v>0</v>
      </c>
      <c r="BD726" s="90">
        <f t="shared" si="777"/>
        <v>250</v>
      </c>
      <c r="BE726" s="90">
        <v>0</v>
      </c>
      <c r="BF726" s="90">
        <f t="shared" si="778"/>
        <v>0</v>
      </c>
      <c r="BH726" s="90">
        <f t="shared" si="779"/>
        <v>0</v>
      </c>
      <c r="BI726" s="90">
        <f t="shared" si="780"/>
        <v>0</v>
      </c>
      <c r="BJ726" s="90">
        <f t="shared" si="781"/>
        <v>0</v>
      </c>
    </row>
    <row r="727" spans="1:62" ht="12.75" hidden="1">
      <c r="A727" s="88" t="s">
        <v>1956</v>
      </c>
      <c r="B727" s="88" t="s">
        <v>61</v>
      </c>
      <c r="C727" s="88" t="s">
        <v>1561</v>
      </c>
      <c r="D727" s="88" t="s">
        <v>1610</v>
      </c>
      <c r="E727" s="88" t="s">
        <v>612</v>
      </c>
      <c r="F727" s="90"/>
      <c r="G727" s="90">
        <v>550</v>
      </c>
      <c r="H727" s="90">
        <f t="shared" si="756"/>
        <v>0</v>
      </c>
      <c r="I727" s="90">
        <f t="shared" si="757"/>
        <v>0</v>
      </c>
      <c r="J727" s="90">
        <f t="shared" si="758"/>
        <v>0</v>
      </c>
      <c r="K727" s="90">
        <v>0</v>
      </c>
      <c r="L727" s="90">
        <f t="shared" si="759"/>
        <v>0</v>
      </c>
      <c r="M727" s="91" t="s">
        <v>622</v>
      </c>
      <c r="O727" s="90"/>
      <c r="P727" s="90"/>
      <c r="Z727" s="90">
        <f t="shared" si="760"/>
        <v>0</v>
      </c>
      <c r="AB727" s="90">
        <f t="shared" si="761"/>
        <v>0</v>
      </c>
      <c r="AC727" s="90">
        <f t="shared" si="762"/>
        <v>0</v>
      </c>
      <c r="AD727" s="90">
        <f t="shared" si="763"/>
        <v>0</v>
      </c>
      <c r="AE727" s="90">
        <f t="shared" si="764"/>
        <v>0</v>
      </c>
      <c r="AF727" s="90">
        <f t="shared" si="765"/>
        <v>0</v>
      </c>
      <c r="AG727" s="90">
        <f t="shared" si="766"/>
        <v>0</v>
      </c>
      <c r="AH727" s="90">
        <f t="shared" si="767"/>
        <v>0</v>
      </c>
      <c r="AI727" s="154" t="s">
        <v>61</v>
      </c>
      <c r="AJ727" s="90">
        <f t="shared" si="768"/>
        <v>0</v>
      </c>
      <c r="AK727" s="90">
        <f t="shared" si="769"/>
        <v>0</v>
      </c>
      <c r="AL727" s="90">
        <f t="shared" si="770"/>
        <v>0</v>
      </c>
      <c r="AN727" s="90">
        <v>15</v>
      </c>
      <c r="AO727" s="90">
        <f t="shared" si="771"/>
        <v>0</v>
      </c>
      <c r="AP727" s="90">
        <f t="shared" si="772"/>
        <v>550</v>
      </c>
      <c r="AQ727" s="91" t="s">
        <v>83</v>
      </c>
      <c r="AV727" s="90">
        <f t="shared" si="773"/>
        <v>0</v>
      </c>
      <c r="AW727" s="90">
        <f t="shared" si="774"/>
        <v>0</v>
      </c>
      <c r="AX727" s="90">
        <f t="shared" si="775"/>
        <v>0</v>
      </c>
      <c r="AY727" s="91" t="s">
        <v>640</v>
      </c>
      <c r="AZ727" s="91" t="s">
        <v>1643</v>
      </c>
      <c r="BA727" s="154" t="s">
        <v>1649</v>
      </c>
      <c r="BC727" s="90">
        <f t="shared" si="776"/>
        <v>0</v>
      </c>
      <c r="BD727" s="90">
        <f t="shared" si="777"/>
        <v>550</v>
      </c>
      <c r="BE727" s="90">
        <v>0</v>
      </c>
      <c r="BF727" s="90">
        <f t="shared" si="778"/>
        <v>0</v>
      </c>
      <c r="BH727" s="90">
        <f t="shared" si="779"/>
        <v>0</v>
      </c>
      <c r="BI727" s="90">
        <f t="shared" si="780"/>
        <v>0</v>
      </c>
      <c r="BJ727" s="90">
        <f t="shared" si="781"/>
        <v>0</v>
      </c>
    </row>
    <row r="728" spans="1:62" ht="12.75" hidden="1">
      <c r="A728" s="88" t="s">
        <v>1957</v>
      </c>
      <c r="B728" s="88" t="s">
        <v>61</v>
      </c>
      <c r="C728" s="88" t="s">
        <v>287</v>
      </c>
      <c r="D728" s="88" t="s">
        <v>480</v>
      </c>
      <c r="E728" s="88" t="s">
        <v>612</v>
      </c>
      <c r="F728" s="90"/>
      <c r="G728" s="90">
        <v>550</v>
      </c>
      <c r="H728" s="90">
        <f t="shared" si="756"/>
        <v>0</v>
      </c>
      <c r="I728" s="90">
        <f t="shared" si="757"/>
        <v>0</v>
      </c>
      <c r="J728" s="90">
        <f t="shared" si="758"/>
        <v>0</v>
      </c>
      <c r="K728" s="90">
        <v>0</v>
      </c>
      <c r="L728" s="90">
        <f t="shared" si="759"/>
        <v>0</v>
      </c>
      <c r="M728" s="91" t="s">
        <v>622</v>
      </c>
      <c r="O728" s="90"/>
      <c r="P728" s="90"/>
      <c r="Z728" s="90">
        <f t="shared" si="760"/>
        <v>0</v>
      </c>
      <c r="AB728" s="90">
        <f t="shared" si="761"/>
        <v>0</v>
      </c>
      <c r="AC728" s="90">
        <f t="shared" si="762"/>
        <v>0</v>
      </c>
      <c r="AD728" s="90">
        <f t="shared" si="763"/>
        <v>0</v>
      </c>
      <c r="AE728" s="90">
        <f t="shared" si="764"/>
        <v>0</v>
      </c>
      <c r="AF728" s="90">
        <f t="shared" si="765"/>
        <v>0</v>
      </c>
      <c r="AG728" s="90">
        <f t="shared" si="766"/>
        <v>0</v>
      </c>
      <c r="AH728" s="90">
        <f t="shared" si="767"/>
        <v>0</v>
      </c>
      <c r="AI728" s="154" t="s">
        <v>61</v>
      </c>
      <c r="AJ728" s="90">
        <f t="shared" si="768"/>
        <v>0</v>
      </c>
      <c r="AK728" s="90">
        <f t="shared" si="769"/>
        <v>0</v>
      </c>
      <c r="AL728" s="90">
        <f t="shared" si="770"/>
        <v>0</v>
      </c>
      <c r="AN728" s="90">
        <v>15</v>
      </c>
      <c r="AO728" s="90">
        <f t="shared" si="771"/>
        <v>0</v>
      </c>
      <c r="AP728" s="90">
        <f t="shared" si="772"/>
        <v>550</v>
      </c>
      <c r="AQ728" s="91" t="s">
        <v>83</v>
      </c>
      <c r="AV728" s="90">
        <f t="shared" si="773"/>
        <v>0</v>
      </c>
      <c r="AW728" s="90">
        <f t="shared" si="774"/>
        <v>0</v>
      </c>
      <c r="AX728" s="90">
        <f t="shared" si="775"/>
        <v>0</v>
      </c>
      <c r="AY728" s="91" t="s">
        <v>640</v>
      </c>
      <c r="AZ728" s="91" t="s">
        <v>1643</v>
      </c>
      <c r="BA728" s="154" t="s">
        <v>1649</v>
      </c>
      <c r="BC728" s="90">
        <f t="shared" si="776"/>
        <v>0</v>
      </c>
      <c r="BD728" s="90">
        <f t="shared" si="777"/>
        <v>550</v>
      </c>
      <c r="BE728" s="90">
        <v>0</v>
      </c>
      <c r="BF728" s="90">
        <f t="shared" si="778"/>
        <v>0</v>
      </c>
      <c r="BH728" s="90">
        <f t="shared" si="779"/>
        <v>0</v>
      </c>
      <c r="BI728" s="90">
        <f t="shared" si="780"/>
        <v>0</v>
      </c>
      <c r="BJ728" s="90">
        <f t="shared" si="781"/>
        <v>0</v>
      </c>
    </row>
    <row r="729" spans="1:62" ht="12.75" hidden="1">
      <c r="A729" s="88" t="s">
        <v>1958</v>
      </c>
      <c r="B729" s="88" t="s">
        <v>61</v>
      </c>
      <c r="C729" s="88" t="s">
        <v>1562</v>
      </c>
      <c r="D729" s="88" t="s">
        <v>1611</v>
      </c>
      <c r="E729" s="88" t="s">
        <v>612</v>
      </c>
      <c r="F729" s="90"/>
      <c r="G729" s="90">
        <v>1200</v>
      </c>
      <c r="H729" s="90">
        <f t="shared" si="756"/>
        <v>0</v>
      </c>
      <c r="I729" s="90">
        <f t="shared" si="757"/>
        <v>0</v>
      </c>
      <c r="J729" s="90">
        <f t="shared" si="758"/>
        <v>0</v>
      </c>
      <c r="K729" s="90">
        <v>0</v>
      </c>
      <c r="L729" s="90">
        <f t="shared" si="759"/>
        <v>0</v>
      </c>
      <c r="M729" s="91" t="s">
        <v>622</v>
      </c>
      <c r="O729" s="90"/>
      <c r="P729" s="90"/>
      <c r="Z729" s="90">
        <f t="shared" si="760"/>
        <v>0</v>
      </c>
      <c r="AB729" s="90">
        <f t="shared" si="761"/>
        <v>0</v>
      </c>
      <c r="AC729" s="90">
        <f t="shared" si="762"/>
        <v>0</v>
      </c>
      <c r="AD729" s="90">
        <f t="shared" si="763"/>
        <v>0</v>
      </c>
      <c r="AE729" s="90">
        <f t="shared" si="764"/>
        <v>0</v>
      </c>
      <c r="AF729" s="90">
        <f t="shared" si="765"/>
        <v>0</v>
      </c>
      <c r="AG729" s="90">
        <f t="shared" si="766"/>
        <v>0</v>
      </c>
      <c r="AH729" s="90">
        <f t="shared" si="767"/>
        <v>0</v>
      </c>
      <c r="AI729" s="154" t="s">
        <v>61</v>
      </c>
      <c r="AJ729" s="90">
        <f t="shared" si="768"/>
        <v>0</v>
      </c>
      <c r="AK729" s="90">
        <f t="shared" si="769"/>
        <v>0</v>
      </c>
      <c r="AL729" s="90">
        <f t="shared" si="770"/>
        <v>0</v>
      </c>
      <c r="AN729" s="90">
        <v>15</v>
      </c>
      <c r="AO729" s="90">
        <f t="shared" si="771"/>
        <v>0</v>
      </c>
      <c r="AP729" s="90">
        <f t="shared" si="772"/>
        <v>1200</v>
      </c>
      <c r="AQ729" s="91" t="s">
        <v>83</v>
      </c>
      <c r="AV729" s="90">
        <f t="shared" si="773"/>
        <v>0</v>
      </c>
      <c r="AW729" s="90">
        <f t="shared" si="774"/>
        <v>0</v>
      </c>
      <c r="AX729" s="90">
        <f t="shared" si="775"/>
        <v>0</v>
      </c>
      <c r="AY729" s="91" t="s">
        <v>640</v>
      </c>
      <c r="AZ729" s="91" t="s">
        <v>1643</v>
      </c>
      <c r="BA729" s="154" t="s">
        <v>1649</v>
      </c>
      <c r="BC729" s="90">
        <f t="shared" si="776"/>
        <v>0</v>
      </c>
      <c r="BD729" s="90">
        <f t="shared" si="777"/>
        <v>1200</v>
      </c>
      <c r="BE729" s="90">
        <v>0</v>
      </c>
      <c r="BF729" s="90">
        <f t="shared" si="778"/>
        <v>0</v>
      </c>
      <c r="BH729" s="90">
        <f t="shared" si="779"/>
        <v>0</v>
      </c>
      <c r="BI729" s="90">
        <f t="shared" si="780"/>
        <v>0</v>
      </c>
      <c r="BJ729" s="90">
        <f t="shared" si="781"/>
        <v>0</v>
      </c>
    </row>
    <row r="730" spans="1:47" ht="12.75" hidden="1">
      <c r="A730" s="159"/>
      <c r="B730" s="160" t="s">
        <v>61</v>
      </c>
      <c r="C730" s="160" t="s">
        <v>288</v>
      </c>
      <c r="D730" s="160" t="s">
        <v>481</v>
      </c>
      <c r="E730" s="159" t="s">
        <v>57</v>
      </c>
      <c r="F730" s="159"/>
      <c r="G730" s="159" t="s">
        <v>57</v>
      </c>
      <c r="H730" s="161">
        <f>SUM(H731:H731)</f>
        <v>0</v>
      </c>
      <c r="I730" s="161">
        <f>SUM(I731:I731)</f>
        <v>0</v>
      </c>
      <c r="J730" s="161">
        <f>SUM(J731:J731)</f>
        <v>0</v>
      </c>
      <c r="K730" s="154"/>
      <c r="L730" s="161">
        <f>SUM(L731:L731)</f>
        <v>0</v>
      </c>
      <c r="M730" s="154"/>
      <c r="O730" s="159"/>
      <c r="P730" s="159"/>
      <c r="AI730" s="154" t="s">
        <v>61</v>
      </c>
      <c r="AS730" s="161">
        <f>SUM(AJ731:AJ731)</f>
        <v>0</v>
      </c>
      <c r="AT730" s="161">
        <f>SUM(AK731:AK731)</f>
        <v>0</v>
      </c>
      <c r="AU730" s="161">
        <f>SUM(AL731:AL731)</f>
        <v>0</v>
      </c>
    </row>
    <row r="731" spans="1:62" ht="12.75" hidden="1">
      <c r="A731" s="88" t="s">
        <v>1959</v>
      </c>
      <c r="B731" s="88" t="s">
        <v>61</v>
      </c>
      <c r="C731" s="88" t="s">
        <v>289</v>
      </c>
      <c r="D731" s="88" t="s">
        <v>482</v>
      </c>
      <c r="E731" s="88" t="s">
        <v>612</v>
      </c>
      <c r="F731" s="90"/>
      <c r="G731" s="90">
        <v>255</v>
      </c>
      <c r="H731" s="90">
        <f>F731*AO731</f>
        <v>0</v>
      </c>
      <c r="I731" s="90">
        <f>F731*AP731</f>
        <v>0</v>
      </c>
      <c r="J731" s="90">
        <f>F731*G731</f>
        <v>0</v>
      </c>
      <c r="K731" s="90">
        <v>0</v>
      </c>
      <c r="L731" s="90">
        <f>F731*K731</f>
        <v>0</v>
      </c>
      <c r="M731" s="91" t="s">
        <v>622</v>
      </c>
      <c r="O731" s="90"/>
      <c r="P731" s="90"/>
      <c r="Z731" s="90">
        <f>IF(AQ731="5",BJ731,0)</f>
        <v>0</v>
      </c>
      <c r="AB731" s="90">
        <f>IF(AQ731="1",BH731,0)</f>
        <v>0</v>
      </c>
      <c r="AC731" s="90">
        <f>IF(AQ731="1",BI731,0)</f>
        <v>0</v>
      </c>
      <c r="AD731" s="90">
        <f>IF(AQ731="7",BH731,0)</f>
        <v>0</v>
      </c>
      <c r="AE731" s="90">
        <f>IF(AQ731="7",BI731,0)</f>
        <v>0</v>
      </c>
      <c r="AF731" s="90">
        <f>IF(AQ731="2",BH731,0)</f>
        <v>0</v>
      </c>
      <c r="AG731" s="90">
        <f>IF(AQ731="2",BI731,0)</f>
        <v>0</v>
      </c>
      <c r="AH731" s="90">
        <f>IF(AQ731="0",BJ731,0)</f>
        <v>0</v>
      </c>
      <c r="AI731" s="154" t="s">
        <v>61</v>
      </c>
      <c r="AJ731" s="90">
        <f>IF(AN731=0,J731,0)</f>
        <v>0</v>
      </c>
      <c r="AK731" s="90">
        <f>IF(AN731=15,J731,0)</f>
        <v>0</v>
      </c>
      <c r="AL731" s="90">
        <f>IF(AN731=21,J731,0)</f>
        <v>0</v>
      </c>
      <c r="AN731" s="90">
        <v>15</v>
      </c>
      <c r="AO731" s="90">
        <f>G731*0</f>
        <v>0</v>
      </c>
      <c r="AP731" s="90">
        <f>G731*(1-0)</f>
        <v>255</v>
      </c>
      <c r="AQ731" s="91" t="s">
        <v>83</v>
      </c>
      <c r="AV731" s="90">
        <f>AW731+AX731</f>
        <v>0</v>
      </c>
      <c r="AW731" s="90">
        <f>F731*AO731</f>
        <v>0</v>
      </c>
      <c r="AX731" s="90">
        <f>F731*AP731</f>
        <v>0</v>
      </c>
      <c r="AY731" s="91" t="s">
        <v>641</v>
      </c>
      <c r="AZ731" s="91" t="s">
        <v>1643</v>
      </c>
      <c r="BA731" s="154" t="s">
        <v>1649</v>
      </c>
      <c r="BC731" s="90">
        <f>AW731+AX731</f>
        <v>0</v>
      </c>
      <c r="BD731" s="90">
        <f>G731/(100-BE731)*100</f>
        <v>254.99999999999997</v>
      </c>
      <c r="BE731" s="90">
        <v>0</v>
      </c>
      <c r="BF731" s="90">
        <f>L731</f>
        <v>0</v>
      </c>
      <c r="BH731" s="90">
        <f>F731*AO731</f>
        <v>0</v>
      </c>
      <c r="BI731" s="90">
        <f>F731*AP731</f>
        <v>0</v>
      </c>
      <c r="BJ731" s="90">
        <f>F731*G731</f>
        <v>0</v>
      </c>
    </row>
    <row r="732" spans="1:47" ht="12.75" hidden="1">
      <c r="A732" s="159"/>
      <c r="B732" s="160" t="s">
        <v>61</v>
      </c>
      <c r="C732" s="160" t="s">
        <v>290</v>
      </c>
      <c r="D732" s="160" t="s">
        <v>483</v>
      </c>
      <c r="E732" s="159" t="s">
        <v>57</v>
      </c>
      <c r="F732" s="159"/>
      <c r="G732" s="159" t="s">
        <v>57</v>
      </c>
      <c r="H732" s="161">
        <f>SUM(H733:H769)</f>
        <v>0</v>
      </c>
      <c r="I732" s="161">
        <f>SUM(I733:I769)</f>
        <v>0</v>
      </c>
      <c r="J732" s="161">
        <f>SUM(J733:J769)</f>
        <v>0</v>
      </c>
      <c r="K732" s="154"/>
      <c r="L732" s="161">
        <f>SUM(L733:L769)</f>
        <v>0</v>
      </c>
      <c r="M732" s="154"/>
      <c r="O732" s="159"/>
      <c r="P732" s="159"/>
      <c r="AI732" s="154" t="s">
        <v>61</v>
      </c>
      <c r="AS732" s="161">
        <f>SUM(AJ733:AJ769)</f>
        <v>0</v>
      </c>
      <c r="AT732" s="161">
        <f>SUM(AK733:AK769)</f>
        <v>0</v>
      </c>
      <c r="AU732" s="161">
        <f>SUM(AL733:AL769)</f>
        <v>0</v>
      </c>
    </row>
    <row r="733" spans="1:62" ht="12.75" hidden="1">
      <c r="A733" s="88" t="s">
        <v>1960</v>
      </c>
      <c r="B733" s="88" t="s">
        <v>61</v>
      </c>
      <c r="C733" s="88" t="s">
        <v>291</v>
      </c>
      <c r="D733" s="88" t="s">
        <v>1612</v>
      </c>
      <c r="E733" s="88" t="s">
        <v>609</v>
      </c>
      <c r="F733" s="90"/>
      <c r="G733" s="90">
        <v>180</v>
      </c>
      <c r="H733" s="90">
        <f aca="true" t="shared" si="782" ref="H733:H769">F733*AO733</f>
        <v>0</v>
      </c>
      <c r="I733" s="90">
        <f aca="true" t="shared" si="783" ref="I733:I769">F733*AP733</f>
        <v>0</v>
      </c>
      <c r="J733" s="90">
        <f aca="true" t="shared" si="784" ref="J733:J769">F733*G733</f>
        <v>0</v>
      </c>
      <c r="K733" s="90">
        <v>0</v>
      </c>
      <c r="L733" s="90">
        <f aca="true" t="shared" si="785" ref="L733:L769">F733*K733</f>
        <v>0</v>
      </c>
      <c r="M733" s="91" t="s">
        <v>622</v>
      </c>
      <c r="O733" s="90"/>
      <c r="P733" s="90"/>
      <c r="Z733" s="90">
        <f aca="true" t="shared" si="786" ref="Z733:Z769">IF(AQ733="5",BJ733,0)</f>
        <v>0</v>
      </c>
      <c r="AB733" s="90">
        <f aca="true" t="shared" si="787" ref="AB733:AB769">IF(AQ733="1",BH733,0)</f>
        <v>0</v>
      </c>
      <c r="AC733" s="90">
        <f aca="true" t="shared" si="788" ref="AC733:AC769">IF(AQ733="1",BI733,0)</f>
        <v>0</v>
      </c>
      <c r="AD733" s="90">
        <f aca="true" t="shared" si="789" ref="AD733:AD769">IF(AQ733="7",BH733,0)</f>
        <v>0</v>
      </c>
      <c r="AE733" s="90">
        <f aca="true" t="shared" si="790" ref="AE733:AE769">IF(AQ733="7",BI733,0)</f>
        <v>0</v>
      </c>
      <c r="AF733" s="90">
        <f aca="true" t="shared" si="791" ref="AF733:AF769">IF(AQ733="2",BH733,0)</f>
        <v>0</v>
      </c>
      <c r="AG733" s="90">
        <f aca="true" t="shared" si="792" ref="AG733:AG769">IF(AQ733="2",BI733,0)</f>
        <v>0</v>
      </c>
      <c r="AH733" s="90">
        <f aca="true" t="shared" si="793" ref="AH733:AH769">IF(AQ733="0",BJ733,0)</f>
        <v>0</v>
      </c>
      <c r="AI733" s="154" t="s">
        <v>61</v>
      </c>
      <c r="AJ733" s="90">
        <f aca="true" t="shared" si="794" ref="AJ733:AJ769">IF(AN733=0,J733,0)</f>
        <v>0</v>
      </c>
      <c r="AK733" s="90">
        <f aca="true" t="shared" si="795" ref="AK733:AK769">IF(AN733=15,J733,0)</f>
        <v>0</v>
      </c>
      <c r="AL733" s="90">
        <f aca="true" t="shared" si="796" ref="AL733:AL769">IF(AN733=21,J733,0)</f>
        <v>0</v>
      </c>
      <c r="AN733" s="90">
        <v>15</v>
      </c>
      <c r="AO733" s="90">
        <f aca="true" t="shared" si="797" ref="AO733:AO769">G733*0</f>
        <v>0</v>
      </c>
      <c r="AP733" s="90">
        <f aca="true" t="shared" si="798" ref="AP733:AP769">G733*(1-0)</f>
        <v>180</v>
      </c>
      <c r="AQ733" s="91" t="s">
        <v>85</v>
      </c>
      <c r="AV733" s="90">
        <f aca="true" t="shared" si="799" ref="AV733:AV769">AW733+AX733</f>
        <v>0</v>
      </c>
      <c r="AW733" s="90">
        <f aca="true" t="shared" si="800" ref="AW733:AW769">F733*AO733</f>
        <v>0</v>
      </c>
      <c r="AX733" s="90">
        <f aca="true" t="shared" si="801" ref="AX733:AX769">F733*AP733</f>
        <v>0</v>
      </c>
      <c r="AY733" s="91" t="s">
        <v>642</v>
      </c>
      <c r="AZ733" s="91" t="s">
        <v>1644</v>
      </c>
      <c r="BA733" s="154" t="s">
        <v>1649</v>
      </c>
      <c r="BC733" s="90">
        <f aca="true" t="shared" si="802" ref="BC733:BC769">AW733+AX733</f>
        <v>0</v>
      </c>
      <c r="BD733" s="90">
        <f aca="true" t="shared" si="803" ref="BD733:BD769">G733/(100-BE733)*100</f>
        <v>180</v>
      </c>
      <c r="BE733" s="90">
        <v>0</v>
      </c>
      <c r="BF733" s="90">
        <f aca="true" t="shared" si="804" ref="BF733:BF769">L733</f>
        <v>0</v>
      </c>
      <c r="BH733" s="90">
        <f aca="true" t="shared" si="805" ref="BH733:BH769">F733*AO733</f>
        <v>0</v>
      </c>
      <c r="BI733" s="90">
        <f aca="true" t="shared" si="806" ref="BI733:BI769">F733*AP733</f>
        <v>0</v>
      </c>
      <c r="BJ733" s="90">
        <f aca="true" t="shared" si="807" ref="BJ733:BJ769">F733*G733</f>
        <v>0</v>
      </c>
    </row>
    <row r="734" spans="1:62" ht="12.75" hidden="1">
      <c r="A734" s="88" t="s">
        <v>1961</v>
      </c>
      <c r="B734" s="88" t="s">
        <v>61</v>
      </c>
      <c r="C734" s="88" t="s">
        <v>292</v>
      </c>
      <c r="D734" s="88" t="s">
        <v>1613</v>
      </c>
      <c r="E734" s="88" t="s">
        <v>609</v>
      </c>
      <c r="F734" s="90"/>
      <c r="G734" s="90">
        <v>45</v>
      </c>
      <c r="H734" s="90">
        <f t="shared" si="782"/>
        <v>0</v>
      </c>
      <c r="I734" s="90">
        <f t="shared" si="783"/>
        <v>0</v>
      </c>
      <c r="J734" s="90">
        <f t="shared" si="784"/>
        <v>0</v>
      </c>
      <c r="K734" s="90">
        <v>0</v>
      </c>
      <c r="L734" s="90">
        <f t="shared" si="785"/>
        <v>0</v>
      </c>
      <c r="M734" s="91" t="s">
        <v>622</v>
      </c>
      <c r="O734" s="90"/>
      <c r="P734" s="90"/>
      <c r="Z734" s="90">
        <f t="shared" si="786"/>
        <v>0</v>
      </c>
      <c r="AB734" s="90">
        <f t="shared" si="787"/>
        <v>0</v>
      </c>
      <c r="AC734" s="90">
        <f t="shared" si="788"/>
        <v>0</v>
      </c>
      <c r="AD734" s="90">
        <f t="shared" si="789"/>
        <v>0</v>
      </c>
      <c r="AE734" s="90">
        <f t="shared" si="790"/>
        <v>0</v>
      </c>
      <c r="AF734" s="90">
        <f t="shared" si="791"/>
        <v>0</v>
      </c>
      <c r="AG734" s="90">
        <f t="shared" si="792"/>
        <v>0</v>
      </c>
      <c r="AH734" s="90">
        <f t="shared" si="793"/>
        <v>0</v>
      </c>
      <c r="AI734" s="154" t="s">
        <v>61</v>
      </c>
      <c r="AJ734" s="90">
        <f t="shared" si="794"/>
        <v>0</v>
      </c>
      <c r="AK734" s="90">
        <f t="shared" si="795"/>
        <v>0</v>
      </c>
      <c r="AL734" s="90">
        <f t="shared" si="796"/>
        <v>0</v>
      </c>
      <c r="AN734" s="90">
        <v>15</v>
      </c>
      <c r="AO734" s="90">
        <f t="shared" si="797"/>
        <v>0</v>
      </c>
      <c r="AP734" s="90">
        <f t="shared" si="798"/>
        <v>45</v>
      </c>
      <c r="AQ734" s="91" t="s">
        <v>85</v>
      </c>
      <c r="AV734" s="90">
        <f t="shared" si="799"/>
        <v>0</v>
      </c>
      <c r="AW734" s="90">
        <f t="shared" si="800"/>
        <v>0</v>
      </c>
      <c r="AX734" s="90">
        <f t="shared" si="801"/>
        <v>0</v>
      </c>
      <c r="AY734" s="91" t="s">
        <v>642</v>
      </c>
      <c r="AZ734" s="91" t="s">
        <v>1644</v>
      </c>
      <c r="BA734" s="154" t="s">
        <v>1649</v>
      </c>
      <c r="BC734" s="90">
        <f t="shared" si="802"/>
        <v>0</v>
      </c>
      <c r="BD734" s="90">
        <f t="shared" si="803"/>
        <v>45</v>
      </c>
      <c r="BE734" s="90">
        <v>0</v>
      </c>
      <c r="BF734" s="90">
        <f t="shared" si="804"/>
        <v>0</v>
      </c>
      <c r="BH734" s="90">
        <f t="shared" si="805"/>
        <v>0</v>
      </c>
      <c r="BI734" s="90">
        <f t="shared" si="806"/>
        <v>0</v>
      </c>
      <c r="BJ734" s="90">
        <f t="shared" si="807"/>
        <v>0</v>
      </c>
    </row>
    <row r="735" spans="1:62" ht="12.75" hidden="1">
      <c r="A735" s="88" t="s">
        <v>1962</v>
      </c>
      <c r="B735" s="88" t="s">
        <v>61</v>
      </c>
      <c r="C735" s="88" t="s">
        <v>1563</v>
      </c>
      <c r="D735" s="88" t="s">
        <v>1614</v>
      </c>
      <c r="E735" s="88" t="s">
        <v>606</v>
      </c>
      <c r="F735" s="90"/>
      <c r="G735" s="90">
        <v>150</v>
      </c>
      <c r="H735" s="90">
        <f t="shared" si="782"/>
        <v>0</v>
      </c>
      <c r="I735" s="90">
        <f t="shared" si="783"/>
        <v>0</v>
      </c>
      <c r="J735" s="90">
        <f t="shared" si="784"/>
        <v>0</v>
      </c>
      <c r="K735" s="90">
        <v>0</v>
      </c>
      <c r="L735" s="90">
        <f t="shared" si="785"/>
        <v>0</v>
      </c>
      <c r="M735" s="91" t="s">
        <v>622</v>
      </c>
      <c r="O735" s="90"/>
      <c r="P735" s="90"/>
      <c r="Z735" s="90">
        <f t="shared" si="786"/>
        <v>0</v>
      </c>
      <c r="AB735" s="90">
        <f t="shared" si="787"/>
        <v>0</v>
      </c>
      <c r="AC735" s="90">
        <f t="shared" si="788"/>
        <v>0</v>
      </c>
      <c r="AD735" s="90">
        <f t="shared" si="789"/>
        <v>0</v>
      </c>
      <c r="AE735" s="90">
        <f t="shared" si="790"/>
        <v>0</v>
      </c>
      <c r="AF735" s="90">
        <f t="shared" si="791"/>
        <v>0</v>
      </c>
      <c r="AG735" s="90">
        <f t="shared" si="792"/>
        <v>0</v>
      </c>
      <c r="AH735" s="90">
        <f t="shared" si="793"/>
        <v>0</v>
      </c>
      <c r="AI735" s="154" t="s">
        <v>61</v>
      </c>
      <c r="AJ735" s="90">
        <f t="shared" si="794"/>
        <v>0</v>
      </c>
      <c r="AK735" s="90">
        <f t="shared" si="795"/>
        <v>0</v>
      </c>
      <c r="AL735" s="90">
        <f t="shared" si="796"/>
        <v>0</v>
      </c>
      <c r="AN735" s="90">
        <v>15</v>
      </c>
      <c r="AO735" s="90">
        <f t="shared" si="797"/>
        <v>0</v>
      </c>
      <c r="AP735" s="90">
        <f t="shared" si="798"/>
        <v>150</v>
      </c>
      <c r="AQ735" s="91" t="s">
        <v>85</v>
      </c>
      <c r="AV735" s="90">
        <f t="shared" si="799"/>
        <v>0</v>
      </c>
      <c r="AW735" s="90">
        <f t="shared" si="800"/>
        <v>0</v>
      </c>
      <c r="AX735" s="90">
        <f t="shared" si="801"/>
        <v>0</v>
      </c>
      <c r="AY735" s="91" t="s">
        <v>642</v>
      </c>
      <c r="AZ735" s="91" t="s">
        <v>1644</v>
      </c>
      <c r="BA735" s="154" t="s">
        <v>1649</v>
      </c>
      <c r="BC735" s="90">
        <f t="shared" si="802"/>
        <v>0</v>
      </c>
      <c r="BD735" s="90">
        <f t="shared" si="803"/>
        <v>150</v>
      </c>
      <c r="BE735" s="90">
        <v>0</v>
      </c>
      <c r="BF735" s="90">
        <f t="shared" si="804"/>
        <v>0</v>
      </c>
      <c r="BH735" s="90">
        <f t="shared" si="805"/>
        <v>0</v>
      </c>
      <c r="BI735" s="90">
        <f t="shared" si="806"/>
        <v>0</v>
      </c>
      <c r="BJ735" s="90">
        <f t="shared" si="807"/>
        <v>0</v>
      </c>
    </row>
    <row r="736" spans="1:62" ht="12.75" hidden="1">
      <c r="A736" s="88" t="s">
        <v>1963</v>
      </c>
      <c r="B736" s="88" t="s">
        <v>61</v>
      </c>
      <c r="C736" s="88" t="s">
        <v>1564</v>
      </c>
      <c r="D736" s="88" t="s">
        <v>1615</v>
      </c>
      <c r="E736" s="88" t="s">
        <v>606</v>
      </c>
      <c r="F736" s="90"/>
      <c r="G736" s="90">
        <v>150</v>
      </c>
      <c r="H736" s="90">
        <f t="shared" si="782"/>
        <v>0</v>
      </c>
      <c r="I736" s="90">
        <f t="shared" si="783"/>
        <v>0</v>
      </c>
      <c r="J736" s="90">
        <f t="shared" si="784"/>
        <v>0</v>
      </c>
      <c r="K736" s="90">
        <v>0</v>
      </c>
      <c r="L736" s="90">
        <f t="shared" si="785"/>
        <v>0</v>
      </c>
      <c r="M736" s="91" t="s">
        <v>622</v>
      </c>
      <c r="O736" s="90"/>
      <c r="P736" s="90"/>
      <c r="Z736" s="90">
        <f t="shared" si="786"/>
        <v>0</v>
      </c>
      <c r="AB736" s="90">
        <f t="shared" si="787"/>
        <v>0</v>
      </c>
      <c r="AC736" s="90">
        <f t="shared" si="788"/>
        <v>0</v>
      </c>
      <c r="AD736" s="90">
        <f t="shared" si="789"/>
        <v>0</v>
      </c>
      <c r="AE736" s="90">
        <f t="shared" si="790"/>
        <v>0</v>
      </c>
      <c r="AF736" s="90">
        <f t="shared" si="791"/>
        <v>0</v>
      </c>
      <c r="AG736" s="90">
        <f t="shared" si="792"/>
        <v>0</v>
      </c>
      <c r="AH736" s="90">
        <f t="shared" si="793"/>
        <v>0</v>
      </c>
      <c r="AI736" s="154" t="s">
        <v>61</v>
      </c>
      <c r="AJ736" s="90">
        <f t="shared" si="794"/>
        <v>0</v>
      </c>
      <c r="AK736" s="90">
        <f t="shared" si="795"/>
        <v>0</v>
      </c>
      <c r="AL736" s="90">
        <f t="shared" si="796"/>
        <v>0</v>
      </c>
      <c r="AN736" s="90">
        <v>15</v>
      </c>
      <c r="AO736" s="90">
        <f t="shared" si="797"/>
        <v>0</v>
      </c>
      <c r="AP736" s="90">
        <f t="shared" si="798"/>
        <v>150</v>
      </c>
      <c r="AQ736" s="91" t="s">
        <v>85</v>
      </c>
      <c r="AV736" s="90">
        <f t="shared" si="799"/>
        <v>0</v>
      </c>
      <c r="AW736" s="90">
        <f t="shared" si="800"/>
        <v>0</v>
      </c>
      <c r="AX736" s="90">
        <f t="shared" si="801"/>
        <v>0</v>
      </c>
      <c r="AY736" s="91" t="s">
        <v>642</v>
      </c>
      <c r="AZ736" s="91" t="s">
        <v>1644</v>
      </c>
      <c r="BA736" s="154" t="s">
        <v>1649</v>
      </c>
      <c r="BC736" s="90">
        <f t="shared" si="802"/>
        <v>0</v>
      </c>
      <c r="BD736" s="90">
        <f t="shared" si="803"/>
        <v>150</v>
      </c>
      <c r="BE736" s="90">
        <v>0</v>
      </c>
      <c r="BF736" s="90">
        <f t="shared" si="804"/>
        <v>0</v>
      </c>
      <c r="BH736" s="90">
        <f t="shared" si="805"/>
        <v>0</v>
      </c>
      <c r="BI736" s="90">
        <f t="shared" si="806"/>
        <v>0</v>
      </c>
      <c r="BJ736" s="90">
        <f t="shared" si="807"/>
        <v>0</v>
      </c>
    </row>
    <row r="737" spans="1:62" ht="12.75" hidden="1">
      <c r="A737" s="88" t="s">
        <v>1964</v>
      </c>
      <c r="B737" s="88" t="s">
        <v>61</v>
      </c>
      <c r="C737" s="88" t="s">
        <v>1565</v>
      </c>
      <c r="D737" s="88" t="s">
        <v>1616</v>
      </c>
      <c r="E737" s="88" t="s">
        <v>606</v>
      </c>
      <c r="F737" s="90"/>
      <c r="G737" s="90">
        <v>150</v>
      </c>
      <c r="H737" s="90">
        <f t="shared" si="782"/>
        <v>0</v>
      </c>
      <c r="I737" s="90">
        <f t="shared" si="783"/>
        <v>0</v>
      </c>
      <c r="J737" s="90">
        <f t="shared" si="784"/>
        <v>0</v>
      </c>
      <c r="K737" s="90">
        <v>0</v>
      </c>
      <c r="L737" s="90">
        <f t="shared" si="785"/>
        <v>0</v>
      </c>
      <c r="M737" s="91" t="s">
        <v>622</v>
      </c>
      <c r="O737" s="90"/>
      <c r="P737" s="90"/>
      <c r="Z737" s="90">
        <f t="shared" si="786"/>
        <v>0</v>
      </c>
      <c r="AB737" s="90">
        <f t="shared" si="787"/>
        <v>0</v>
      </c>
      <c r="AC737" s="90">
        <f t="shared" si="788"/>
        <v>0</v>
      </c>
      <c r="AD737" s="90">
        <f t="shared" si="789"/>
        <v>0</v>
      </c>
      <c r="AE737" s="90">
        <f t="shared" si="790"/>
        <v>0</v>
      </c>
      <c r="AF737" s="90">
        <f t="shared" si="791"/>
        <v>0</v>
      </c>
      <c r="AG737" s="90">
        <f t="shared" si="792"/>
        <v>0</v>
      </c>
      <c r="AH737" s="90">
        <f t="shared" si="793"/>
        <v>0</v>
      </c>
      <c r="AI737" s="154" t="s">
        <v>61</v>
      </c>
      <c r="AJ737" s="90">
        <f t="shared" si="794"/>
        <v>0</v>
      </c>
      <c r="AK737" s="90">
        <f t="shared" si="795"/>
        <v>0</v>
      </c>
      <c r="AL737" s="90">
        <f t="shared" si="796"/>
        <v>0</v>
      </c>
      <c r="AN737" s="90">
        <v>15</v>
      </c>
      <c r="AO737" s="90">
        <f t="shared" si="797"/>
        <v>0</v>
      </c>
      <c r="AP737" s="90">
        <f t="shared" si="798"/>
        <v>150</v>
      </c>
      <c r="AQ737" s="91" t="s">
        <v>85</v>
      </c>
      <c r="AV737" s="90">
        <f t="shared" si="799"/>
        <v>0</v>
      </c>
      <c r="AW737" s="90">
        <f t="shared" si="800"/>
        <v>0</v>
      </c>
      <c r="AX737" s="90">
        <f t="shared" si="801"/>
        <v>0</v>
      </c>
      <c r="AY737" s="91" t="s">
        <v>642</v>
      </c>
      <c r="AZ737" s="91" t="s">
        <v>1644</v>
      </c>
      <c r="BA737" s="154" t="s">
        <v>1649</v>
      </c>
      <c r="BC737" s="90">
        <f t="shared" si="802"/>
        <v>0</v>
      </c>
      <c r="BD737" s="90">
        <f t="shared" si="803"/>
        <v>150</v>
      </c>
      <c r="BE737" s="90">
        <v>0</v>
      </c>
      <c r="BF737" s="90">
        <f t="shared" si="804"/>
        <v>0</v>
      </c>
      <c r="BH737" s="90">
        <f t="shared" si="805"/>
        <v>0</v>
      </c>
      <c r="BI737" s="90">
        <f t="shared" si="806"/>
        <v>0</v>
      </c>
      <c r="BJ737" s="90">
        <f t="shared" si="807"/>
        <v>0</v>
      </c>
    </row>
    <row r="738" spans="1:62" ht="12.75" hidden="1">
      <c r="A738" s="88" t="s">
        <v>1965</v>
      </c>
      <c r="B738" s="88" t="s">
        <v>61</v>
      </c>
      <c r="C738" s="88" t="s">
        <v>293</v>
      </c>
      <c r="D738" s="88" t="s">
        <v>1617</v>
      </c>
      <c r="E738" s="88" t="s">
        <v>609</v>
      </c>
      <c r="F738" s="90"/>
      <c r="G738" s="90">
        <v>750</v>
      </c>
      <c r="H738" s="90">
        <f t="shared" si="782"/>
        <v>0</v>
      </c>
      <c r="I738" s="90">
        <f t="shared" si="783"/>
        <v>0</v>
      </c>
      <c r="J738" s="90">
        <f t="shared" si="784"/>
        <v>0</v>
      </c>
      <c r="K738" s="90">
        <v>0</v>
      </c>
      <c r="L738" s="90">
        <f t="shared" si="785"/>
        <v>0</v>
      </c>
      <c r="M738" s="91" t="s">
        <v>622</v>
      </c>
      <c r="O738" s="90"/>
      <c r="P738" s="90"/>
      <c r="Z738" s="90">
        <f t="shared" si="786"/>
        <v>0</v>
      </c>
      <c r="AB738" s="90">
        <f t="shared" si="787"/>
        <v>0</v>
      </c>
      <c r="AC738" s="90">
        <f t="shared" si="788"/>
        <v>0</v>
      </c>
      <c r="AD738" s="90">
        <f t="shared" si="789"/>
        <v>0</v>
      </c>
      <c r="AE738" s="90">
        <f t="shared" si="790"/>
        <v>0</v>
      </c>
      <c r="AF738" s="90">
        <f t="shared" si="791"/>
        <v>0</v>
      </c>
      <c r="AG738" s="90">
        <f t="shared" si="792"/>
        <v>0</v>
      </c>
      <c r="AH738" s="90">
        <f t="shared" si="793"/>
        <v>0</v>
      </c>
      <c r="AI738" s="154" t="s">
        <v>61</v>
      </c>
      <c r="AJ738" s="90">
        <f t="shared" si="794"/>
        <v>0</v>
      </c>
      <c r="AK738" s="90">
        <f t="shared" si="795"/>
        <v>0</v>
      </c>
      <c r="AL738" s="90">
        <f t="shared" si="796"/>
        <v>0</v>
      </c>
      <c r="AN738" s="90">
        <v>15</v>
      </c>
      <c r="AO738" s="90">
        <f t="shared" si="797"/>
        <v>0</v>
      </c>
      <c r="AP738" s="90">
        <f t="shared" si="798"/>
        <v>750</v>
      </c>
      <c r="AQ738" s="91" t="s">
        <v>85</v>
      </c>
      <c r="AV738" s="90">
        <f t="shared" si="799"/>
        <v>0</v>
      </c>
      <c r="AW738" s="90">
        <f t="shared" si="800"/>
        <v>0</v>
      </c>
      <c r="AX738" s="90">
        <f t="shared" si="801"/>
        <v>0</v>
      </c>
      <c r="AY738" s="91" t="s">
        <v>642</v>
      </c>
      <c r="AZ738" s="91" t="s">
        <v>1644</v>
      </c>
      <c r="BA738" s="154" t="s">
        <v>1649</v>
      </c>
      <c r="BC738" s="90">
        <f t="shared" si="802"/>
        <v>0</v>
      </c>
      <c r="BD738" s="90">
        <f t="shared" si="803"/>
        <v>750</v>
      </c>
      <c r="BE738" s="90">
        <v>0</v>
      </c>
      <c r="BF738" s="90">
        <f t="shared" si="804"/>
        <v>0</v>
      </c>
      <c r="BH738" s="90">
        <f t="shared" si="805"/>
        <v>0</v>
      </c>
      <c r="BI738" s="90">
        <f t="shared" si="806"/>
        <v>0</v>
      </c>
      <c r="BJ738" s="90">
        <f t="shared" si="807"/>
        <v>0</v>
      </c>
    </row>
    <row r="739" spans="1:62" ht="12.75" hidden="1">
      <c r="A739" s="88" t="s">
        <v>1966</v>
      </c>
      <c r="B739" s="88" t="s">
        <v>61</v>
      </c>
      <c r="C739" s="88" t="s">
        <v>958</v>
      </c>
      <c r="D739" s="88" t="s">
        <v>1618</v>
      </c>
      <c r="E739" s="88" t="s">
        <v>609</v>
      </c>
      <c r="F739" s="90"/>
      <c r="G739" s="90">
        <v>800</v>
      </c>
      <c r="H739" s="90">
        <f t="shared" si="782"/>
        <v>0</v>
      </c>
      <c r="I739" s="90">
        <f t="shared" si="783"/>
        <v>0</v>
      </c>
      <c r="J739" s="90">
        <f t="shared" si="784"/>
        <v>0</v>
      </c>
      <c r="K739" s="90">
        <v>0</v>
      </c>
      <c r="L739" s="90">
        <f t="shared" si="785"/>
        <v>0</v>
      </c>
      <c r="M739" s="91" t="s">
        <v>622</v>
      </c>
      <c r="O739" s="90"/>
      <c r="P739" s="90"/>
      <c r="Z739" s="90">
        <f t="shared" si="786"/>
        <v>0</v>
      </c>
      <c r="AB739" s="90">
        <f t="shared" si="787"/>
        <v>0</v>
      </c>
      <c r="AC739" s="90">
        <f t="shared" si="788"/>
        <v>0</v>
      </c>
      <c r="AD739" s="90">
        <f t="shared" si="789"/>
        <v>0</v>
      </c>
      <c r="AE739" s="90">
        <f t="shared" si="790"/>
        <v>0</v>
      </c>
      <c r="AF739" s="90">
        <f t="shared" si="791"/>
        <v>0</v>
      </c>
      <c r="AG739" s="90">
        <f t="shared" si="792"/>
        <v>0</v>
      </c>
      <c r="AH739" s="90">
        <f t="shared" si="793"/>
        <v>0</v>
      </c>
      <c r="AI739" s="154" t="s">
        <v>61</v>
      </c>
      <c r="AJ739" s="90">
        <f t="shared" si="794"/>
        <v>0</v>
      </c>
      <c r="AK739" s="90">
        <f t="shared" si="795"/>
        <v>0</v>
      </c>
      <c r="AL739" s="90">
        <f t="shared" si="796"/>
        <v>0</v>
      </c>
      <c r="AN739" s="90">
        <v>15</v>
      </c>
      <c r="AO739" s="90">
        <f t="shared" si="797"/>
        <v>0</v>
      </c>
      <c r="AP739" s="90">
        <f t="shared" si="798"/>
        <v>800</v>
      </c>
      <c r="AQ739" s="91" t="s">
        <v>85</v>
      </c>
      <c r="AV739" s="90">
        <f t="shared" si="799"/>
        <v>0</v>
      </c>
      <c r="AW739" s="90">
        <f t="shared" si="800"/>
        <v>0</v>
      </c>
      <c r="AX739" s="90">
        <f t="shared" si="801"/>
        <v>0</v>
      </c>
      <c r="AY739" s="91" t="s">
        <v>642</v>
      </c>
      <c r="AZ739" s="91" t="s">
        <v>1644</v>
      </c>
      <c r="BA739" s="154" t="s">
        <v>1649</v>
      </c>
      <c r="BC739" s="90">
        <f t="shared" si="802"/>
        <v>0</v>
      </c>
      <c r="BD739" s="90">
        <f t="shared" si="803"/>
        <v>800</v>
      </c>
      <c r="BE739" s="90">
        <v>0</v>
      </c>
      <c r="BF739" s="90">
        <f t="shared" si="804"/>
        <v>0</v>
      </c>
      <c r="BH739" s="90">
        <f t="shared" si="805"/>
        <v>0</v>
      </c>
      <c r="BI739" s="90">
        <f t="shared" si="806"/>
        <v>0</v>
      </c>
      <c r="BJ739" s="90">
        <f t="shared" si="807"/>
        <v>0</v>
      </c>
    </row>
    <row r="740" spans="1:62" ht="12.75" hidden="1">
      <c r="A740" s="88" t="s">
        <v>1967</v>
      </c>
      <c r="B740" s="88" t="s">
        <v>61</v>
      </c>
      <c r="C740" s="88" t="s">
        <v>959</v>
      </c>
      <c r="D740" s="88" t="s">
        <v>1619</v>
      </c>
      <c r="E740" s="88" t="s">
        <v>609</v>
      </c>
      <c r="F740" s="90"/>
      <c r="G740" s="90">
        <v>850</v>
      </c>
      <c r="H740" s="90">
        <f t="shared" si="782"/>
        <v>0</v>
      </c>
      <c r="I740" s="90">
        <f t="shared" si="783"/>
        <v>0</v>
      </c>
      <c r="J740" s="90">
        <f t="shared" si="784"/>
        <v>0</v>
      </c>
      <c r="K740" s="90">
        <v>0</v>
      </c>
      <c r="L740" s="90">
        <f t="shared" si="785"/>
        <v>0</v>
      </c>
      <c r="M740" s="91" t="s">
        <v>622</v>
      </c>
      <c r="O740" s="90"/>
      <c r="P740" s="90"/>
      <c r="Z740" s="90">
        <f t="shared" si="786"/>
        <v>0</v>
      </c>
      <c r="AB740" s="90">
        <f t="shared" si="787"/>
        <v>0</v>
      </c>
      <c r="AC740" s="90">
        <f t="shared" si="788"/>
        <v>0</v>
      </c>
      <c r="AD740" s="90">
        <f t="shared" si="789"/>
        <v>0</v>
      </c>
      <c r="AE740" s="90">
        <f t="shared" si="790"/>
        <v>0</v>
      </c>
      <c r="AF740" s="90">
        <f t="shared" si="791"/>
        <v>0</v>
      </c>
      <c r="AG740" s="90">
        <f t="shared" si="792"/>
        <v>0</v>
      </c>
      <c r="AH740" s="90">
        <f t="shared" si="793"/>
        <v>0</v>
      </c>
      <c r="AI740" s="154" t="s">
        <v>61</v>
      </c>
      <c r="AJ740" s="90">
        <f t="shared" si="794"/>
        <v>0</v>
      </c>
      <c r="AK740" s="90">
        <f t="shared" si="795"/>
        <v>0</v>
      </c>
      <c r="AL740" s="90">
        <f t="shared" si="796"/>
        <v>0</v>
      </c>
      <c r="AN740" s="90">
        <v>15</v>
      </c>
      <c r="AO740" s="90">
        <f t="shared" si="797"/>
        <v>0</v>
      </c>
      <c r="AP740" s="90">
        <f t="shared" si="798"/>
        <v>850</v>
      </c>
      <c r="AQ740" s="91" t="s">
        <v>85</v>
      </c>
      <c r="AV740" s="90">
        <f t="shared" si="799"/>
        <v>0</v>
      </c>
      <c r="AW740" s="90">
        <f t="shared" si="800"/>
        <v>0</v>
      </c>
      <c r="AX740" s="90">
        <f t="shared" si="801"/>
        <v>0</v>
      </c>
      <c r="AY740" s="91" t="s">
        <v>642</v>
      </c>
      <c r="AZ740" s="91" t="s">
        <v>1644</v>
      </c>
      <c r="BA740" s="154" t="s">
        <v>1649</v>
      </c>
      <c r="BC740" s="90">
        <f t="shared" si="802"/>
        <v>0</v>
      </c>
      <c r="BD740" s="90">
        <f t="shared" si="803"/>
        <v>850</v>
      </c>
      <c r="BE740" s="90">
        <v>0</v>
      </c>
      <c r="BF740" s="90">
        <f t="shared" si="804"/>
        <v>0</v>
      </c>
      <c r="BH740" s="90">
        <f t="shared" si="805"/>
        <v>0</v>
      </c>
      <c r="BI740" s="90">
        <f t="shared" si="806"/>
        <v>0</v>
      </c>
      <c r="BJ740" s="90">
        <f t="shared" si="807"/>
        <v>0</v>
      </c>
    </row>
    <row r="741" spans="1:62" ht="12.75" hidden="1">
      <c r="A741" s="88" t="s">
        <v>1968</v>
      </c>
      <c r="B741" s="88" t="s">
        <v>61</v>
      </c>
      <c r="C741" s="88" t="s">
        <v>961</v>
      </c>
      <c r="D741" s="88" t="s">
        <v>1256</v>
      </c>
      <c r="E741" s="88" t="s">
        <v>609</v>
      </c>
      <c r="F741" s="90"/>
      <c r="G741" s="90">
        <v>501</v>
      </c>
      <c r="H741" s="90">
        <f t="shared" si="782"/>
        <v>0</v>
      </c>
      <c r="I741" s="90">
        <f t="shared" si="783"/>
        <v>0</v>
      </c>
      <c r="J741" s="90">
        <f t="shared" si="784"/>
        <v>0</v>
      </c>
      <c r="K741" s="90">
        <v>0</v>
      </c>
      <c r="L741" s="90">
        <f t="shared" si="785"/>
        <v>0</v>
      </c>
      <c r="M741" s="91" t="s">
        <v>622</v>
      </c>
      <c r="O741" s="90"/>
      <c r="P741" s="90"/>
      <c r="Z741" s="90">
        <f t="shared" si="786"/>
        <v>0</v>
      </c>
      <c r="AB741" s="90">
        <f t="shared" si="787"/>
        <v>0</v>
      </c>
      <c r="AC741" s="90">
        <f t="shared" si="788"/>
        <v>0</v>
      </c>
      <c r="AD741" s="90">
        <f t="shared" si="789"/>
        <v>0</v>
      </c>
      <c r="AE741" s="90">
        <f t="shared" si="790"/>
        <v>0</v>
      </c>
      <c r="AF741" s="90">
        <f t="shared" si="791"/>
        <v>0</v>
      </c>
      <c r="AG741" s="90">
        <f t="shared" si="792"/>
        <v>0</v>
      </c>
      <c r="AH741" s="90">
        <f t="shared" si="793"/>
        <v>0</v>
      </c>
      <c r="AI741" s="154" t="s">
        <v>61</v>
      </c>
      <c r="AJ741" s="90">
        <f t="shared" si="794"/>
        <v>0</v>
      </c>
      <c r="AK741" s="90">
        <f t="shared" si="795"/>
        <v>0</v>
      </c>
      <c r="AL741" s="90">
        <f t="shared" si="796"/>
        <v>0</v>
      </c>
      <c r="AN741" s="90">
        <v>15</v>
      </c>
      <c r="AO741" s="90">
        <f t="shared" si="797"/>
        <v>0</v>
      </c>
      <c r="AP741" s="90">
        <f t="shared" si="798"/>
        <v>501</v>
      </c>
      <c r="AQ741" s="91" t="s">
        <v>85</v>
      </c>
      <c r="AV741" s="90">
        <f t="shared" si="799"/>
        <v>0</v>
      </c>
      <c r="AW741" s="90">
        <f t="shared" si="800"/>
        <v>0</v>
      </c>
      <c r="AX741" s="90">
        <f t="shared" si="801"/>
        <v>0</v>
      </c>
      <c r="AY741" s="91" t="s">
        <v>642</v>
      </c>
      <c r="AZ741" s="91" t="s">
        <v>1644</v>
      </c>
      <c r="BA741" s="154" t="s">
        <v>1649</v>
      </c>
      <c r="BC741" s="90">
        <f t="shared" si="802"/>
        <v>0</v>
      </c>
      <c r="BD741" s="90">
        <f t="shared" si="803"/>
        <v>501</v>
      </c>
      <c r="BE741" s="90">
        <v>0</v>
      </c>
      <c r="BF741" s="90">
        <f t="shared" si="804"/>
        <v>0</v>
      </c>
      <c r="BH741" s="90">
        <f t="shared" si="805"/>
        <v>0</v>
      </c>
      <c r="BI741" s="90">
        <f t="shared" si="806"/>
        <v>0</v>
      </c>
      <c r="BJ741" s="90">
        <f t="shared" si="807"/>
        <v>0</v>
      </c>
    </row>
    <row r="742" spans="1:62" ht="12.75" hidden="1">
      <c r="A742" s="88" t="s">
        <v>1969</v>
      </c>
      <c r="B742" s="88" t="s">
        <v>61</v>
      </c>
      <c r="C742" s="88" t="s">
        <v>962</v>
      </c>
      <c r="D742" s="88" t="s">
        <v>1257</v>
      </c>
      <c r="E742" s="88" t="s">
        <v>609</v>
      </c>
      <c r="F742" s="90"/>
      <c r="G742" s="90">
        <v>635.1</v>
      </c>
      <c r="H742" s="90">
        <f t="shared" si="782"/>
        <v>0</v>
      </c>
      <c r="I742" s="90">
        <f t="shared" si="783"/>
        <v>0</v>
      </c>
      <c r="J742" s="90">
        <f t="shared" si="784"/>
        <v>0</v>
      </c>
      <c r="K742" s="90">
        <v>0</v>
      </c>
      <c r="L742" s="90">
        <f t="shared" si="785"/>
        <v>0</v>
      </c>
      <c r="M742" s="91" t="s">
        <v>622</v>
      </c>
      <c r="O742" s="90"/>
      <c r="P742" s="90"/>
      <c r="Z742" s="90">
        <f t="shared" si="786"/>
        <v>0</v>
      </c>
      <c r="AB742" s="90">
        <f t="shared" si="787"/>
        <v>0</v>
      </c>
      <c r="AC742" s="90">
        <f t="shared" si="788"/>
        <v>0</v>
      </c>
      <c r="AD742" s="90">
        <f t="shared" si="789"/>
        <v>0</v>
      </c>
      <c r="AE742" s="90">
        <f t="shared" si="790"/>
        <v>0</v>
      </c>
      <c r="AF742" s="90">
        <f t="shared" si="791"/>
        <v>0</v>
      </c>
      <c r="AG742" s="90">
        <f t="shared" si="792"/>
        <v>0</v>
      </c>
      <c r="AH742" s="90">
        <f t="shared" si="793"/>
        <v>0</v>
      </c>
      <c r="AI742" s="154" t="s">
        <v>61</v>
      </c>
      <c r="AJ742" s="90">
        <f t="shared" si="794"/>
        <v>0</v>
      </c>
      <c r="AK742" s="90">
        <f t="shared" si="795"/>
        <v>0</v>
      </c>
      <c r="AL742" s="90">
        <f t="shared" si="796"/>
        <v>0</v>
      </c>
      <c r="AN742" s="90">
        <v>15</v>
      </c>
      <c r="AO742" s="90">
        <f t="shared" si="797"/>
        <v>0</v>
      </c>
      <c r="AP742" s="90">
        <f t="shared" si="798"/>
        <v>635.1</v>
      </c>
      <c r="AQ742" s="91" t="s">
        <v>85</v>
      </c>
      <c r="AV742" s="90">
        <f t="shared" si="799"/>
        <v>0</v>
      </c>
      <c r="AW742" s="90">
        <f t="shared" si="800"/>
        <v>0</v>
      </c>
      <c r="AX742" s="90">
        <f t="shared" si="801"/>
        <v>0</v>
      </c>
      <c r="AY742" s="91" t="s">
        <v>642</v>
      </c>
      <c r="AZ742" s="91" t="s">
        <v>1644</v>
      </c>
      <c r="BA742" s="154" t="s">
        <v>1649</v>
      </c>
      <c r="BC742" s="90">
        <f t="shared" si="802"/>
        <v>0</v>
      </c>
      <c r="BD742" s="90">
        <f t="shared" si="803"/>
        <v>635.1</v>
      </c>
      <c r="BE742" s="90">
        <v>0</v>
      </c>
      <c r="BF742" s="90">
        <f t="shared" si="804"/>
        <v>0</v>
      </c>
      <c r="BH742" s="90">
        <f t="shared" si="805"/>
        <v>0</v>
      </c>
      <c r="BI742" s="90">
        <f t="shared" si="806"/>
        <v>0</v>
      </c>
      <c r="BJ742" s="90">
        <f t="shared" si="807"/>
        <v>0</v>
      </c>
    </row>
    <row r="743" spans="1:62" ht="12.75" hidden="1">
      <c r="A743" s="88" t="s">
        <v>1970</v>
      </c>
      <c r="B743" s="88" t="s">
        <v>61</v>
      </c>
      <c r="C743" s="88" t="s">
        <v>964</v>
      </c>
      <c r="D743" s="88" t="s">
        <v>1259</v>
      </c>
      <c r="E743" s="88" t="s">
        <v>606</v>
      </c>
      <c r="F743" s="90"/>
      <c r="G743" s="90">
        <v>1465</v>
      </c>
      <c r="H743" s="90">
        <f t="shared" si="782"/>
        <v>0</v>
      </c>
      <c r="I743" s="90">
        <f t="shared" si="783"/>
        <v>0</v>
      </c>
      <c r="J743" s="90">
        <f t="shared" si="784"/>
        <v>0</v>
      </c>
      <c r="K743" s="90">
        <v>0</v>
      </c>
      <c r="L743" s="90">
        <f t="shared" si="785"/>
        <v>0</v>
      </c>
      <c r="M743" s="91" t="s">
        <v>622</v>
      </c>
      <c r="O743" s="90"/>
      <c r="P743" s="90"/>
      <c r="Z743" s="90">
        <f t="shared" si="786"/>
        <v>0</v>
      </c>
      <c r="AB743" s="90">
        <f t="shared" si="787"/>
        <v>0</v>
      </c>
      <c r="AC743" s="90">
        <f t="shared" si="788"/>
        <v>0</v>
      </c>
      <c r="AD743" s="90">
        <f t="shared" si="789"/>
        <v>0</v>
      </c>
      <c r="AE743" s="90">
        <f t="shared" si="790"/>
        <v>0</v>
      </c>
      <c r="AF743" s="90">
        <f t="shared" si="791"/>
        <v>0</v>
      </c>
      <c r="AG743" s="90">
        <f t="shared" si="792"/>
        <v>0</v>
      </c>
      <c r="AH743" s="90">
        <f t="shared" si="793"/>
        <v>0</v>
      </c>
      <c r="AI743" s="154" t="s">
        <v>61</v>
      </c>
      <c r="AJ743" s="90">
        <f t="shared" si="794"/>
        <v>0</v>
      </c>
      <c r="AK743" s="90">
        <f t="shared" si="795"/>
        <v>0</v>
      </c>
      <c r="AL743" s="90">
        <f t="shared" si="796"/>
        <v>0</v>
      </c>
      <c r="AN743" s="90">
        <v>15</v>
      </c>
      <c r="AO743" s="90">
        <f t="shared" si="797"/>
        <v>0</v>
      </c>
      <c r="AP743" s="90">
        <f t="shared" si="798"/>
        <v>1465</v>
      </c>
      <c r="AQ743" s="91" t="s">
        <v>85</v>
      </c>
      <c r="AV743" s="90">
        <f t="shared" si="799"/>
        <v>0</v>
      </c>
      <c r="AW743" s="90">
        <f t="shared" si="800"/>
        <v>0</v>
      </c>
      <c r="AX743" s="90">
        <f t="shared" si="801"/>
        <v>0</v>
      </c>
      <c r="AY743" s="91" t="s">
        <v>642</v>
      </c>
      <c r="AZ743" s="91" t="s">
        <v>1644</v>
      </c>
      <c r="BA743" s="154" t="s">
        <v>1649</v>
      </c>
      <c r="BC743" s="90">
        <f t="shared" si="802"/>
        <v>0</v>
      </c>
      <c r="BD743" s="90">
        <f t="shared" si="803"/>
        <v>1465</v>
      </c>
      <c r="BE743" s="90">
        <v>0</v>
      </c>
      <c r="BF743" s="90">
        <f t="shared" si="804"/>
        <v>0</v>
      </c>
      <c r="BH743" s="90">
        <f t="shared" si="805"/>
        <v>0</v>
      </c>
      <c r="BI743" s="90">
        <f t="shared" si="806"/>
        <v>0</v>
      </c>
      <c r="BJ743" s="90">
        <f t="shared" si="807"/>
        <v>0</v>
      </c>
    </row>
    <row r="744" spans="1:62" ht="12.75" hidden="1">
      <c r="A744" s="88" t="s">
        <v>1971</v>
      </c>
      <c r="B744" s="88" t="s">
        <v>61</v>
      </c>
      <c r="C744" s="88" t="s">
        <v>965</v>
      </c>
      <c r="D744" s="88" t="s">
        <v>1260</v>
      </c>
      <c r="E744" s="88" t="s">
        <v>606</v>
      </c>
      <c r="F744" s="90"/>
      <c r="G744" s="90">
        <v>498</v>
      </c>
      <c r="H744" s="90">
        <f t="shared" si="782"/>
        <v>0</v>
      </c>
      <c r="I744" s="90">
        <f t="shared" si="783"/>
        <v>0</v>
      </c>
      <c r="J744" s="90">
        <f t="shared" si="784"/>
        <v>0</v>
      </c>
      <c r="K744" s="90">
        <v>0</v>
      </c>
      <c r="L744" s="90">
        <f t="shared" si="785"/>
        <v>0</v>
      </c>
      <c r="M744" s="91" t="s">
        <v>622</v>
      </c>
      <c r="O744" s="90"/>
      <c r="P744" s="90"/>
      <c r="Z744" s="90">
        <f t="shared" si="786"/>
        <v>0</v>
      </c>
      <c r="AB744" s="90">
        <f t="shared" si="787"/>
        <v>0</v>
      </c>
      <c r="AC744" s="90">
        <f t="shared" si="788"/>
        <v>0</v>
      </c>
      <c r="AD744" s="90">
        <f t="shared" si="789"/>
        <v>0</v>
      </c>
      <c r="AE744" s="90">
        <f t="shared" si="790"/>
        <v>0</v>
      </c>
      <c r="AF744" s="90">
        <f t="shared" si="791"/>
        <v>0</v>
      </c>
      <c r="AG744" s="90">
        <f t="shared" si="792"/>
        <v>0</v>
      </c>
      <c r="AH744" s="90">
        <f t="shared" si="793"/>
        <v>0</v>
      </c>
      <c r="AI744" s="154" t="s">
        <v>61</v>
      </c>
      <c r="AJ744" s="90">
        <f t="shared" si="794"/>
        <v>0</v>
      </c>
      <c r="AK744" s="90">
        <f t="shared" si="795"/>
        <v>0</v>
      </c>
      <c r="AL744" s="90">
        <f t="shared" si="796"/>
        <v>0</v>
      </c>
      <c r="AN744" s="90">
        <v>15</v>
      </c>
      <c r="AO744" s="90">
        <f t="shared" si="797"/>
        <v>0</v>
      </c>
      <c r="AP744" s="90">
        <f t="shared" si="798"/>
        <v>498</v>
      </c>
      <c r="AQ744" s="91" t="s">
        <v>85</v>
      </c>
      <c r="AV744" s="90">
        <f t="shared" si="799"/>
        <v>0</v>
      </c>
      <c r="AW744" s="90">
        <f t="shared" si="800"/>
        <v>0</v>
      </c>
      <c r="AX744" s="90">
        <f t="shared" si="801"/>
        <v>0</v>
      </c>
      <c r="AY744" s="91" t="s">
        <v>642</v>
      </c>
      <c r="AZ744" s="91" t="s">
        <v>1644</v>
      </c>
      <c r="BA744" s="154" t="s">
        <v>1649</v>
      </c>
      <c r="BC744" s="90">
        <f t="shared" si="802"/>
        <v>0</v>
      </c>
      <c r="BD744" s="90">
        <f t="shared" si="803"/>
        <v>498.00000000000006</v>
      </c>
      <c r="BE744" s="90">
        <v>0</v>
      </c>
      <c r="BF744" s="90">
        <f t="shared" si="804"/>
        <v>0</v>
      </c>
      <c r="BH744" s="90">
        <f t="shared" si="805"/>
        <v>0</v>
      </c>
      <c r="BI744" s="90">
        <f t="shared" si="806"/>
        <v>0</v>
      </c>
      <c r="BJ744" s="90">
        <f t="shared" si="807"/>
        <v>0</v>
      </c>
    </row>
    <row r="745" spans="1:62" ht="12.75" hidden="1">
      <c r="A745" s="88" t="s">
        <v>1972</v>
      </c>
      <c r="B745" s="88" t="s">
        <v>61</v>
      </c>
      <c r="C745" s="88" t="s">
        <v>971</v>
      </c>
      <c r="D745" s="88" t="s">
        <v>1261</v>
      </c>
      <c r="E745" s="88" t="s">
        <v>606</v>
      </c>
      <c r="F745" s="90"/>
      <c r="G745" s="90">
        <v>50</v>
      </c>
      <c r="H745" s="90">
        <f t="shared" si="782"/>
        <v>0</v>
      </c>
      <c r="I745" s="90">
        <f t="shared" si="783"/>
        <v>0</v>
      </c>
      <c r="J745" s="90">
        <f t="shared" si="784"/>
        <v>0</v>
      </c>
      <c r="K745" s="90">
        <v>0</v>
      </c>
      <c r="L745" s="90">
        <f t="shared" si="785"/>
        <v>0</v>
      </c>
      <c r="M745" s="91" t="s">
        <v>622</v>
      </c>
      <c r="O745" s="90"/>
      <c r="P745" s="90"/>
      <c r="Z745" s="90">
        <f t="shared" si="786"/>
        <v>0</v>
      </c>
      <c r="AB745" s="90">
        <f t="shared" si="787"/>
        <v>0</v>
      </c>
      <c r="AC745" s="90">
        <f t="shared" si="788"/>
        <v>0</v>
      </c>
      <c r="AD745" s="90">
        <f t="shared" si="789"/>
        <v>0</v>
      </c>
      <c r="AE745" s="90">
        <f t="shared" si="790"/>
        <v>0</v>
      </c>
      <c r="AF745" s="90">
        <f t="shared" si="791"/>
        <v>0</v>
      </c>
      <c r="AG745" s="90">
        <f t="shared" si="792"/>
        <v>0</v>
      </c>
      <c r="AH745" s="90">
        <f t="shared" si="793"/>
        <v>0</v>
      </c>
      <c r="AI745" s="154" t="s">
        <v>61</v>
      </c>
      <c r="AJ745" s="90">
        <f t="shared" si="794"/>
        <v>0</v>
      </c>
      <c r="AK745" s="90">
        <f t="shared" si="795"/>
        <v>0</v>
      </c>
      <c r="AL745" s="90">
        <f t="shared" si="796"/>
        <v>0</v>
      </c>
      <c r="AN745" s="90">
        <v>15</v>
      </c>
      <c r="AO745" s="90">
        <f t="shared" si="797"/>
        <v>0</v>
      </c>
      <c r="AP745" s="90">
        <f t="shared" si="798"/>
        <v>50</v>
      </c>
      <c r="AQ745" s="91" t="s">
        <v>85</v>
      </c>
      <c r="AV745" s="90">
        <f t="shared" si="799"/>
        <v>0</v>
      </c>
      <c r="AW745" s="90">
        <f t="shared" si="800"/>
        <v>0</v>
      </c>
      <c r="AX745" s="90">
        <f t="shared" si="801"/>
        <v>0</v>
      </c>
      <c r="AY745" s="91" t="s">
        <v>642</v>
      </c>
      <c r="AZ745" s="91" t="s">
        <v>1644</v>
      </c>
      <c r="BA745" s="154" t="s">
        <v>1649</v>
      </c>
      <c r="BC745" s="90">
        <f t="shared" si="802"/>
        <v>0</v>
      </c>
      <c r="BD745" s="90">
        <f t="shared" si="803"/>
        <v>50</v>
      </c>
      <c r="BE745" s="90">
        <v>0</v>
      </c>
      <c r="BF745" s="90">
        <f t="shared" si="804"/>
        <v>0</v>
      </c>
      <c r="BH745" s="90">
        <f t="shared" si="805"/>
        <v>0</v>
      </c>
      <c r="BI745" s="90">
        <f t="shared" si="806"/>
        <v>0</v>
      </c>
      <c r="BJ745" s="90">
        <f t="shared" si="807"/>
        <v>0</v>
      </c>
    </row>
    <row r="746" spans="1:62" ht="12.75" hidden="1">
      <c r="A746" s="88" t="s">
        <v>1973</v>
      </c>
      <c r="B746" s="88" t="s">
        <v>61</v>
      </c>
      <c r="C746" s="88" t="s">
        <v>972</v>
      </c>
      <c r="D746" s="88" t="s">
        <v>1263</v>
      </c>
      <c r="E746" s="88" t="s">
        <v>606</v>
      </c>
      <c r="F746" s="90"/>
      <c r="G746" s="90">
        <v>430</v>
      </c>
      <c r="H746" s="90">
        <f t="shared" si="782"/>
        <v>0</v>
      </c>
      <c r="I746" s="90">
        <f t="shared" si="783"/>
        <v>0</v>
      </c>
      <c r="J746" s="90">
        <f t="shared" si="784"/>
        <v>0</v>
      </c>
      <c r="K746" s="90">
        <v>0</v>
      </c>
      <c r="L746" s="90">
        <f t="shared" si="785"/>
        <v>0</v>
      </c>
      <c r="M746" s="91" t="s">
        <v>622</v>
      </c>
      <c r="O746" s="90"/>
      <c r="P746" s="90"/>
      <c r="Z746" s="90">
        <f t="shared" si="786"/>
        <v>0</v>
      </c>
      <c r="AB746" s="90">
        <f t="shared" si="787"/>
        <v>0</v>
      </c>
      <c r="AC746" s="90">
        <f t="shared" si="788"/>
        <v>0</v>
      </c>
      <c r="AD746" s="90">
        <f t="shared" si="789"/>
        <v>0</v>
      </c>
      <c r="AE746" s="90">
        <f t="shared" si="790"/>
        <v>0</v>
      </c>
      <c r="AF746" s="90">
        <f t="shared" si="791"/>
        <v>0</v>
      </c>
      <c r="AG746" s="90">
        <f t="shared" si="792"/>
        <v>0</v>
      </c>
      <c r="AH746" s="90">
        <f t="shared" si="793"/>
        <v>0</v>
      </c>
      <c r="AI746" s="154" t="s">
        <v>61</v>
      </c>
      <c r="AJ746" s="90">
        <f t="shared" si="794"/>
        <v>0</v>
      </c>
      <c r="AK746" s="90">
        <f t="shared" si="795"/>
        <v>0</v>
      </c>
      <c r="AL746" s="90">
        <f t="shared" si="796"/>
        <v>0</v>
      </c>
      <c r="AN746" s="90">
        <v>15</v>
      </c>
      <c r="AO746" s="90">
        <f t="shared" si="797"/>
        <v>0</v>
      </c>
      <c r="AP746" s="90">
        <f t="shared" si="798"/>
        <v>430</v>
      </c>
      <c r="AQ746" s="91" t="s">
        <v>85</v>
      </c>
      <c r="AV746" s="90">
        <f t="shared" si="799"/>
        <v>0</v>
      </c>
      <c r="AW746" s="90">
        <f t="shared" si="800"/>
        <v>0</v>
      </c>
      <c r="AX746" s="90">
        <f t="shared" si="801"/>
        <v>0</v>
      </c>
      <c r="AY746" s="91" t="s">
        <v>642</v>
      </c>
      <c r="AZ746" s="91" t="s">
        <v>1644</v>
      </c>
      <c r="BA746" s="154" t="s">
        <v>1649</v>
      </c>
      <c r="BC746" s="90">
        <f t="shared" si="802"/>
        <v>0</v>
      </c>
      <c r="BD746" s="90">
        <f t="shared" si="803"/>
        <v>430</v>
      </c>
      <c r="BE746" s="90">
        <v>0</v>
      </c>
      <c r="BF746" s="90">
        <f t="shared" si="804"/>
        <v>0</v>
      </c>
      <c r="BH746" s="90">
        <f t="shared" si="805"/>
        <v>0</v>
      </c>
      <c r="BI746" s="90">
        <f t="shared" si="806"/>
        <v>0</v>
      </c>
      <c r="BJ746" s="90">
        <f t="shared" si="807"/>
        <v>0</v>
      </c>
    </row>
    <row r="747" spans="1:62" ht="12.75" hidden="1">
      <c r="A747" s="88" t="s">
        <v>1974</v>
      </c>
      <c r="B747" s="88" t="s">
        <v>61</v>
      </c>
      <c r="C747" s="88" t="s">
        <v>973</v>
      </c>
      <c r="D747" s="88" t="s">
        <v>1264</v>
      </c>
      <c r="E747" s="88" t="s">
        <v>606</v>
      </c>
      <c r="F747" s="90"/>
      <c r="G747" s="90">
        <v>490</v>
      </c>
      <c r="H747" s="90">
        <f t="shared" si="782"/>
        <v>0</v>
      </c>
      <c r="I747" s="90">
        <f t="shared" si="783"/>
        <v>0</v>
      </c>
      <c r="J747" s="90">
        <f t="shared" si="784"/>
        <v>0</v>
      </c>
      <c r="K747" s="90">
        <v>0</v>
      </c>
      <c r="L747" s="90">
        <f t="shared" si="785"/>
        <v>0</v>
      </c>
      <c r="M747" s="91" t="s">
        <v>622</v>
      </c>
      <c r="O747" s="90"/>
      <c r="P747" s="90"/>
      <c r="Z747" s="90">
        <f t="shared" si="786"/>
        <v>0</v>
      </c>
      <c r="AB747" s="90">
        <f t="shared" si="787"/>
        <v>0</v>
      </c>
      <c r="AC747" s="90">
        <f t="shared" si="788"/>
        <v>0</v>
      </c>
      <c r="AD747" s="90">
        <f t="shared" si="789"/>
        <v>0</v>
      </c>
      <c r="AE747" s="90">
        <f t="shared" si="790"/>
        <v>0</v>
      </c>
      <c r="AF747" s="90">
        <f t="shared" si="791"/>
        <v>0</v>
      </c>
      <c r="AG747" s="90">
        <f t="shared" si="792"/>
        <v>0</v>
      </c>
      <c r="AH747" s="90">
        <f t="shared" si="793"/>
        <v>0</v>
      </c>
      <c r="AI747" s="154" t="s">
        <v>61</v>
      </c>
      <c r="AJ747" s="90">
        <f t="shared" si="794"/>
        <v>0</v>
      </c>
      <c r="AK747" s="90">
        <f t="shared" si="795"/>
        <v>0</v>
      </c>
      <c r="AL747" s="90">
        <f t="shared" si="796"/>
        <v>0</v>
      </c>
      <c r="AN747" s="90">
        <v>15</v>
      </c>
      <c r="AO747" s="90">
        <f t="shared" si="797"/>
        <v>0</v>
      </c>
      <c r="AP747" s="90">
        <f t="shared" si="798"/>
        <v>490</v>
      </c>
      <c r="AQ747" s="91" t="s">
        <v>85</v>
      </c>
      <c r="AV747" s="90">
        <f t="shared" si="799"/>
        <v>0</v>
      </c>
      <c r="AW747" s="90">
        <f t="shared" si="800"/>
        <v>0</v>
      </c>
      <c r="AX747" s="90">
        <f t="shared" si="801"/>
        <v>0</v>
      </c>
      <c r="AY747" s="91" t="s">
        <v>642</v>
      </c>
      <c r="AZ747" s="91" t="s">
        <v>1644</v>
      </c>
      <c r="BA747" s="154" t="s">
        <v>1649</v>
      </c>
      <c r="BC747" s="90">
        <f t="shared" si="802"/>
        <v>0</v>
      </c>
      <c r="BD747" s="90">
        <f t="shared" si="803"/>
        <v>490.00000000000006</v>
      </c>
      <c r="BE747" s="90">
        <v>0</v>
      </c>
      <c r="BF747" s="90">
        <f t="shared" si="804"/>
        <v>0</v>
      </c>
      <c r="BH747" s="90">
        <f t="shared" si="805"/>
        <v>0</v>
      </c>
      <c r="BI747" s="90">
        <f t="shared" si="806"/>
        <v>0</v>
      </c>
      <c r="BJ747" s="90">
        <f t="shared" si="807"/>
        <v>0</v>
      </c>
    </row>
    <row r="748" spans="1:62" ht="12.75" hidden="1">
      <c r="A748" s="88" t="s">
        <v>1975</v>
      </c>
      <c r="B748" s="88" t="s">
        <v>61</v>
      </c>
      <c r="C748" s="88" t="s">
        <v>974</v>
      </c>
      <c r="D748" s="88" t="s">
        <v>1620</v>
      </c>
      <c r="E748" s="88" t="s">
        <v>606</v>
      </c>
      <c r="F748" s="90"/>
      <c r="G748" s="90">
        <v>3920</v>
      </c>
      <c r="H748" s="90">
        <f t="shared" si="782"/>
        <v>0</v>
      </c>
      <c r="I748" s="90">
        <f t="shared" si="783"/>
        <v>0</v>
      </c>
      <c r="J748" s="90">
        <f t="shared" si="784"/>
        <v>0</v>
      </c>
      <c r="K748" s="90">
        <v>0</v>
      </c>
      <c r="L748" s="90">
        <f t="shared" si="785"/>
        <v>0</v>
      </c>
      <c r="M748" s="91" t="s">
        <v>622</v>
      </c>
      <c r="O748" s="90"/>
      <c r="P748" s="90"/>
      <c r="Z748" s="90">
        <f t="shared" si="786"/>
        <v>0</v>
      </c>
      <c r="AB748" s="90">
        <f t="shared" si="787"/>
        <v>0</v>
      </c>
      <c r="AC748" s="90">
        <f t="shared" si="788"/>
        <v>0</v>
      </c>
      <c r="AD748" s="90">
        <f t="shared" si="789"/>
        <v>0</v>
      </c>
      <c r="AE748" s="90">
        <f t="shared" si="790"/>
        <v>0</v>
      </c>
      <c r="AF748" s="90">
        <f t="shared" si="791"/>
        <v>0</v>
      </c>
      <c r="AG748" s="90">
        <f t="shared" si="792"/>
        <v>0</v>
      </c>
      <c r="AH748" s="90">
        <f t="shared" si="793"/>
        <v>0</v>
      </c>
      <c r="AI748" s="154" t="s">
        <v>61</v>
      </c>
      <c r="AJ748" s="90">
        <f t="shared" si="794"/>
        <v>0</v>
      </c>
      <c r="AK748" s="90">
        <f t="shared" si="795"/>
        <v>0</v>
      </c>
      <c r="AL748" s="90">
        <f t="shared" si="796"/>
        <v>0</v>
      </c>
      <c r="AN748" s="90">
        <v>15</v>
      </c>
      <c r="AO748" s="90">
        <f t="shared" si="797"/>
        <v>0</v>
      </c>
      <c r="AP748" s="90">
        <f t="shared" si="798"/>
        <v>3920</v>
      </c>
      <c r="AQ748" s="91" t="s">
        <v>85</v>
      </c>
      <c r="AV748" s="90">
        <f t="shared" si="799"/>
        <v>0</v>
      </c>
      <c r="AW748" s="90">
        <f t="shared" si="800"/>
        <v>0</v>
      </c>
      <c r="AX748" s="90">
        <f t="shared" si="801"/>
        <v>0</v>
      </c>
      <c r="AY748" s="91" t="s">
        <v>642</v>
      </c>
      <c r="AZ748" s="91" t="s">
        <v>1644</v>
      </c>
      <c r="BA748" s="154" t="s">
        <v>1649</v>
      </c>
      <c r="BC748" s="90">
        <f t="shared" si="802"/>
        <v>0</v>
      </c>
      <c r="BD748" s="90">
        <f t="shared" si="803"/>
        <v>3920.0000000000005</v>
      </c>
      <c r="BE748" s="90">
        <v>0</v>
      </c>
      <c r="BF748" s="90">
        <f t="shared" si="804"/>
        <v>0</v>
      </c>
      <c r="BH748" s="90">
        <f t="shared" si="805"/>
        <v>0</v>
      </c>
      <c r="BI748" s="90">
        <f t="shared" si="806"/>
        <v>0</v>
      </c>
      <c r="BJ748" s="90">
        <f t="shared" si="807"/>
        <v>0</v>
      </c>
    </row>
    <row r="749" spans="1:62" ht="12.75" hidden="1">
      <c r="A749" s="88" t="s">
        <v>1976</v>
      </c>
      <c r="B749" s="88" t="s">
        <v>61</v>
      </c>
      <c r="C749" s="88" t="s">
        <v>975</v>
      </c>
      <c r="D749" s="88" t="s">
        <v>1267</v>
      </c>
      <c r="E749" s="88" t="s">
        <v>606</v>
      </c>
      <c r="F749" s="90"/>
      <c r="G749" s="90">
        <v>255</v>
      </c>
      <c r="H749" s="90">
        <f t="shared" si="782"/>
        <v>0</v>
      </c>
      <c r="I749" s="90">
        <f t="shared" si="783"/>
        <v>0</v>
      </c>
      <c r="J749" s="90">
        <f t="shared" si="784"/>
        <v>0</v>
      </c>
      <c r="K749" s="90">
        <v>0</v>
      </c>
      <c r="L749" s="90">
        <f t="shared" si="785"/>
        <v>0</v>
      </c>
      <c r="M749" s="91" t="s">
        <v>622</v>
      </c>
      <c r="O749" s="90"/>
      <c r="P749" s="90"/>
      <c r="Z749" s="90">
        <f t="shared" si="786"/>
        <v>0</v>
      </c>
      <c r="AB749" s="90">
        <f t="shared" si="787"/>
        <v>0</v>
      </c>
      <c r="AC749" s="90">
        <f t="shared" si="788"/>
        <v>0</v>
      </c>
      <c r="AD749" s="90">
        <f t="shared" si="789"/>
        <v>0</v>
      </c>
      <c r="AE749" s="90">
        <f t="shared" si="790"/>
        <v>0</v>
      </c>
      <c r="AF749" s="90">
        <f t="shared" si="791"/>
        <v>0</v>
      </c>
      <c r="AG749" s="90">
        <f t="shared" si="792"/>
        <v>0</v>
      </c>
      <c r="AH749" s="90">
        <f t="shared" si="793"/>
        <v>0</v>
      </c>
      <c r="AI749" s="154" t="s">
        <v>61</v>
      </c>
      <c r="AJ749" s="90">
        <f t="shared" si="794"/>
        <v>0</v>
      </c>
      <c r="AK749" s="90">
        <f t="shared" si="795"/>
        <v>0</v>
      </c>
      <c r="AL749" s="90">
        <f t="shared" si="796"/>
        <v>0</v>
      </c>
      <c r="AN749" s="90">
        <v>15</v>
      </c>
      <c r="AO749" s="90">
        <f t="shared" si="797"/>
        <v>0</v>
      </c>
      <c r="AP749" s="90">
        <f t="shared" si="798"/>
        <v>255</v>
      </c>
      <c r="AQ749" s="91" t="s">
        <v>85</v>
      </c>
      <c r="AV749" s="90">
        <f t="shared" si="799"/>
        <v>0</v>
      </c>
      <c r="AW749" s="90">
        <f t="shared" si="800"/>
        <v>0</v>
      </c>
      <c r="AX749" s="90">
        <f t="shared" si="801"/>
        <v>0</v>
      </c>
      <c r="AY749" s="91" t="s">
        <v>642</v>
      </c>
      <c r="AZ749" s="91" t="s">
        <v>1644</v>
      </c>
      <c r="BA749" s="154" t="s">
        <v>1649</v>
      </c>
      <c r="BC749" s="90">
        <f t="shared" si="802"/>
        <v>0</v>
      </c>
      <c r="BD749" s="90">
        <f t="shared" si="803"/>
        <v>254.99999999999997</v>
      </c>
      <c r="BE749" s="90">
        <v>0</v>
      </c>
      <c r="BF749" s="90">
        <f t="shared" si="804"/>
        <v>0</v>
      </c>
      <c r="BH749" s="90">
        <f t="shared" si="805"/>
        <v>0</v>
      </c>
      <c r="BI749" s="90">
        <f t="shared" si="806"/>
        <v>0</v>
      </c>
      <c r="BJ749" s="90">
        <f t="shared" si="807"/>
        <v>0</v>
      </c>
    </row>
    <row r="750" spans="1:62" ht="12.75" hidden="1">
      <c r="A750" s="88" t="s">
        <v>1977</v>
      </c>
      <c r="B750" s="88" t="s">
        <v>61</v>
      </c>
      <c r="C750" s="88" t="s">
        <v>987</v>
      </c>
      <c r="D750" s="88" t="s">
        <v>1621</v>
      </c>
      <c r="E750" s="88" t="s">
        <v>606</v>
      </c>
      <c r="F750" s="90"/>
      <c r="G750" s="90">
        <v>8590</v>
      </c>
      <c r="H750" s="90">
        <f t="shared" si="782"/>
        <v>0</v>
      </c>
      <c r="I750" s="90">
        <f t="shared" si="783"/>
        <v>0</v>
      </c>
      <c r="J750" s="90">
        <f t="shared" si="784"/>
        <v>0</v>
      </c>
      <c r="K750" s="90">
        <v>0</v>
      </c>
      <c r="L750" s="90">
        <f t="shared" si="785"/>
        <v>0</v>
      </c>
      <c r="M750" s="91" t="s">
        <v>622</v>
      </c>
      <c r="O750" s="90"/>
      <c r="P750" s="90"/>
      <c r="Z750" s="90">
        <f t="shared" si="786"/>
        <v>0</v>
      </c>
      <c r="AB750" s="90">
        <f t="shared" si="787"/>
        <v>0</v>
      </c>
      <c r="AC750" s="90">
        <f t="shared" si="788"/>
        <v>0</v>
      </c>
      <c r="AD750" s="90">
        <f t="shared" si="789"/>
        <v>0</v>
      </c>
      <c r="AE750" s="90">
        <f t="shared" si="790"/>
        <v>0</v>
      </c>
      <c r="AF750" s="90">
        <f t="shared" si="791"/>
        <v>0</v>
      </c>
      <c r="AG750" s="90">
        <f t="shared" si="792"/>
        <v>0</v>
      </c>
      <c r="AH750" s="90">
        <f t="shared" si="793"/>
        <v>0</v>
      </c>
      <c r="AI750" s="154" t="s">
        <v>61</v>
      </c>
      <c r="AJ750" s="90">
        <f t="shared" si="794"/>
        <v>0</v>
      </c>
      <c r="AK750" s="90">
        <f t="shared" si="795"/>
        <v>0</v>
      </c>
      <c r="AL750" s="90">
        <f t="shared" si="796"/>
        <v>0</v>
      </c>
      <c r="AN750" s="90">
        <v>15</v>
      </c>
      <c r="AO750" s="90">
        <f t="shared" si="797"/>
        <v>0</v>
      </c>
      <c r="AP750" s="90">
        <f t="shared" si="798"/>
        <v>8590</v>
      </c>
      <c r="AQ750" s="91" t="s">
        <v>85</v>
      </c>
      <c r="AV750" s="90">
        <f t="shared" si="799"/>
        <v>0</v>
      </c>
      <c r="AW750" s="90">
        <f t="shared" si="800"/>
        <v>0</v>
      </c>
      <c r="AX750" s="90">
        <f t="shared" si="801"/>
        <v>0</v>
      </c>
      <c r="AY750" s="91" t="s">
        <v>642</v>
      </c>
      <c r="AZ750" s="91" t="s">
        <v>1644</v>
      </c>
      <c r="BA750" s="154" t="s">
        <v>1649</v>
      </c>
      <c r="BC750" s="90">
        <f t="shared" si="802"/>
        <v>0</v>
      </c>
      <c r="BD750" s="90">
        <f t="shared" si="803"/>
        <v>8590</v>
      </c>
      <c r="BE750" s="90">
        <v>0</v>
      </c>
      <c r="BF750" s="90">
        <f t="shared" si="804"/>
        <v>0</v>
      </c>
      <c r="BH750" s="90">
        <f t="shared" si="805"/>
        <v>0</v>
      </c>
      <c r="BI750" s="90">
        <f t="shared" si="806"/>
        <v>0</v>
      </c>
      <c r="BJ750" s="90">
        <f t="shared" si="807"/>
        <v>0</v>
      </c>
    </row>
    <row r="751" spans="1:62" ht="12.75" hidden="1">
      <c r="A751" s="88" t="s">
        <v>1978</v>
      </c>
      <c r="B751" s="88" t="s">
        <v>61</v>
      </c>
      <c r="C751" s="88" t="s">
        <v>989</v>
      </c>
      <c r="D751" s="88" t="s">
        <v>1285</v>
      </c>
      <c r="E751" s="88" t="s">
        <v>606</v>
      </c>
      <c r="F751" s="90"/>
      <c r="G751" s="90">
        <v>250</v>
      </c>
      <c r="H751" s="90">
        <f t="shared" si="782"/>
        <v>0</v>
      </c>
      <c r="I751" s="90">
        <f t="shared" si="783"/>
        <v>0</v>
      </c>
      <c r="J751" s="90">
        <f t="shared" si="784"/>
        <v>0</v>
      </c>
      <c r="K751" s="90">
        <v>0</v>
      </c>
      <c r="L751" s="90">
        <f t="shared" si="785"/>
        <v>0</v>
      </c>
      <c r="M751" s="91" t="s">
        <v>622</v>
      </c>
      <c r="O751" s="90"/>
      <c r="P751" s="90"/>
      <c r="Z751" s="90">
        <f t="shared" si="786"/>
        <v>0</v>
      </c>
      <c r="AB751" s="90">
        <f t="shared" si="787"/>
        <v>0</v>
      </c>
      <c r="AC751" s="90">
        <f t="shared" si="788"/>
        <v>0</v>
      </c>
      <c r="AD751" s="90">
        <f t="shared" si="789"/>
        <v>0</v>
      </c>
      <c r="AE751" s="90">
        <f t="shared" si="790"/>
        <v>0</v>
      </c>
      <c r="AF751" s="90">
        <f t="shared" si="791"/>
        <v>0</v>
      </c>
      <c r="AG751" s="90">
        <f t="shared" si="792"/>
        <v>0</v>
      </c>
      <c r="AH751" s="90">
        <f t="shared" si="793"/>
        <v>0</v>
      </c>
      <c r="AI751" s="154" t="s">
        <v>61</v>
      </c>
      <c r="AJ751" s="90">
        <f t="shared" si="794"/>
        <v>0</v>
      </c>
      <c r="AK751" s="90">
        <f t="shared" si="795"/>
        <v>0</v>
      </c>
      <c r="AL751" s="90">
        <f t="shared" si="796"/>
        <v>0</v>
      </c>
      <c r="AN751" s="90">
        <v>15</v>
      </c>
      <c r="AO751" s="90">
        <f t="shared" si="797"/>
        <v>0</v>
      </c>
      <c r="AP751" s="90">
        <f t="shared" si="798"/>
        <v>250</v>
      </c>
      <c r="AQ751" s="91" t="s">
        <v>85</v>
      </c>
      <c r="AV751" s="90">
        <f t="shared" si="799"/>
        <v>0</v>
      </c>
      <c r="AW751" s="90">
        <f t="shared" si="800"/>
        <v>0</v>
      </c>
      <c r="AX751" s="90">
        <f t="shared" si="801"/>
        <v>0</v>
      </c>
      <c r="AY751" s="91" t="s">
        <v>642</v>
      </c>
      <c r="AZ751" s="91" t="s">
        <v>1644</v>
      </c>
      <c r="BA751" s="154" t="s">
        <v>1649</v>
      </c>
      <c r="BC751" s="90">
        <f t="shared" si="802"/>
        <v>0</v>
      </c>
      <c r="BD751" s="90">
        <f t="shared" si="803"/>
        <v>250</v>
      </c>
      <c r="BE751" s="90">
        <v>0</v>
      </c>
      <c r="BF751" s="90">
        <f t="shared" si="804"/>
        <v>0</v>
      </c>
      <c r="BH751" s="90">
        <f t="shared" si="805"/>
        <v>0</v>
      </c>
      <c r="BI751" s="90">
        <f t="shared" si="806"/>
        <v>0</v>
      </c>
      <c r="BJ751" s="90">
        <f t="shared" si="807"/>
        <v>0</v>
      </c>
    </row>
    <row r="752" spans="1:62" ht="12.75" hidden="1">
      <c r="A752" s="88" t="s">
        <v>1979</v>
      </c>
      <c r="B752" s="88" t="s">
        <v>61</v>
      </c>
      <c r="C752" s="88" t="s">
        <v>992</v>
      </c>
      <c r="D752" s="88" t="s">
        <v>1286</v>
      </c>
      <c r="E752" s="88" t="s">
        <v>609</v>
      </c>
      <c r="F752" s="90"/>
      <c r="G752" s="90">
        <v>1750</v>
      </c>
      <c r="H752" s="90">
        <f t="shared" si="782"/>
        <v>0</v>
      </c>
      <c r="I752" s="90">
        <f t="shared" si="783"/>
        <v>0</v>
      </c>
      <c r="J752" s="90">
        <f t="shared" si="784"/>
        <v>0</v>
      </c>
      <c r="K752" s="90">
        <v>0</v>
      </c>
      <c r="L752" s="90">
        <f t="shared" si="785"/>
        <v>0</v>
      </c>
      <c r="M752" s="91" t="s">
        <v>622</v>
      </c>
      <c r="O752" s="90"/>
      <c r="P752" s="90"/>
      <c r="Z752" s="90">
        <f t="shared" si="786"/>
        <v>0</v>
      </c>
      <c r="AB752" s="90">
        <f t="shared" si="787"/>
        <v>0</v>
      </c>
      <c r="AC752" s="90">
        <f t="shared" si="788"/>
        <v>0</v>
      </c>
      <c r="AD752" s="90">
        <f t="shared" si="789"/>
        <v>0</v>
      </c>
      <c r="AE752" s="90">
        <f t="shared" si="790"/>
        <v>0</v>
      </c>
      <c r="AF752" s="90">
        <f t="shared" si="791"/>
        <v>0</v>
      </c>
      <c r="AG752" s="90">
        <f t="shared" si="792"/>
        <v>0</v>
      </c>
      <c r="AH752" s="90">
        <f t="shared" si="793"/>
        <v>0</v>
      </c>
      <c r="AI752" s="154" t="s">
        <v>61</v>
      </c>
      <c r="AJ752" s="90">
        <f t="shared" si="794"/>
        <v>0</v>
      </c>
      <c r="AK752" s="90">
        <f t="shared" si="795"/>
        <v>0</v>
      </c>
      <c r="AL752" s="90">
        <f t="shared" si="796"/>
        <v>0</v>
      </c>
      <c r="AN752" s="90">
        <v>15</v>
      </c>
      <c r="AO752" s="90">
        <f t="shared" si="797"/>
        <v>0</v>
      </c>
      <c r="AP752" s="90">
        <f t="shared" si="798"/>
        <v>1750</v>
      </c>
      <c r="AQ752" s="91" t="s">
        <v>85</v>
      </c>
      <c r="AV752" s="90">
        <f t="shared" si="799"/>
        <v>0</v>
      </c>
      <c r="AW752" s="90">
        <f t="shared" si="800"/>
        <v>0</v>
      </c>
      <c r="AX752" s="90">
        <f t="shared" si="801"/>
        <v>0</v>
      </c>
      <c r="AY752" s="91" t="s">
        <v>642</v>
      </c>
      <c r="AZ752" s="91" t="s">
        <v>1644</v>
      </c>
      <c r="BA752" s="154" t="s">
        <v>1649</v>
      </c>
      <c r="BC752" s="90">
        <f t="shared" si="802"/>
        <v>0</v>
      </c>
      <c r="BD752" s="90">
        <f t="shared" si="803"/>
        <v>1750</v>
      </c>
      <c r="BE752" s="90">
        <v>0</v>
      </c>
      <c r="BF752" s="90">
        <f t="shared" si="804"/>
        <v>0</v>
      </c>
      <c r="BH752" s="90">
        <f t="shared" si="805"/>
        <v>0</v>
      </c>
      <c r="BI752" s="90">
        <f t="shared" si="806"/>
        <v>0</v>
      </c>
      <c r="BJ752" s="90">
        <f t="shared" si="807"/>
        <v>0</v>
      </c>
    </row>
    <row r="753" spans="1:62" ht="12.75" hidden="1">
      <c r="A753" s="88" t="s">
        <v>1980</v>
      </c>
      <c r="B753" s="88" t="s">
        <v>61</v>
      </c>
      <c r="C753" s="88" t="s">
        <v>993</v>
      </c>
      <c r="D753" s="88" t="s">
        <v>1287</v>
      </c>
      <c r="E753" s="88" t="s">
        <v>609</v>
      </c>
      <c r="F753" s="90"/>
      <c r="G753" s="90">
        <v>55</v>
      </c>
      <c r="H753" s="90">
        <f t="shared" si="782"/>
        <v>0</v>
      </c>
      <c r="I753" s="90">
        <f t="shared" si="783"/>
        <v>0</v>
      </c>
      <c r="J753" s="90">
        <f t="shared" si="784"/>
        <v>0</v>
      </c>
      <c r="K753" s="90">
        <v>0</v>
      </c>
      <c r="L753" s="90">
        <f t="shared" si="785"/>
        <v>0</v>
      </c>
      <c r="M753" s="91" t="s">
        <v>622</v>
      </c>
      <c r="O753" s="90"/>
      <c r="P753" s="90"/>
      <c r="Z753" s="90">
        <f t="shared" si="786"/>
        <v>0</v>
      </c>
      <c r="AB753" s="90">
        <f t="shared" si="787"/>
        <v>0</v>
      </c>
      <c r="AC753" s="90">
        <f t="shared" si="788"/>
        <v>0</v>
      </c>
      <c r="AD753" s="90">
        <f t="shared" si="789"/>
        <v>0</v>
      </c>
      <c r="AE753" s="90">
        <f t="shared" si="790"/>
        <v>0</v>
      </c>
      <c r="AF753" s="90">
        <f t="shared" si="791"/>
        <v>0</v>
      </c>
      <c r="AG753" s="90">
        <f t="shared" si="792"/>
        <v>0</v>
      </c>
      <c r="AH753" s="90">
        <f t="shared" si="793"/>
        <v>0</v>
      </c>
      <c r="AI753" s="154" t="s">
        <v>61</v>
      </c>
      <c r="AJ753" s="90">
        <f t="shared" si="794"/>
        <v>0</v>
      </c>
      <c r="AK753" s="90">
        <f t="shared" si="795"/>
        <v>0</v>
      </c>
      <c r="AL753" s="90">
        <f t="shared" si="796"/>
        <v>0</v>
      </c>
      <c r="AN753" s="90">
        <v>15</v>
      </c>
      <c r="AO753" s="90">
        <f t="shared" si="797"/>
        <v>0</v>
      </c>
      <c r="AP753" s="90">
        <f t="shared" si="798"/>
        <v>55</v>
      </c>
      <c r="AQ753" s="91" t="s">
        <v>85</v>
      </c>
      <c r="AV753" s="90">
        <f t="shared" si="799"/>
        <v>0</v>
      </c>
      <c r="AW753" s="90">
        <f t="shared" si="800"/>
        <v>0</v>
      </c>
      <c r="AX753" s="90">
        <f t="shared" si="801"/>
        <v>0</v>
      </c>
      <c r="AY753" s="91" t="s">
        <v>642</v>
      </c>
      <c r="AZ753" s="91" t="s">
        <v>1644</v>
      </c>
      <c r="BA753" s="154" t="s">
        <v>1649</v>
      </c>
      <c r="BC753" s="90">
        <f t="shared" si="802"/>
        <v>0</v>
      </c>
      <c r="BD753" s="90">
        <f t="shared" si="803"/>
        <v>55.00000000000001</v>
      </c>
      <c r="BE753" s="90">
        <v>0</v>
      </c>
      <c r="BF753" s="90">
        <f t="shared" si="804"/>
        <v>0</v>
      </c>
      <c r="BH753" s="90">
        <f t="shared" si="805"/>
        <v>0</v>
      </c>
      <c r="BI753" s="90">
        <f t="shared" si="806"/>
        <v>0</v>
      </c>
      <c r="BJ753" s="90">
        <f t="shared" si="807"/>
        <v>0</v>
      </c>
    </row>
    <row r="754" spans="1:62" ht="12.75" hidden="1">
      <c r="A754" s="88" t="s">
        <v>1981</v>
      </c>
      <c r="B754" s="88" t="s">
        <v>61</v>
      </c>
      <c r="C754" s="88" t="s">
        <v>994</v>
      </c>
      <c r="D754" s="88" t="s">
        <v>1288</v>
      </c>
      <c r="E754" s="88" t="s">
        <v>606</v>
      </c>
      <c r="F754" s="90"/>
      <c r="G754" s="90">
        <v>1500</v>
      </c>
      <c r="H754" s="90">
        <f t="shared" si="782"/>
        <v>0</v>
      </c>
      <c r="I754" s="90">
        <f t="shared" si="783"/>
        <v>0</v>
      </c>
      <c r="J754" s="90">
        <f t="shared" si="784"/>
        <v>0</v>
      </c>
      <c r="K754" s="90">
        <v>0</v>
      </c>
      <c r="L754" s="90">
        <f t="shared" si="785"/>
        <v>0</v>
      </c>
      <c r="M754" s="91" t="s">
        <v>622</v>
      </c>
      <c r="O754" s="90"/>
      <c r="P754" s="90"/>
      <c r="Z754" s="90">
        <f t="shared" si="786"/>
        <v>0</v>
      </c>
      <c r="AB754" s="90">
        <f t="shared" si="787"/>
        <v>0</v>
      </c>
      <c r="AC754" s="90">
        <f t="shared" si="788"/>
        <v>0</v>
      </c>
      <c r="AD754" s="90">
        <f t="shared" si="789"/>
        <v>0</v>
      </c>
      <c r="AE754" s="90">
        <f t="shared" si="790"/>
        <v>0</v>
      </c>
      <c r="AF754" s="90">
        <f t="shared" si="791"/>
        <v>0</v>
      </c>
      <c r="AG754" s="90">
        <f t="shared" si="792"/>
        <v>0</v>
      </c>
      <c r="AH754" s="90">
        <f t="shared" si="793"/>
        <v>0</v>
      </c>
      <c r="AI754" s="154" t="s">
        <v>61</v>
      </c>
      <c r="AJ754" s="90">
        <f t="shared" si="794"/>
        <v>0</v>
      </c>
      <c r="AK754" s="90">
        <f t="shared" si="795"/>
        <v>0</v>
      </c>
      <c r="AL754" s="90">
        <f t="shared" si="796"/>
        <v>0</v>
      </c>
      <c r="AN754" s="90">
        <v>15</v>
      </c>
      <c r="AO754" s="90">
        <f t="shared" si="797"/>
        <v>0</v>
      </c>
      <c r="AP754" s="90">
        <f t="shared" si="798"/>
        <v>1500</v>
      </c>
      <c r="AQ754" s="91" t="s">
        <v>85</v>
      </c>
      <c r="AV754" s="90">
        <f t="shared" si="799"/>
        <v>0</v>
      </c>
      <c r="AW754" s="90">
        <f t="shared" si="800"/>
        <v>0</v>
      </c>
      <c r="AX754" s="90">
        <f t="shared" si="801"/>
        <v>0</v>
      </c>
      <c r="AY754" s="91" t="s">
        <v>642</v>
      </c>
      <c r="AZ754" s="91" t="s">
        <v>1644</v>
      </c>
      <c r="BA754" s="154" t="s">
        <v>1649</v>
      </c>
      <c r="BC754" s="90">
        <f t="shared" si="802"/>
        <v>0</v>
      </c>
      <c r="BD754" s="90">
        <f t="shared" si="803"/>
        <v>1500</v>
      </c>
      <c r="BE754" s="90">
        <v>0</v>
      </c>
      <c r="BF754" s="90">
        <f t="shared" si="804"/>
        <v>0</v>
      </c>
      <c r="BH754" s="90">
        <f t="shared" si="805"/>
        <v>0</v>
      </c>
      <c r="BI754" s="90">
        <f t="shared" si="806"/>
        <v>0</v>
      </c>
      <c r="BJ754" s="90">
        <f t="shared" si="807"/>
        <v>0</v>
      </c>
    </row>
    <row r="755" spans="1:62" ht="12.75" hidden="1">
      <c r="A755" s="88" t="s">
        <v>1982</v>
      </c>
      <c r="B755" s="88" t="s">
        <v>61</v>
      </c>
      <c r="C755" s="88" t="s">
        <v>999</v>
      </c>
      <c r="D755" s="88" t="s">
        <v>1291</v>
      </c>
      <c r="E755" s="88" t="s">
        <v>609</v>
      </c>
      <c r="F755" s="90"/>
      <c r="G755" s="90">
        <v>200</v>
      </c>
      <c r="H755" s="90">
        <f t="shared" si="782"/>
        <v>0</v>
      </c>
      <c r="I755" s="90">
        <f t="shared" si="783"/>
        <v>0</v>
      </c>
      <c r="J755" s="90">
        <f t="shared" si="784"/>
        <v>0</v>
      </c>
      <c r="K755" s="90">
        <v>0</v>
      </c>
      <c r="L755" s="90">
        <f t="shared" si="785"/>
        <v>0</v>
      </c>
      <c r="M755" s="91" t="s">
        <v>622</v>
      </c>
      <c r="O755" s="90"/>
      <c r="P755" s="90"/>
      <c r="Z755" s="90">
        <f t="shared" si="786"/>
        <v>0</v>
      </c>
      <c r="AB755" s="90">
        <f t="shared" si="787"/>
        <v>0</v>
      </c>
      <c r="AC755" s="90">
        <f t="shared" si="788"/>
        <v>0</v>
      </c>
      <c r="AD755" s="90">
        <f t="shared" si="789"/>
        <v>0</v>
      </c>
      <c r="AE755" s="90">
        <f t="shared" si="790"/>
        <v>0</v>
      </c>
      <c r="AF755" s="90">
        <f t="shared" si="791"/>
        <v>0</v>
      </c>
      <c r="AG755" s="90">
        <f t="shared" si="792"/>
        <v>0</v>
      </c>
      <c r="AH755" s="90">
        <f t="shared" si="793"/>
        <v>0</v>
      </c>
      <c r="AI755" s="154" t="s">
        <v>61</v>
      </c>
      <c r="AJ755" s="90">
        <f t="shared" si="794"/>
        <v>0</v>
      </c>
      <c r="AK755" s="90">
        <f t="shared" si="795"/>
        <v>0</v>
      </c>
      <c r="AL755" s="90">
        <f t="shared" si="796"/>
        <v>0</v>
      </c>
      <c r="AN755" s="90">
        <v>15</v>
      </c>
      <c r="AO755" s="90">
        <f t="shared" si="797"/>
        <v>0</v>
      </c>
      <c r="AP755" s="90">
        <f t="shared" si="798"/>
        <v>200</v>
      </c>
      <c r="AQ755" s="91" t="s">
        <v>85</v>
      </c>
      <c r="AV755" s="90">
        <f t="shared" si="799"/>
        <v>0</v>
      </c>
      <c r="AW755" s="90">
        <f t="shared" si="800"/>
        <v>0</v>
      </c>
      <c r="AX755" s="90">
        <f t="shared" si="801"/>
        <v>0</v>
      </c>
      <c r="AY755" s="91" t="s">
        <v>642</v>
      </c>
      <c r="AZ755" s="91" t="s">
        <v>1644</v>
      </c>
      <c r="BA755" s="154" t="s">
        <v>1649</v>
      </c>
      <c r="BC755" s="90">
        <f t="shared" si="802"/>
        <v>0</v>
      </c>
      <c r="BD755" s="90">
        <f t="shared" si="803"/>
        <v>200</v>
      </c>
      <c r="BE755" s="90">
        <v>0</v>
      </c>
      <c r="BF755" s="90">
        <f t="shared" si="804"/>
        <v>0</v>
      </c>
      <c r="BH755" s="90">
        <f t="shared" si="805"/>
        <v>0</v>
      </c>
      <c r="BI755" s="90">
        <f t="shared" si="806"/>
        <v>0</v>
      </c>
      <c r="BJ755" s="90">
        <f t="shared" si="807"/>
        <v>0</v>
      </c>
    </row>
    <row r="756" spans="1:62" ht="12.75" hidden="1">
      <c r="A756" s="88" t="s">
        <v>1983</v>
      </c>
      <c r="B756" s="88" t="s">
        <v>61</v>
      </c>
      <c r="C756" s="88" t="s">
        <v>1000</v>
      </c>
      <c r="D756" s="88" t="s">
        <v>1292</v>
      </c>
      <c r="E756" s="88" t="s">
        <v>606</v>
      </c>
      <c r="F756" s="90"/>
      <c r="G756" s="90">
        <v>750</v>
      </c>
      <c r="H756" s="90">
        <f t="shared" si="782"/>
        <v>0</v>
      </c>
      <c r="I756" s="90">
        <f t="shared" si="783"/>
        <v>0</v>
      </c>
      <c r="J756" s="90">
        <f t="shared" si="784"/>
        <v>0</v>
      </c>
      <c r="K756" s="90">
        <v>0</v>
      </c>
      <c r="L756" s="90">
        <f t="shared" si="785"/>
        <v>0</v>
      </c>
      <c r="M756" s="91" t="s">
        <v>622</v>
      </c>
      <c r="O756" s="90"/>
      <c r="P756" s="90"/>
      <c r="Z756" s="90">
        <f t="shared" si="786"/>
        <v>0</v>
      </c>
      <c r="AB756" s="90">
        <f t="shared" si="787"/>
        <v>0</v>
      </c>
      <c r="AC756" s="90">
        <f t="shared" si="788"/>
        <v>0</v>
      </c>
      <c r="AD756" s="90">
        <f t="shared" si="789"/>
        <v>0</v>
      </c>
      <c r="AE756" s="90">
        <f t="shared" si="790"/>
        <v>0</v>
      </c>
      <c r="AF756" s="90">
        <f t="shared" si="791"/>
        <v>0</v>
      </c>
      <c r="AG756" s="90">
        <f t="shared" si="792"/>
        <v>0</v>
      </c>
      <c r="AH756" s="90">
        <f t="shared" si="793"/>
        <v>0</v>
      </c>
      <c r="AI756" s="154" t="s">
        <v>61</v>
      </c>
      <c r="AJ756" s="90">
        <f t="shared" si="794"/>
        <v>0</v>
      </c>
      <c r="AK756" s="90">
        <f t="shared" si="795"/>
        <v>0</v>
      </c>
      <c r="AL756" s="90">
        <f t="shared" si="796"/>
        <v>0</v>
      </c>
      <c r="AN756" s="90">
        <v>15</v>
      </c>
      <c r="AO756" s="90">
        <f t="shared" si="797"/>
        <v>0</v>
      </c>
      <c r="AP756" s="90">
        <f t="shared" si="798"/>
        <v>750</v>
      </c>
      <c r="AQ756" s="91" t="s">
        <v>85</v>
      </c>
      <c r="AV756" s="90">
        <f t="shared" si="799"/>
        <v>0</v>
      </c>
      <c r="AW756" s="90">
        <f t="shared" si="800"/>
        <v>0</v>
      </c>
      <c r="AX756" s="90">
        <f t="shared" si="801"/>
        <v>0</v>
      </c>
      <c r="AY756" s="91" t="s">
        <v>642</v>
      </c>
      <c r="AZ756" s="91" t="s">
        <v>1644</v>
      </c>
      <c r="BA756" s="154" t="s">
        <v>1649</v>
      </c>
      <c r="BC756" s="90">
        <f t="shared" si="802"/>
        <v>0</v>
      </c>
      <c r="BD756" s="90">
        <f t="shared" si="803"/>
        <v>750</v>
      </c>
      <c r="BE756" s="90">
        <v>0</v>
      </c>
      <c r="BF756" s="90">
        <f t="shared" si="804"/>
        <v>0</v>
      </c>
      <c r="BH756" s="90">
        <f t="shared" si="805"/>
        <v>0</v>
      </c>
      <c r="BI756" s="90">
        <f t="shared" si="806"/>
        <v>0</v>
      </c>
      <c r="BJ756" s="90">
        <f t="shared" si="807"/>
        <v>0</v>
      </c>
    </row>
    <row r="757" spans="1:62" ht="12.75" hidden="1">
      <c r="A757" s="88" t="s">
        <v>1984</v>
      </c>
      <c r="B757" s="88" t="s">
        <v>61</v>
      </c>
      <c r="C757" s="88" t="s">
        <v>1001</v>
      </c>
      <c r="D757" s="88" t="s">
        <v>1246</v>
      </c>
      <c r="E757" s="88" t="s">
        <v>606</v>
      </c>
      <c r="F757" s="90"/>
      <c r="G757" s="90">
        <v>355</v>
      </c>
      <c r="H757" s="90">
        <f t="shared" si="782"/>
        <v>0</v>
      </c>
      <c r="I757" s="90">
        <f t="shared" si="783"/>
        <v>0</v>
      </c>
      <c r="J757" s="90">
        <f t="shared" si="784"/>
        <v>0</v>
      </c>
      <c r="K757" s="90">
        <v>0</v>
      </c>
      <c r="L757" s="90">
        <f t="shared" si="785"/>
        <v>0</v>
      </c>
      <c r="M757" s="91" t="s">
        <v>622</v>
      </c>
      <c r="O757" s="90"/>
      <c r="P757" s="90"/>
      <c r="Z757" s="90">
        <f t="shared" si="786"/>
        <v>0</v>
      </c>
      <c r="AB757" s="90">
        <f t="shared" si="787"/>
        <v>0</v>
      </c>
      <c r="AC757" s="90">
        <f t="shared" si="788"/>
        <v>0</v>
      </c>
      <c r="AD757" s="90">
        <f t="shared" si="789"/>
        <v>0</v>
      </c>
      <c r="AE757" s="90">
        <f t="shared" si="790"/>
        <v>0</v>
      </c>
      <c r="AF757" s="90">
        <f t="shared" si="791"/>
        <v>0</v>
      </c>
      <c r="AG757" s="90">
        <f t="shared" si="792"/>
        <v>0</v>
      </c>
      <c r="AH757" s="90">
        <f t="shared" si="793"/>
        <v>0</v>
      </c>
      <c r="AI757" s="154" t="s">
        <v>61</v>
      </c>
      <c r="AJ757" s="90">
        <f t="shared" si="794"/>
        <v>0</v>
      </c>
      <c r="AK757" s="90">
        <f t="shared" si="795"/>
        <v>0</v>
      </c>
      <c r="AL757" s="90">
        <f t="shared" si="796"/>
        <v>0</v>
      </c>
      <c r="AN757" s="90">
        <v>15</v>
      </c>
      <c r="AO757" s="90">
        <f t="shared" si="797"/>
        <v>0</v>
      </c>
      <c r="AP757" s="90">
        <f t="shared" si="798"/>
        <v>355</v>
      </c>
      <c r="AQ757" s="91" t="s">
        <v>85</v>
      </c>
      <c r="AV757" s="90">
        <f t="shared" si="799"/>
        <v>0</v>
      </c>
      <c r="AW757" s="90">
        <f t="shared" si="800"/>
        <v>0</v>
      </c>
      <c r="AX757" s="90">
        <f t="shared" si="801"/>
        <v>0</v>
      </c>
      <c r="AY757" s="91" t="s">
        <v>642</v>
      </c>
      <c r="AZ757" s="91" t="s">
        <v>1644</v>
      </c>
      <c r="BA757" s="154" t="s">
        <v>1649</v>
      </c>
      <c r="BC757" s="90">
        <f t="shared" si="802"/>
        <v>0</v>
      </c>
      <c r="BD757" s="90">
        <f t="shared" si="803"/>
        <v>355</v>
      </c>
      <c r="BE757" s="90">
        <v>0</v>
      </c>
      <c r="BF757" s="90">
        <f t="shared" si="804"/>
        <v>0</v>
      </c>
      <c r="BH757" s="90">
        <f t="shared" si="805"/>
        <v>0</v>
      </c>
      <c r="BI757" s="90">
        <f t="shared" si="806"/>
        <v>0</v>
      </c>
      <c r="BJ757" s="90">
        <f t="shared" si="807"/>
        <v>0</v>
      </c>
    </row>
    <row r="758" spans="1:62" ht="12.75" hidden="1">
      <c r="A758" s="88" t="s">
        <v>1985</v>
      </c>
      <c r="B758" s="88" t="s">
        <v>61</v>
      </c>
      <c r="C758" s="88" t="s">
        <v>1002</v>
      </c>
      <c r="D758" s="88" t="s">
        <v>497</v>
      </c>
      <c r="E758" s="88" t="s">
        <v>611</v>
      </c>
      <c r="F758" s="90"/>
      <c r="G758" s="90">
        <v>250</v>
      </c>
      <c r="H758" s="90">
        <f t="shared" si="782"/>
        <v>0</v>
      </c>
      <c r="I758" s="90">
        <f t="shared" si="783"/>
        <v>0</v>
      </c>
      <c r="J758" s="90">
        <f t="shared" si="784"/>
        <v>0</v>
      </c>
      <c r="K758" s="90">
        <v>0</v>
      </c>
      <c r="L758" s="90">
        <f t="shared" si="785"/>
        <v>0</v>
      </c>
      <c r="M758" s="91" t="s">
        <v>622</v>
      </c>
      <c r="O758" s="90"/>
      <c r="P758" s="90"/>
      <c r="Z758" s="90">
        <f t="shared" si="786"/>
        <v>0</v>
      </c>
      <c r="AB758" s="90">
        <f t="shared" si="787"/>
        <v>0</v>
      </c>
      <c r="AC758" s="90">
        <f t="shared" si="788"/>
        <v>0</v>
      </c>
      <c r="AD758" s="90">
        <f t="shared" si="789"/>
        <v>0</v>
      </c>
      <c r="AE758" s="90">
        <f t="shared" si="790"/>
        <v>0</v>
      </c>
      <c r="AF758" s="90">
        <f t="shared" si="791"/>
        <v>0</v>
      </c>
      <c r="AG758" s="90">
        <f t="shared" si="792"/>
        <v>0</v>
      </c>
      <c r="AH758" s="90">
        <f t="shared" si="793"/>
        <v>0</v>
      </c>
      <c r="AI758" s="154" t="s">
        <v>61</v>
      </c>
      <c r="AJ758" s="90">
        <f t="shared" si="794"/>
        <v>0</v>
      </c>
      <c r="AK758" s="90">
        <f t="shared" si="795"/>
        <v>0</v>
      </c>
      <c r="AL758" s="90">
        <f t="shared" si="796"/>
        <v>0</v>
      </c>
      <c r="AN758" s="90">
        <v>15</v>
      </c>
      <c r="AO758" s="90">
        <f t="shared" si="797"/>
        <v>0</v>
      </c>
      <c r="AP758" s="90">
        <f t="shared" si="798"/>
        <v>250</v>
      </c>
      <c r="AQ758" s="91" t="s">
        <v>85</v>
      </c>
      <c r="AV758" s="90">
        <f t="shared" si="799"/>
        <v>0</v>
      </c>
      <c r="AW758" s="90">
        <f t="shared" si="800"/>
        <v>0</v>
      </c>
      <c r="AX758" s="90">
        <f t="shared" si="801"/>
        <v>0</v>
      </c>
      <c r="AY758" s="91" t="s">
        <v>642</v>
      </c>
      <c r="AZ758" s="91" t="s">
        <v>1644</v>
      </c>
      <c r="BA758" s="154" t="s">
        <v>1649</v>
      </c>
      <c r="BC758" s="90">
        <f t="shared" si="802"/>
        <v>0</v>
      </c>
      <c r="BD758" s="90">
        <f t="shared" si="803"/>
        <v>250</v>
      </c>
      <c r="BE758" s="90">
        <v>0</v>
      </c>
      <c r="BF758" s="90">
        <f t="shared" si="804"/>
        <v>0</v>
      </c>
      <c r="BH758" s="90">
        <f t="shared" si="805"/>
        <v>0</v>
      </c>
      <c r="BI758" s="90">
        <f t="shared" si="806"/>
        <v>0</v>
      </c>
      <c r="BJ758" s="90">
        <f t="shared" si="807"/>
        <v>0</v>
      </c>
    </row>
    <row r="759" spans="1:62" ht="12.75" hidden="1">
      <c r="A759" s="88" t="s">
        <v>1986</v>
      </c>
      <c r="B759" s="88" t="s">
        <v>61</v>
      </c>
      <c r="C759" s="88" t="s">
        <v>1566</v>
      </c>
      <c r="D759" s="88" t="s">
        <v>1294</v>
      </c>
      <c r="E759" s="88" t="s">
        <v>609</v>
      </c>
      <c r="F759" s="90"/>
      <c r="G759" s="90">
        <v>89</v>
      </c>
      <c r="H759" s="90">
        <f t="shared" si="782"/>
        <v>0</v>
      </c>
      <c r="I759" s="90">
        <f t="shared" si="783"/>
        <v>0</v>
      </c>
      <c r="J759" s="90">
        <f t="shared" si="784"/>
        <v>0</v>
      </c>
      <c r="K759" s="90">
        <v>0</v>
      </c>
      <c r="L759" s="90">
        <f t="shared" si="785"/>
        <v>0</v>
      </c>
      <c r="M759" s="91" t="s">
        <v>622</v>
      </c>
      <c r="O759" s="90"/>
      <c r="P759" s="90"/>
      <c r="Z759" s="90">
        <f t="shared" si="786"/>
        <v>0</v>
      </c>
      <c r="AB759" s="90">
        <f t="shared" si="787"/>
        <v>0</v>
      </c>
      <c r="AC759" s="90">
        <f t="shared" si="788"/>
        <v>0</v>
      </c>
      <c r="AD759" s="90">
        <f t="shared" si="789"/>
        <v>0</v>
      </c>
      <c r="AE759" s="90">
        <f t="shared" si="790"/>
        <v>0</v>
      </c>
      <c r="AF759" s="90">
        <f t="shared" si="791"/>
        <v>0</v>
      </c>
      <c r="AG759" s="90">
        <f t="shared" si="792"/>
        <v>0</v>
      </c>
      <c r="AH759" s="90">
        <f t="shared" si="793"/>
        <v>0</v>
      </c>
      <c r="AI759" s="154" t="s">
        <v>61</v>
      </c>
      <c r="AJ759" s="90">
        <f t="shared" si="794"/>
        <v>0</v>
      </c>
      <c r="AK759" s="90">
        <f t="shared" si="795"/>
        <v>0</v>
      </c>
      <c r="AL759" s="90">
        <f t="shared" si="796"/>
        <v>0</v>
      </c>
      <c r="AN759" s="90">
        <v>15</v>
      </c>
      <c r="AO759" s="90">
        <f t="shared" si="797"/>
        <v>0</v>
      </c>
      <c r="AP759" s="90">
        <f t="shared" si="798"/>
        <v>89</v>
      </c>
      <c r="AQ759" s="91" t="s">
        <v>85</v>
      </c>
      <c r="AV759" s="90">
        <f t="shared" si="799"/>
        <v>0</v>
      </c>
      <c r="AW759" s="90">
        <f t="shared" si="800"/>
        <v>0</v>
      </c>
      <c r="AX759" s="90">
        <f t="shared" si="801"/>
        <v>0</v>
      </c>
      <c r="AY759" s="91" t="s">
        <v>642</v>
      </c>
      <c r="AZ759" s="91" t="s">
        <v>1644</v>
      </c>
      <c r="BA759" s="154" t="s">
        <v>1649</v>
      </c>
      <c r="BC759" s="90">
        <f t="shared" si="802"/>
        <v>0</v>
      </c>
      <c r="BD759" s="90">
        <f t="shared" si="803"/>
        <v>89</v>
      </c>
      <c r="BE759" s="90">
        <v>0</v>
      </c>
      <c r="BF759" s="90">
        <f t="shared" si="804"/>
        <v>0</v>
      </c>
      <c r="BH759" s="90">
        <f t="shared" si="805"/>
        <v>0</v>
      </c>
      <c r="BI759" s="90">
        <f t="shared" si="806"/>
        <v>0</v>
      </c>
      <c r="BJ759" s="90">
        <f t="shared" si="807"/>
        <v>0</v>
      </c>
    </row>
    <row r="760" spans="1:62" ht="12.75" hidden="1">
      <c r="A760" s="88" t="s">
        <v>1987</v>
      </c>
      <c r="B760" s="88" t="s">
        <v>61</v>
      </c>
      <c r="C760" s="88" t="s">
        <v>1567</v>
      </c>
      <c r="D760" s="88" t="s">
        <v>487</v>
      </c>
      <c r="E760" s="88" t="s">
        <v>609</v>
      </c>
      <c r="F760" s="90"/>
      <c r="G760" s="90">
        <v>40</v>
      </c>
      <c r="H760" s="90">
        <f t="shared" si="782"/>
        <v>0</v>
      </c>
      <c r="I760" s="90">
        <f t="shared" si="783"/>
        <v>0</v>
      </c>
      <c r="J760" s="90">
        <f t="shared" si="784"/>
        <v>0</v>
      </c>
      <c r="K760" s="90">
        <v>0</v>
      </c>
      <c r="L760" s="90">
        <f t="shared" si="785"/>
        <v>0</v>
      </c>
      <c r="M760" s="91" t="s">
        <v>622</v>
      </c>
      <c r="O760" s="90"/>
      <c r="P760" s="90"/>
      <c r="Z760" s="90">
        <f t="shared" si="786"/>
        <v>0</v>
      </c>
      <c r="AB760" s="90">
        <f t="shared" si="787"/>
        <v>0</v>
      </c>
      <c r="AC760" s="90">
        <f t="shared" si="788"/>
        <v>0</v>
      </c>
      <c r="AD760" s="90">
        <f t="shared" si="789"/>
        <v>0</v>
      </c>
      <c r="AE760" s="90">
        <f t="shared" si="790"/>
        <v>0</v>
      </c>
      <c r="AF760" s="90">
        <f t="shared" si="791"/>
        <v>0</v>
      </c>
      <c r="AG760" s="90">
        <f t="shared" si="792"/>
        <v>0</v>
      </c>
      <c r="AH760" s="90">
        <f t="shared" si="793"/>
        <v>0</v>
      </c>
      <c r="AI760" s="154" t="s">
        <v>61</v>
      </c>
      <c r="AJ760" s="90">
        <f t="shared" si="794"/>
        <v>0</v>
      </c>
      <c r="AK760" s="90">
        <f t="shared" si="795"/>
        <v>0</v>
      </c>
      <c r="AL760" s="90">
        <f t="shared" si="796"/>
        <v>0</v>
      </c>
      <c r="AN760" s="90">
        <v>15</v>
      </c>
      <c r="AO760" s="90">
        <f t="shared" si="797"/>
        <v>0</v>
      </c>
      <c r="AP760" s="90">
        <f t="shared" si="798"/>
        <v>40</v>
      </c>
      <c r="AQ760" s="91" t="s">
        <v>85</v>
      </c>
      <c r="AV760" s="90">
        <f t="shared" si="799"/>
        <v>0</v>
      </c>
      <c r="AW760" s="90">
        <f t="shared" si="800"/>
        <v>0</v>
      </c>
      <c r="AX760" s="90">
        <f t="shared" si="801"/>
        <v>0</v>
      </c>
      <c r="AY760" s="91" t="s">
        <v>642</v>
      </c>
      <c r="AZ760" s="91" t="s">
        <v>1644</v>
      </c>
      <c r="BA760" s="154" t="s">
        <v>1649</v>
      </c>
      <c r="BC760" s="90">
        <f t="shared" si="802"/>
        <v>0</v>
      </c>
      <c r="BD760" s="90">
        <f t="shared" si="803"/>
        <v>40</v>
      </c>
      <c r="BE760" s="90">
        <v>0</v>
      </c>
      <c r="BF760" s="90">
        <f t="shared" si="804"/>
        <v>0</v>
      </c>
      <c r="BH760" s="90">
        <f t="shared" si="805"/>
        <v>0</v>
      </c>
      <c r="BI760" s="90">
        <f t="shared" si="806"/>
        <v>0</v>
      </c>
      <c r="BJ760" s="90">
        <f t="shared" si="807"/>
        <v>0</v>
      </c>
    </row>
    <row r="761" spans="1:62" ht="12.75" hidden="1">
      <c r="A761" s="88" t="s">
        <v>1988</v>
      </c>
      <c r="B761" s="88" t="s">
        <v>61</v>
      </c>
      <c r="C761" s="88" t="s">
        <v>1568</v>
      </c>
      <c r="D761" s="88" t="s">
        <v>488</v>
      </c>
      <c r="E761" s="88" t="s">
        <v>609</v>
      </c>
      <c r="F761" s="90"/>
      <c r="G761" s="90">
        <v>21</v>
      </c>
      <c r="H761" s="90">
        <f t="shared" si="782"/>
        <v>0</v>
      </c>
      <c r="I761" s="90">
        <f t="shared" si="783"/>
        <v>0</v>
      </c>
      <c r="J761" s="90">
        <f t="shared" si="784"/>
        <v>0</v>
      </c>
      <c r="K761" s="90">
        <v>0</v>
      </c>
      <c r="L761" s="90">
        <f t="shared" si="785"/>
        <v>0</v>
      </c>
      <c r="M761" s="91" t="s">
        <v>622</v>
      </c>
      <c r="O761" s="90"/>
      <c r="P761" s="90"/>
      <c r="Z761" s="90">
        <f t="shared" si="786"/>
        <v>0</v>
      </c>
      <c r="AB761" s="90">
        <f t="shared" si="787"/>
        <v>0</v>
      </c>
      <c r="AC761" s="90">
        <f t="shared" si="788"/>
        <v>0</v>
      </c>
      <c r="AD761" s="90">
        <f t="shared" si="789"/>
        <v>0</v>
      </c>
      <c r="AE761" s="90">
        <f t="shared" si="790"/>
        <v>0</v>
      </c>
      <c r="AF761" s="90">
        <f t="shared" si="791"/>
        <v>0</v>
      </c>
      <c r="AG761" s="90">
        <f t="shared" si="792"/>
        <v>0</v>
      </c>
      <c r="AH761" s="90">
        <f t="shared" si="793"/>
        <v>0</v>
      </c>
      <c r="AI761" s="154" t="s">
        <v>61</v>
      </c>
      <c r="AJ761" s="90">
        <f t="shared" si="794"/>
        <v>0</v>
      </c>
      <c r="AK761" s="90">
        <f t="shared" si="795"/>
        <v>0</v>
      </c>
      <c r="AL761" s="90">
        <f t="shared" si="796"/>
        <v>0</v>
      </c>
      <c r="AN761" s="90">
        <v>15</v>
      </c>
      <c r="AO761" s="90">
        <f t="shared" si="797"/>
        <v>0</v>
      </c>
      <c r="AP761" s="90">
        <f t="shared" si="798"/>
        <v>21</v>
      </c>
      <c r="AQ761" s="91" t="s">
        <v>85</v>
      </c>
      <c r="AV761" s="90">
        <f t="shared" si="799"/>
        <v>0</v>
      </c>
      <c r="AW761" s="90">
        <f t="shared" si="800"/>
        <v>0</v>
      </c>
      <c r="AX761" s="90">
        <f t="shared" si="801"/>
        <v>0</v>
      </c>
      <c r="AY761" s="91" t="s">
        <v>642</v>
      </c>
      <c r="AZ761" s="91" t="s">
        <v>1644</v>
      </c>
      <c r="BA761" s="154" t="s">
        <v>1649</v>
      </c>
      <c r="BC761" s="90">
        <f t="shared" si="802"/>
        <v>0</v>
      </c>
      <c r="BD761" s="90">
        <f t="shared" si="803"/>
        <v>21</v>
      </c>
      <c r="BE761" s="90">
        <v>0</v>
      </c>
      <c r="BF761" s="90">
        <f t="shared" si="804"/>
        <v>0</v>
      </c>
      <c r="BH761" s="90">
        <f t="shared" si="805"/>
        <v>0</v>
      </c>
      <c r="BI761" s="90">
        <f t="shared" si="806"/>
        <v>0</v>
      </c>
      <c r="BJ761" s="90">
        <f t="shared" si="807"/>
        <v>0</v>
      </c>
    </row>
    <row r="762" spans="1:62" ht="12.75" hidden="1">
      <c r="A762" s="88" t="s">
        <v>1989</v>
      </c>
      <c r="B762" s="88" t="s">
        <v>61</v>
      </c>
      <c r="C762" s="88" t="s">
        <v>1569</v>
      </c>
      <c r="D762" s="88" t="s">
        <v>1295</v>
      </c>
      <c r="E762" s="88" t="s">
        <v>606</v>
      </c>
      <c r="F762" s="90"/>
      <c r="G762" s="90">
        <v>75</v>
      </c>
      <c r="H762" s="90">
        <f t="shared" si="782"/>
        <v>0</v>
      </c>
      <c r="I762" s="90">
        <f t="shared" si="783"/>
        <v>0</v>
      </c>
      <c r="J762" s="90">
        <f t="shared" si="784"/>
        <v>0</v>
      </c>
      <c r="K762" s="90">
        <v>0</v>
      </c>
      <c r="L762" s="90">
        <f t="shared" si="785"/>
        <v>0</v>
      </c>
      <c r="M762" s="91" t="s">
        <v>622</v>
      </c>
      <c r="O762" s="90"/>
      <c r="P762" s="90"/>
      <c r="Z762" s="90">
        <f t="shared" si="786"/>
        <v>0</v>
      </c>
      <c r="AB762" s="90">
        <f t="shared" si="787"/>
        <v>0</v>
      </c>
      <c r="AC762" s="90">
        <f t="shared" si="788"/>
        <v>0</v>
      </c>
      <c r="AD762" s="90">
        <f t="shared" si="789"/>
        <v>0</v>
      </c>
      <c r="AE762" s="90">
        <f t="shared" si="790"/>
        <v>0</v>
      </c>
      <c r="AF762" s="90">
        <f t="shared" si="791"/>
        <v>0</v>
      </c>
      <c r="AG762" s="90">
        <f t="shared" si="792"/>
        <v>0</v>
      </c>
      <c r="AH762" s="90">
        <f t="shared" si="793"/>
        <v>0</v>
      </c>
      <c r="AI762" s="154" t="s">
        <v>61</v>
      </c>
      <c r="AJ762" s="90">
        <f t="shared" si="794"/>
        <v>0</v>
      </c>
      <c r="AK762" s="90">
        <f t="shared" si="795"/>
        <v>0</v>
      </c>
      <c r="AL762" s="90">
        <f t="shared" si="796"/>
        <v>0</v>
      </c>
      <c r="AN762" s="90">
        <v>15</v>
      </c>
      <c r="AO762" s="90">
        <f t="shared" si="797"/>
        <v>0</v>
      </c>
      <c r="AP762" s="90">
        <f t="shared" si="798"/>
        <v>75</v>
      </c>
      <c r="AQ762" s="91" t="s">
        <v>85</v>
      </c>
      <c r="AV762" s="90">
        <f t="shared" si="799"/>
        <v>0</v>
      </c>
      <c r="AW762" s="90">
        <f t="shared" si="800"/>
        <v>0</v>
      </c>
      <c r="AX762" s="90">
        <f t="shared" si="801"/>
        <v>0</v>
      </c>
      <c r="AY762" s="91" t="s">
        <v>642</v>
      </c>
      <c r="AZ762" s="91" t="s">
        <v>1644</v>
      </c>
      <c r="BA762" s="154" t="s">
        <v>1649</v>
      </c>
      <c r="BC762" s="90">
        <f t="shared" si="802"/>
        <v>0</v>
      </c>
      <c r="BD762" s="90">
        <f t="shared" si="803"/>
        <v>75</v>
      </c>
      <c r="BE762" s="90">
        <v>0</v>
      </c>
      <c r="BF762" s="90">
        <f t="shared" si="804"/>
        <v>0</v>
      </c>
      <c r="BH762" s="90">
        <f t="shared" si="805"/>
        <v>0</v>
      </c>
      <c r="BI762" s="90">
        <f t="shared" si="806"/>
        <v>0</v>
      </c>
      <c r="BJ762" s="90">
        <f t="shared" si="807"/>
        <v>0</v>
      </c>
    </row>
    <row r="763" spans="1:62" ht="12.75" hidden="1">
      <c r="A763" s="88" t="s">
        <v>1990</v>
      </c>
      <c r="B763" s="88" t="s">
        <v>61</v>
      </c>
      <c r="C763" s="88" t="s">
        <v>1570</v>
      </c>
      <c r="D763" s="88" t="s">
        <v>1296</v>
      </c>
      <c r="E763" s="88" t="s">
        <v>606</v>
      </c>
      <c r="F763" s="90"/>
      <c r="G763" s="90">
        <v>1500</v>
      </c>
      <c r="H763" s="90">
        <f t="shared" si="782"/>
        <v>0</v>
      </c>
      <c r="I763" s="90">
        <f t="shared" si="783"/>
        <v>0</v>
      </c>
      <c r="J763" s="90">
        <f t="shared" si="784"/>
        <v>0</v>
      </c>
      <c r="K763" s="90">
        <v>0</v>
      </c>
      <c r="L763" s="90">
        <f t="shared" si="785"/>
        <v>0</v>
      </c>
      <c r="M763" s="91" t="s">
        <v>622</v>
      </c>
      <c r="O763" s="90"/>
      <c r="P763" s="90"/>
      <c r="Z763" s="90">
        <f t="shared" si="786"/>
        <v>0</v>
      </c>
      <c r="AB763" s="90">
        <f t="shared" si="787"/>
        <v>0</v>
      </c>
      <c r="AC763" s="90">
        <f t="shared" si="788"/>
        <v>0</v>
      </c>
      <c r="AD763" s="90">
        <f t="shared" si="789"/>
        <v>0</v>
      </c>
      <c r="AE763" s="90">
        <f t="shared" si="790"/>
        <v>0</v>
      </c>
      <c r="AF763" s="90">
        <f t="shared" si="791"/>
        <v>0</v>
      </c>
      <c r="AG763" s="90">
        <f t="shared" si="792"/>
        <v>0</v>
      </c>
      <c r="AH763" s="90">
        <f t="shared" si="793"/>
        <v>0</v>
      </c>
      <c r="AI763" s="154" t="s">
        <v>61</v>
      </c>
      <c r="AJ763" s="90">
        <f t="shared" si="794"/>
        <v>0</v>
      </c>
      <c r="AK763" s="90">
        <f t="shared" si="795"/>
        <v>0</v>
      </c>
      <c r="AL763" s="90">
        <f t="shared" si="796"/>
        <v>0</v>
      </c>
      <c r="AN763" s="90">
        <v>15</v>
      </c>
      <c r="AO763" s="90">
        <f t="shared" si="797"/>
        <v>0</v>
      </c>
      <c r="AP763" s="90">
        <f t="shared" si="798"/>
        <v>1500</v>
      </c>
      <c r="AQ763" s="91" t="s">
        <v>85</v>
      </c>
      <c r="AV763" s="90">
        <f t="shared" si="799"/>
        <v>0</v>
      </c>
      <c r="AW763" s="90">
        <f t="shared" si="800"/>
        <v>0</v>
      </c>
      <c r="AX763" s="90">
        <f t="shared" si="801"/>
        <v>0</v>
      </c>
      <c r="AY763" s="91" t="s">
        <v>642</v>
      </c>
      <c r="AZ763" s="91" t="s">
        <v>1644</v>
      </c>
      <c r="BA763" s="154" t="s">
        <v>1649</v>
      </c>
      <c r="BC763" s="90">
        <f t="shared" si="802"/>
        <v>0</v>
      </c>
      <c r="BD763" s="90">
        <f t="shared" si="803"/>
        <v>1500</v>
      </c>
      <c r="BE763" s="90">
        <v>0</v>
      </c>
      <c r="BF763" s="90">
        <f t="shared" si="804"/>
        <v>0</v>
      </c>
      <c r="BH763" s="90">
        <f t="shared" si="805"/>
        <v>0</v>
      </c>
      <c r="BI763" s="90">
        <f t="shared" si="806"/>
        <v>0</v>
      </c>
      <c r="BJ763" s="90">
        <f t="shared" si="807"/>
        <v>0</v>
      </c>
    </row>
    <row r="764" spans="1:62" ht="12.75" hidden="1">
      <c r="A764" s="88" t="s">
        <v>1991</v>
      </c>
      <c r="B764" s="88" t="s">
        <v>61</v>
      </c>
      <c r="C764" s="88" t="s">
        <v>1571</v>
      </c>
      <c r="D764" s="88" t="s">
        <v>501</v>
      </c>
      <c r="E764" s="88" t="s">
        <v>611</v>
      </c>
      <c r="F764" s="90"/>
      <c r="G764" s="90">
        <v>300</v>
      </c>
      <c r="H764" s="90">
        <f t="shared" si="782"/>
        <v>0</v>
      </c>
      <c r="I764" s="90">
        <f t="shared" si="783"/>
        <v>0</v>
      </c>
      <c r="J764" s="90">
        <f t="shared" si="784"/>
        <v>0</v>
      </c>
      <c r="K764" s="90">
        <v>0</v>
      </c>
      <c r="L764" s="90">
        <f t="shared" si="785"/>
        <v>0</v>
      </c>
      <c r="M764" s="91" t="s">
        <v>622</v>
      </c>
      <c r="O764" s="90"/>
      <c r="P764" s="90"/>
      <c r="Z764" s="90">
        <f t="shared" si="786"/>
        <v>0</v>
      </c>
      <c r="AB764" s="90">
        <f t="shared" si="787"/>
        <v>0</v>
      </c>
      <c r="AC764" s="90">
        <f t="shared" si="788"/>
        <v>0</v>
      </c>
      <c r="AD764" s="90">
        <f t="shared" si="789"/>
        <v>0</v>
      </c>
      <c r="AE764" s="90">
        <f t="shared" si="790"/>
        <v>0</v>
      </c>
      <c r="AF764" s="90">
        <f t="shared" si="791"/>
        <v>0</v>
      </c>
      <c r="AG764" s="90">
        <f t="shared" si="792"/>
        <v>0</v>
      </c>
      <c r="AH764" s="90">
        <f t="shared" si="793"/>
        <v>0</v>
      </c>
      <c r="AI764" s="154" t="s">
        <v>61</v>
      </c>
      <c r="AJ764" s="90">
        <f t="shared" si="794"/>
        <v>0</v>
      </c>
      <c r="AK764" s="90">
        <f t="shared" si="795"/>
        <v>0</v>
      </c>
      <c r="AL764" s="90">
        <f t="shared" si="796"/>
        <v>0</v>
      </c>
      <c r="AN764" s="90">
        <v>15</v>
      </c>
      <c r="AO764" s="90">
        <f t="shared" si="797"/>
        <v>0</v>
      </c>
      <c r="AP764" s="90">
        <f t="shared" si="798"/>
        <v>300</v>
      </c>
      <c r="AQ764" s="91" t="s">
        <v>85</v>
      </c>
      <c r="AV764" s="90">
        <f t="shared" si="799"/>
        <v>0</v>
      </c>
      <c r="AW764" s="90">
        <f t="shared" si="800"/>
        <v>0</v>
      </c>
      <c r="AX764" s="90">
        <f t="shared" si="801"/>
        <v>0</v>
      </c>
      <c r="AY764" s="91" t="s">
        <v>642</v>
      </c>
      <c r="AZ764" s="91" t="s">
        <v>1644</v>
      </c>
      <c r="BA764" s="154" t="s">
        <v>1649</v>
      </c>
      <c r="BC764" s="90">
        <f t="shared" si="802"/>
        <v>0</v>
      </c>
      <c r="BD764" s="90">
        <f t="shared" si="803"/>
        <v>300</v>
      </c>
      <c r="BE764" s="90">
        <v>0</v>
      </c>
      <c r="BF764" s="90">
        <f t="shared" si="804"/>
        <v>0</v>
      </c>
      <c r="BH764" s="90">
        <f t="shared" si="805"/>
        <v>0</v>
      </c>
      <c r="BI764" s="90">
        <f t="shared" si="806"/>
        <v>0</v>
      </c>
      <c r="BJ764" s="90">
        <f t="shared" si="807"/>
        <v>0</v>
      </c>
    </row>
    <row r="765" spans="1:62" ht="12.75" hidden="1">
      <c r="A765" s="88" t="s">
        <v>1992</v>
      </c>
      <c r="B765" s="88" t="s">
        <v>61</v>
      </c>
      <c r="C765" s="88" t="s">
        <v>1572</v>
      </c>
      <c r="D765" s="88" t="s">
        <v>489</v>
      </c>
      <c r="E765" s="88" t="s">
        <v>606</v>
      </c>
      <c r="F765" s="90"/>
      <c r="G765" s="90">
        <v>500</v>
      </c>
      <c r="H765" s="90">
        <f t="shared" si="782"/>
        <v>0</v>
      </c>
      <c r="I765" s="90">
        <f t="shared" si="783"/>
        <v>0</v>
      </c>
      <c r="J765" s="90">
        <f t="shared" si="784"/>
        <v>0</v>
      </c>
      <c r="K765" s="90">
        <v>0</v>
      </c>
      <c r="L765" s="90">
        <f t="shared" si="785"/>
        <v>0</v>
      </c>
      <c r="M765" s="91" t="s">
        <v>622</v>
      </c>
      <c r="O765" s="90"/>
      <c r="P765" s="90"/>
      <c r="Z765" s="90">
        <f t="shared" si="786"/>
        <v>0</v>
      </c>
      <c r="AB765" s="90">
        <f t="shared" si="787"/>
        <v>0</v>
      </c>
      <c r="AC765" s="90">
        <f t="shared" si="788"/>
        <v>0</v>
      </c>
      <c r="AD765" s="90">
        <f t="shared" si="789"/>
        <v>0</v>
      </c>
      <c r="AE765" s="90">
        <f t="shared" si="790"/>
        <v>0</v>
      </c>
      <c r="AF765" s="90">
        <f t="shared" si="791"/>
        <v>0</v>
      </c>
      <c r="AG765" s="90">
        <f t="shared" si="792"/>
        <v>0</v>
      </c>
      <c r="AH765" s="90">
        <f t="shared" si="793"/>
        <v>0</v>
      </c>
      <c r="AI765" s="154" t="s">
        <v>61</v>
      </c>
      <c r="AJ765" s="90">
        <f t="shared" si="794"/>
        <v>0</v>
      </c>
      <c r="AK765" s="90">
        <f t="shared" si="795"/>
        <v>0</v>
      </c>
      <c r="AL765" s="90">
        <f t="shared" si="796"/>
        <v>0</v>
      </c>
      <c r="AN765" s="90">
        <v>15</v>
      </c>
      <c r="AO765" s="90">
        <f t="shared" si="797"/>
        <v>0</v>
      </c>
      <c r="AP765" s="90">
        <f t="shared" si="798"/>
        <v>500</v>
      </c>
      <c r="AQ765" s="91" t="s">
        <v>85</v>
      </c>
      <c r="AV765" s="90">
        <f t="shared" si="799"/>
        <v>0</v>
      </c>
      <c r="AW765" s="90">
        <f t="shared" si="800"/>
        <v>0</v>
      </c>
      <c r="AX765" s="90">
        <f t="shared" si="801"/>
        <v>0</v>
      </c>
      <c r="AY765" s="91" t="s">
        <v>642</v>
      </c>
      <c r="AZ765" s="91" t="s">
        <v>1644</v>
      </c>
      <c r="BA765" s="154" t="s">
        <v>1649</v>
      </c>
      <c r="BC765" s="90">
        <f t="shared" si="802"/>
        <v>0</v>
      </c>
      <c r="BD765" s="90">
        <f t="shared" si="803"/>
        <v>500</v>
      </c>
      <c r="BE765" s="90">
        <v>0</v>
      </c>
      <c r="BF765" s="90">
        <f t="shared" si="804"/>
        <v>0</v>
      </c>
      <c r="BH765" s="90">
        <f t="shared" si="805"/>
        <v>0</v>
      </c>
      <c r="BI765" s="90">
        <f t="shared" si="806"/>
        <v>0</v>
      </c>
      <c r="BJ765" s="90">
        <f t="shared" si="807"/>
        <v>0</v>
      </c>
    </row>
    <row r="766" spans="1:62" ht="12.75" hidden="1">
      <c r="A766" s="88" t="s">
        <v>1993</v>
      </c>
      <c r="B766" s="88" t="s">
        <v>61</v>
      </c>
      <c r="C766" s="88" t="s">
        <v>1573</v>
      </c>
      <c r="D766" s="88" t="s">
        <v>490</v>
      </c>
      <c r="E766" s="88" t="s">
        <v>606</v>
      </c>
      <c r="F766" s="90"/>
      <c r="G766" s="90">
        <v>1000</v>
      </c>
      <c r="H766" s="90">
        <f t="shared" si="782"/>
        <v>0</v>
      </c>
      <c r="I766" s="90">
        <f t="shared" si="783"/>
        <v>0</v>
      </c>
      <c r="J766" s="90">
        <f t="shared" si="784"/>
        <v>0</v>
      </c>
      <c r="K766" s="90">
        <v>0</v>
      </c>
      <c r="L766" s="90">
        <f t="shared" si="785"/>
        <v>0</v>
      </c>
      <c r="M766" s="91" t="s">
        <v>622</v>
      </c>
      <c r="O766" s="90"/>
      <c r="P766" s="90"/>
      <c r="Z766" s="90">
        <f t="shared" si="786"/>
        <v>0</v>
      </c>
      <c r="AB766" s="90">
        <f t="shared" si="787"/>
        <v>0</v>
      </c>
      <c r="AC766" s="90">
        <f t="shared" si="788"/>
        <v>0</v>
      </c>
      <c r="AD766" s="90">
        <f t="shared" si="789"/>
        <v>0</v>
      </c>
      <c r="AE766" s="90">
        <f t="shared" si="790"/>
        <v>0</v>
      </c>
      <c r="AF766" s="90">
        <f t="shared" si="791"/>
        <v>0</v>
      </c>
      <c r="AG766" s="90">
        <f t="shared" si="792"/>
        <v>0</v>
      </c>
      <c r="AH766" s="90">
        <f t="shared" si="793"/>
        <v>0</v>
      </c>
      <c r="AI766" s="154" t="s">
        <v>61</v>
      </c>
      <c r="AJ766" s="90">
        <f t="shared" si="794"/>
        <v>0</v>
      </c>
      <c r="AK766" s="90">
        <f t="shared" si="795"/>
        <v>0</v>
      </c>
      <c r="AL766" s="90">
        <f t="shared" si="796"/>
        <v>0</v>
      </c>
      <c r="AN766" s="90">
        <v>15</v>
      </c>
      <c r="AO766" s="90">
        <f t="shared" si="797"/>
        <v>0</v>
      </c>
      <c r="AP766" s="90">
        <f t="shared" si="798"/>
        <v>1000</v>
      </c>
      <c r="AQ766" s="91" t="s">
        <v>85</v>
      </c>
      <c r="AV766" s="90">
        <f t="shared" si="799"/>
        <v>0</v>
      </c>
      <c r="AW766" s="90">
        <f t="shared" si="800"/>
        <v>0</v>
      </c>
      <c r="AX766" s="90">
        <f t="shared" si="801"/>
        <v>0</v>
      </c>
      <c r="AY766" s="91" t="s">
        <v>642</v>
      </c>
      <c r="AZ766" s="91" t="s">
        <v>1644</v>
      </c>
      <c r="BA766" s="154" t="s">
        <v>1649</v>
      </c>
      <c r="BC766" s="90">
        <f t="shared" si="802"/>
        <v>0</v>
      </c>
      <c r="BD766" s="90">
        <f t="shared" si="803"/>
        <v>1000</v>
      </c>
      <c r="BE766" s="90">
        <v>0</v>
      </c>
      <c r="BF766" s="90">
        <f t="shared" si="804"/>
        <v>0</v>
      </c>
      <c r="BH766" s="90">
        <f t="shared" si="805"/>
        <v>0</v>
      </c>
      <c r="BI766" s="90">
        <f t="shared" si="806"/>
        <v>0</v>
      </c>
      <c r="BJ766" s="90">
        <f t="shared" si="807"/>
        <v>0</v>
      </c>
    </row>
    <row r="767" spans="1:62" ht="12.75" hidden="1">
      <c r="A767" s="88" t="s">
        <v>1994</v>
      </c>
      <c r="B767" s="88" t="s">
        <v>61</v>
      </c>
      <c r="C767" s="88" t="s">
        <v>1574</v>
      </c>
      <c r="D767" s="88" t="s">
        <v>491</v>
      </c>
      <c r="E767" s="88" t="s">
        <v>606</v>
      </c>
      <c r="F767" s="90"/>
      <c r="G767" s="90">
        <v>1000</v>
      </c>
      <c r="H767" s="90">
        <f t="shared" si="782"/>
        <v>0</v>
      </c>
      <c r="I767" s="90">
        <f t="shared" si="783"/>
        <v>0</v>
      </c>
      <c r="J767" s="90">
        <f t="shared" si="784"/>
        <v>0</v>
      </c>
      <c r="K767" s="90">
        <v>0</v>
      </c>
      <c r="L767" s="90">
        <f t="shared" si="785"/>
        <v>0</v>
      </c>
      <c r="M767" s="91" t="s">
        <v>622</v>
      </c>
      <c r="O767" s="90"/>
      <c r="P767" s="90"/>
      <c r="Z767" s="90">
        <f t="shared" si="786"/>
        <v>0</v>
      </c>
      <c r="AB767" s="90">
        <f t="shared" si="787"/>
        <v>0</v>
      </c>
      <c r="AC767" s="90">
        <f t="shared" si="788"/>
        <v>0</v>
      </c>
      <c r="AD767" s="90">
        <f t="shared" si="789"/>
        <v>0</v>
      </c>
      <c r="AE767" s="90">
        <f t="shared" si="790"/>
        <v>0</v>
      </c>
      <c r="AF767" s="90">
        <f t="shared" si="791"/>
        <v>0</v>
      </c>
      <c r="AG767" s="90">
        <f t="shared" si="792"/>
        <v>0</v>
      </c>
      <c r="AH767" s="90">
        <f t="shared" si="793"/>
        <v>0</v>
      </c>
      <c r="AI767" s="154" t="s">
        <v>61</v>
      </c>
      <c r="AJ767" s="90">
        <f t="shared" si="794"/>
        <v>0</v>
      </c>
      <c r="AK767" s="90">
        <f t="shared" si="795"/>
        <v>0</v>
      </c>
      <c r="AL767" s="90">
        <f t="shared" si="796"/>
        <v>0</v>
      </c>
      <c r="AN767" s="90">
        <v>15</v>
      </c>
      <c r="AO767" s="90">
        <f t="shared" si="797"/>
        <v>0</v>
      </c>
      <c r="AP767" s="90">
        <f t="shared" si="798"/>
        <v>1000</v>
      </c>
      <c r="AQ767" s="91" t="s">
        <v>85</v>
      </c>
      <c r="AV767" s="90">
        <f t="shared" si="799"/>
        <v>0</v>
      </c>
      <c r="AW767" s="90">
        <f t="shared" si="800"/>
        <v>0</v>
      </c>
      <c r="AX767" s="90">
        <f t="shared" si="801"/>
        <v>0</v>
      </c>
      <c r="AY767" s="91" t="s">
        <v>642</v>
      </c>
      <c r="AZ767" s="91" t="s">
        <v>1644</v>
      </c>
      <c r="BA767" s="154" t="s">
        <v>1649</v>
      </c>
      <c r="BC767" s="90">
        <f t="shared" si="802"/>
        <v>0</v>
      </c>
      <c r="BD767" s="90">
        <f t="shared" si="803"/>
        <v>1000</v>
      </c>
      <c r="BE767" s="90">
        <v>0</v>
      </c>
      <c r="BF767" s="90">
        <f t="shared" si="804"/>
        <v>0</v>
      </c>
      <c r="BH767" s="90">
        <f t="shared" si="805"/>
        <v>0</v>
      </c>
      <c r="BI767" s="90">
        <f t="shared" si="806"/>
        <v>0</v>
      </c>
      <c r="BJ767" s="90">
        <f t="shared" si="807"/>
        <v>0</v>
      </c>
    </row>
    <row r="768" spans="1:62" ht="12.75" hidden="1">
      <c r="A768" s="88" t="s">
        <v>1995</v>
      </c>
      <c r="B768" s="88" t="s">
        <v>61</v>
      </c>
      <c r="C768" s="88" t="s">
        <v>1575</v>
      </c>
      <c r="D768" s="88" t="s">
        <v>492</v>
      </c>
      <c r="E768" s="88" t="s">
        <v>606</v>
      </c>
      <c r="F768" s="90"/>
      <c r="G768" s="90">
        <v>1000</v>
      </c>
      <c r="H768" s="90">
        <f t="shared" si="782"/>
        <v>0</v>
      </c>
      <c r="I768" s="90">
        <f t="shared" si="783"/>
        <v>0</v>
      </c>
      <c r="J768" s="90">
        <f t="shared" si="784"/>
        <v>0</v>
      </c>
      <c r="K768" s="90">
        <v>0</v>
      </c>
      <c r="L768" s="90">
        <f t="shared" si="785"/>
        <v>0</v>
      </c>
      <c r="M768" s="91" t="s">
        <v>622</v>
      </c>
      <c r="O768" s="90"/>
      <c r="P768" s="90"/>
      <c r="Z768" s="90">
        <f t="shared" si="786"/>
        <v>0</v>
      </c>
      <c r="AB768" s="90">
        <f t="shared" si="787"/>
        <v>0</v>
      </c>
      <c r="AC768" s="90">
        <f t="shared" si="788"/>
        <v>0</v>
      </c>
      <c r="AD768" s="90">
        <f t="shared" si="789"/>
        <v>0</v>
      </c>
      <c r="AE768" s="90">
        <f t="shared" si="790"/>
        <v>0</v>
      </c>
      <c r="AF768" s="90">
        <f t="shared" si="791"/>
        <v>0</v>
      </c>
      <c r="AG768" s="90">
        <f t="shared" si="792"/>
        <v>0</v>
      </c>
      <c r="AH768" s="90">
        <f t="shared" si="793"/>
        <v>0</v>
      </c>
      <c r="AI768" s="154" t="s">
        <v>61</v>
      </c>
      <c r="AJ768" s="90">
        <f t="shared" si="794"/>
        <v>0</v>
      </c>
      <c r="AK768" s="90">
        <f t="shared" si="795"/>
        <v>0</v>
      </c>
      <c r="AL768" s="90">
        <f t="shared" si="796"/>
        <v>0</v>
      </c>
      <c r="AN768" s="90">
        <v>15</v>
      </c>
      <c r="AO768" s="90">
        <f t="shared" si="797"/>
        <v>0</v>
      </c>
      <c r="AP768" s="90">
        <f t="shared" si="798"/>
        <v>1000</v>
      </c>
      <c r="AQ768" s="91" t="s">
        <v>85</v>
      </c>
      <c r="AV768" s="90">
        <f t="shared" si="799"/>
        <v>0</v>
      </c>
      <c r="AW768" s="90">
        <f t="shared" si="800"/>
        <v>0</v>
      </c>
      <c r="AX768" s="90">
        <f t="shared" si="801"/>
        <v>0</v>
      </c>
      <c r="AY768" s="91" t="s">
        <v>642</v>
      </c>
      <c r="AZ768" s="91" t="s">
        <v>1644</v>
      </c>
      <c r="BA768" s="154" t="s">
        <v>1649</v>
      </c>
      <c r="BC768" s="90">
        <f t="shared" si="802"/>
        <v>0</v>
      </c>
      <c r="BD768" s="90">
        <f t="shared" si="803"/>
        <v>1000</v>
      </c>
      <c r="BE768" s="90">
        <v>0</v>
      </c>
      <c r="BF768" s="90">
        <f t="shared" si="804"/>
        <v>0</v>
      </c>
      <c r="BH768" s="90">
        <f t="shared" si="805"/>
        <v>0</v>
      </c>
      <c r="BI768" s="90">
        <f t="shared" si="806"/>
        <v>0</v>
      </c>
      <c r="BJ768" s="90">
        <f t="shared" si="807"/>
        <v>0</v>
      </c>
    </row>
    <row r="769" spans="1:62" ht="12.75" hidden="1">
      <c r="A769" s="88" t="s">
        <v>1996</v>
      </c>
      <c r="B769" s="88" t="s">
        <v>61</v>
      </c>
      <c r="C769" s="88" t="s">
        <v>1576</v>
      </c>
      <c r="D769" s="88" t="s">
        <v>493</v>
      </c>
      <c r="E769" s="88" t="s">
        <v>606</v>
      </c>
      <c r="F769" s="90"/>
      <c r="G769" s="90">
        <v>1500</v>
      </c>
      <c r="H769" s="90">
        <f t="shared" si="782"/>
        <v>0</v>
      </c>
      <c r="I769" s="90">
        <f t="shared" si="783"/>
        <v>0</v>
      </c>
      <c r="J769" s="90">
        <f t="shared" si="784"/>
        <v>0</v>
      </c>
      <c r="K769" s="90">
        <v>0</v>
      </c>
      <c r="L769" s="90">
        <f t="shared" si="785"/>
        <v>0</v>
      </c>
      <c r="M769" s="91" t="s">
        <v>622</v>
      </c>
      <c r="O769" s="90"/>
      <c r="P769" s="90"/>
      <c r="Z769" s="90">
        <f t="shared" si="786"/>
        <v>0</v>
      </c>
      <c r="AB769" s="90">
        <f t="shared" si="787"/>
        <v>0</v>
      </c>
      <c r="AC769" s="90">
        <f t="shared" si="788"/>
        <v>0</v>
      </c>
      <c r="AD769" s="90">
        <f t="shared" si="789"/>
        <v>0</v>
      </c>
      <c r="AE769" s="90">
        <f t="shared" si="790"/>
        <v>0</v>
      </c>
      <c r="AF769" s="90">
        <f t="shared" si="791"/>
        <v>0</v>
      </c>
      <c r="AG769" s="90">
        <f t="shared" si="792"/>
        <v>0</v>
      </c>
      <c r="AH769" s="90">
        <f t="shared" si="793"/>
        <v>0</v>
      </c>
      <c r="AI769" s="154" t="s">
        <v>61</v>
      </c>
      <c r="AJ769" s="90">
        <f t="shared" si="794"/>
        <v>0</v>
      </c>
      <c r="AK769" s="90">
        <f t="shared" si="795"/>
        <v>0</v>
      </c>
      <c r="AL769" s="90">
        <f t="shared" si="796"/>
        <v>0</v>
      </c>
      <c r="AN769" s="90">
        <v>15</v>
      </c>
      <c r="AO769" s="90">
        <f t="shared" si="797"/>
        <v>0</v>
      </c>
      <c r="AP769" s="90">
        <f t="shared" si="798"/>
        <v>1500</v>
      </c>
      <c r="AQ769" s="91" t="s">
        <v>85</v>
      </c>
      <c r="AV769" s="90">
        <f t="shared" si="799"/>
        <v>0</v>
      </c>
      <c r="AW769" s="90">
        <f t="shared" si="800"/>
        <v>0</v>
      </c>
      <c r="AX769" s="90">
        <f t="shared" si="801"/>
        <v>0</v>
      </c>
      <c r="AY769" s="91" t="s">
        <v>642</v>
      </c>
      <c r="AZ769" s="91" t="s">
        <v>1644</v>
      </c>
      <c r="BA769" s="154" t="s">
        <v>1649</v>
      </c>
      <c r="BC769" s="90">
        <f t="shared" si="802"/>
        <v>0</v>
      </c>
      <c r="BD769" s="90">
        <f t="shared" si="803"/>
        <v>1500</v>
      </c>
      <c r="BE769" s="90">
        <v>0</v>
      </c>
      <c r="BF769" s="90">
        <f t="shared" si="804"/>
        <v>0</v>
      </c>
      <c r="BH769" s="90">
        <f t="shared" si="805"/>
        <v>0</v>
      </c>
      <c r="BI769" s="90">
        <f t="shared" si="806"/>
        <v>0</v>
      </c>
      <c r="BJ769" s="90">
        <f t="shared" si="807"/>
        <v>0</v>
      </c>
    </row>
    <row r="770" spans="1:47" ht="12.75" hidden="1">
      <c r="A770" s="159"/>
      <c r="B770" s="160" t="s">
        <v>61</v>
      </c>
      <c r="C770" s="160" t="s">
        <v>301</v>
      </c>
      <c r="D770" s="160" t="s">
        <v>494</v>
      </c>
      <c r="E770" s="159" t="s">
        <v>57</v>
      </c>
      <c r="F770" s="159"/>
      <c r="G770" s="159" t="s">
        <v>57</v>
      </c>
      <c r="H770" s="161">
        <f>SUM(H771:H798)</f>
        <v>0</v>
      </c>
      <c r="I770" s="161">
        <f>SUM(I771:I798)</f>
        <v>0</v>
      </c>
      <c r="J770" s="161">
        <f>SUM(J771:J798)</f>
        <v>0</v>
      </c>
      <c r="K770" s="154"/>
      <c r="L770" s="161">
        <f>SUM(L771:L798)</f>
        <v>0</v>
      </c>
      <c r="M770" s="154"/>
      <c r="O770" s="159"/>
      <c r="P770" s="159"/>
      <c r="AI770" s="154" t="s">
        <v>61</v>
      </c>
      <c r="AS770" s="161">
        <f>SUM(AJ771:AJ798)</f>
        <v>0</v>
      </c>
      <c r="AT770" s="161">
        <f>SUM(AK771:AK798)</f>
        <v>0</v>
      </c>
      <c r="AU770" s="161">
        <f>SUM(AL771:AL798)</f>
        <v>0</v>
      </c>
    </row>
    <row r="771" spans="1:62" ht="12.75" hidden="1">
      <c r="A771" s="88" t="s">
        <v>1997</v>
      </c>
      <c r="B771" s="88" t="s">
        <v>61</v>
      </c>
      <c r="C771" s="88" t="s">
        <v>302</v>
      </c>
      <c r="D771" s="88" t="s">
        <v>495</v>
      </c>
      <c r="E771" s="88" t="s">
        <v>609</v>
      </c>
      <c r="F771" s="90"/>
      <c r="G771" s="90">
        <v>60.1</v>
      </c>
      <c r="H771" s="90">
        <f aca="true" t="shared" si="808" ref="H771:H798">F771*AO771</f>
        <v>0</v>
      </c>
      <c r="I771" s="90">
        <f aca="true" t="shared" si="809" ref="I771:I798">F771*AP771</f>
        <v>0</v>
      </c>
      <c r="J771" s="90">
        <f aca="true" t="shared" si="810" ref="J771:J798">F771*G771</f>
        <v>0</v>
      </c>
      <c r="K771" s="90">
        <v>0</v>
      </c>
      <c r="L771" s="90">
        <f aca="true" t="shared" si="811" ref="L771:L798">F771*K771</f>
        <v>0</v>
      </c>
      <c r="M771" s="91" t="s">
        <v>622</v>
      </c>
      <c r="O771" s="90"/>
      <c r="P771" s="90"/>
      <c r="Z771" s="90">
        <f aca="true" t="shared" si="812" ref="Z771:Z798">IF(AQ771="5",BJ771,0)</f>
        <v>0</v>
      </c>
      <c r="AB771" s="90">
        <f aca="true" t="shared" si="813" ref="AB771:AB798">IF(AQ771="1",BH771,0)</f>
        <v>0</v>
      </c>
      <c r="AC771" s="90">
        <f aca="true" t="shared" si="814" ref="AC771:AC798">IF(AQ771="1",BI771,0)</f>
        <v>0</v>
      </c>
      <c r="AD771" s="90">
        <f aca="true" t="shared" si="815" ref="AD771:AD798">IF(AQ771="7",BH771,0)</f>
        <v>0</v>
      </c>
      <c r="AE771" s="90">
        <f aca="true" t="shared" si="816" ref="AE771:AE798">IF(AQ771="7",BI771,0)</f>
        <v>0</v>
      </c>
      <c r="AF771" s="90">
        <f aca="true" t="shared" si="817" ref="AF771:AF798">IF(AQ771="2",BH771,0)</f>
        <v>0</v>
      </c>
      <c r="AG771" s="90">
        <f aca="true" t="shared" si="818" ref="AG771:AG798">IF(AQ771="2",BI771,0)</f>
        <v>0</v>
      </c>
      <c r="AH771" s="90">
        <f aca="true" t="shared" si="819" ref="AH771:AH798">IF(AQ771="0",BJ771,0)</f>
        <v>0</v>
      </c>
      <c r="AI771" s="154" t="s">
        <v>61</v>
      </c>
      <c r="AJ771" s="90">
        <f aca="true" t="shared" si="820" ref="AJ771:AJ798">IF(AN771=0,J771,0)</f>
        <v>0</v>
      </c>
      <c r="AK771" s="90">
        <f aca="true" t="shared" si="821" ref="AK771:AK798">IF(AN771=15,J771,0)</f>
        <v>0</v>
      </c>
      <c r="AL771" s="90">
        <f aca="true" t="shared" si="822" ref="AL771:AL798">IF(AN771=21,J771,0)</f>
        <v>0</v>
      </c>
      <c r="AN771" s="90">
        <v>15</v>
      </c>
      <c r="AO771" s="90">
        <f aca="true" t="shared" si="823" ref="AO771:AO798">G771*0</f>
        <v>0</v>
      </c>
      <c r="AP771" s="90">
        <f aca="true" t="shared" si="824" ref="AP771:AP798">G771*(1-0)</f>
        <v>60.1</v>
      </c>
      <c r="AQ771" s="91" t="s">
        <v>85</v>
      </c>
      <c r="AV771" s="90">
        <f aca="true" t="shared" si="825" ref="AV771:AV798">AW771+AX771</f>
        <v>0</v>
      </c>
      <c r="AW771" s="90">
        <f aca="true" t="shared" si="826" ref="AW771:AW798">F771*AO771</f>
        <v>0</v>
      </c>
      <c r="AX771" s="90">
        <f aca="true" t="shared" si="827" ref="AX771:AX798">F771*AP771</f>
        <v>0</v>
      </c>
      <c r="AY771" s="91" t="s">
        <v>643</v>
      </c>
      <c r="AZ771" s="91" t="s">
        <v>1644</v>
      </c>
      <c r="BA771" s="154" t="s">
        <v>1649</v>
      </c>
      <c r="BC771" s="90">
        <f aca="true" t="shared" si="828" ref="BC771:BC798">AW771+AX771</f>
        <v>0</v>
      </c>
      <c r="BD771" s="90">
        <f aca="true" t="shared" si="829" ref="BD771:BD798">G771/(100-BE771)*100</f>
        <v>60.099999999999994</v>
      </c>
      <c r="BE771" s="90">
        <v>0</v>
      </c>
      <c r="BF771" s="90">
        <f aca="true" t="shared" si="830" ref="BF771:BF798">L771</f>
        <v>0</v>
      </c>
      <c r="BH771" s="90">
        <f aca="true" t="shared" si="831" ref="BH771:BH798">F771*AO771</f>
        <v>0</v>
      </c>
      <c r="BI771" s="90">
        <f aca="true" t="shared" si="832" ref="BI771:BI798">F771*AP771</f>
        <v>0</v>
      </c>
      <c r="BJ771" s="90">
        <f aca="true" t="shared" si="833" ref="BJ771:BJ798">F771*G771</f>
        <v>0</v>
      </c>
    </row>
    <row r="772" spans="1:62" ht="12.75" hidden="1">
      <c r="A772" s="88" t="s">
        <v>1998</v>
      </c>
      <c r="B772" s="88" t="s">
        <v>61</v>
      </c>
      <c r="C772" s="88" t="s">
        <v>1577</v>
      </c>
      <c r="D772" s="88" t="s">
        <v>1622</v>
      </c>
      <c r="E772" s="88" t="s">
        <v>606</v>
      </c>
      <c r="F772" s="90"/>
      <c r="G772" s="90">
        <v>50</v>
      </c>
      <c r="H772" s="90">
        <f t="shared" si="808"/>
        <v>0</v>
      </c>
      <c r="I772" s="90">
        <f t="shared" si="809"/>
        <v>0</v>
      </c>
      <c r="J772" s="90">
        <f t="shared" si="810"/>
        <v>0</v>
      </c>
      <c r="K772" s="90">
        <v>0</v>
      </c>
      <c r="L772" s="90">
        <f t="shared" si="811"/>
        <v>0</v>
      </c>
      <c r="M772" s="91" t="s">
        <v>622</v>
      </c>
      <c r="O772" s="90"/>
      <c r="P772" s="90"/>
      <c r="Z772" s="90">
        <f t="shared" si="812"/>
        <v>0</v>
      </c>
      <c r="AB772" s="90">
        <f t="shared" si="813"/>
        <v>0</v>
      </c>
      <c r="AC772" s="90">
        <f t="shared" si="814"/>
        <v>0</v>
      </c>
      <c r="AD772" s="90">
        <f t="shared" si="815"/>
        <v>0</v>
      </c>
      <c r="AE772" s="90">
        <f t="shared" si="816"/>
        <v>0</v>
      </c>
      <c r="AF772" s="90">
        <f t="shared" si="817"/>
        <v>0</v>
      </c>
      <c r="AG772" s="90">
        <f t="shared" si="818"/>
        <v>0</v>
      </c>
      <c r="AH772" s="90">
        <f t="shared" si="819"/>
        <v>0</v>
      </c>
      <c r="AI772" s="154" t="s">
        <v>61</v>
      </c>
      <c r="AJ772" s="90">
        <f t="shared" si="820"/>
        <v>0</v>
      </c>
      <c r="AK772" s="90">
        <f t="shared" si="821"/>
        <v>0</v>
      </c>
      <c r="AL772" s="90">
        <f t="shared" si="822"/>
        <v>0</v>
      </c>
      <c r="AN772" s="90">
        <v>15</v>
      </c>
      <c r="AO772" s="90">
        <f t="shared" si="823"/>
        <v>0</v>
      </c>
      <c r="AP772" s="90">
        <f t="shared" si="824"/>
        <v>50</v>
      </c>
      <c r="AQ772" s="91" t="s">
        <v>85</v>
      </c>
      <c r="AV772" s="90">
        <f t="shared" si="825"/>
        <v>0</v>
      </c>
      <c r="AW772" s="90">
        <f t="shared" si="826"/>
        <v>0</v>
      </c>
      <c r="AX772" s="90">
        <f t="shared" si="827"/>
        <v>0</v>
      </c>
      <c r="AY772" s="91" t="s">
        <v>643</v>
      </c>
      <c r="AZ772" s="91" t="s">
        <v>1644</v>
      </c>
      <c r="BA772" s="154" t="s">
        <v>1649</v>
      </c>
      <c r="BC772" s="90">
        <f t="shared" si="828"/>
        <v>0</v>
      </c>
      <c r="BD772" s="90">
        <f t="shared" si="829"/>
        <v>50</v>
      </c>
      <c r="BE772" s="90">
        <v>0</v>
      </c>
      <c r="BF772" s="90">
        <f t="shared" si="830"/>
        <v>0</v>
      </c>
      <c r="BH772" s="90">
        <f t="shared" si="831"/>
        <v>0</v>
      </c>
      <c r="BI772" s="90">
        <f t="shared" si="832"/>
        <v>0</v>
      </c>
      <c r="BJ772" s="90">
        <f t="shared" si="833"/>
        <v>0</v>
      </c>
    </row>
    <row r="773" spans="1:62" ht="12.75" hidden="1">
      <c r="A773" s="88" t="s">
        <v>1999</v>
      </c>
      <c r="B773" s="88" t="s">
        <v>61</v>
      </c>
      <c r="C773" s="88" t="s">
        <v>1578</v>
      </c>
      <c r="D773" s="88" t="s">
        <v>1623</v>
      </c>
      <c r="E773" s="88" t="s">
        <v>606</v>
      </c>
      <c r="F773" s="90"/>
      <c r="G773" s="90">
        <v>50</v>
      </c>
      <c r="H773" s="90">
        <f t="shared" si="808"/>
        <v>0</v>
      </c>
      <c r="I773" s="90">
        <f t="shared" si="809"/>
        <v>0</v>
      </c>
      <c r="J773" s="90">
        <f t="shared" si="810"/>
        <v>0</v>
      </c>
      <c r="K773" s="90">
        <v>0</v>
      </c>
      <c r="L773" s="90">
        <f t="shared" si="811"/>
        <v>0</v>
      </c>
      <c r="M773" s="91" t="s">
        <v>622</v>
      </c>
      <c r="O773" s="90"/>
      <c r="P773" s="90"/>
      <c r="Z773" s="90">
        <f t="shared" si="812"/>
        <v>0</v>
      </c>
      <c r="AB773" s="90">
        <f t="shared" si="813"/>
        <v>0</v>
      </c>
      <c r="AC773" s="90">
        <f t="shared" si="814"/>
        <v>0</v>
      </c>
      <c r="AD773" s="90">
        <f t="shared" si="815"/>
        <v>0</v>
      </c>
      <c r="AE773" s="90">
        <f t="shared" si="816"/>
        <v>0</v>
      </c>
      <c r="AF773" s="90">
        <f t="shared" si="817"/>
        <v>0</v>
      </c>
      <c r="AG773" s="90">
        <f t="shared" si="818"/>
        <v>0</v>
      </c>
      <c r="AH773" s="90">
        <f t="shared" si="819"/>
        <v>0</v>
      </c>
      <c r="AI773" s="154" t="s">
        <v>61</v>
      </c>
      <c r="AJ773" s="90">
        <f t="shared" si="820"/>
        <v>0</v>
      </c>
      <c r="AK773" s="90">
        <f t="shared" si="821"/>
        <v>0</v>
      </c>
      <c r="AL773" s="90">
        <f t="shared" si="822"/>
        <v>0</v>
      </c>
      <c r="AN773" s="90">
        <v>15</v>
      </c>
      <c r="AO773" s="90">
        <f t="shared" si="823"/>
        <v>0</v>
      </c>
      <c r="AP773" s="90">
        <f t="shared" si="824"/>
        <v>50</v>
      </c>
      <c r="AQ773" s="91" t="s">
        <v>85</v>
      </c>
      <c r="AV773" s="90">
        <f t="shared" si="825"/>
        <v>0</v>
      </c>
      <c r="AW773" s="90">
        <f t="shared" si="826"/>
        <v>0</v>
      </c>
      <c r="AX773" s="90">
        <f t="shared" si="827"/>
        <v>0</v>
      </c>
      <c r="AY773" s="91" t="s">
        <v>643</v>
      </c>
      <c r="AZ773" s="91" t="s">
        <v>1644</v>
      </c>
      <c r="BA773" s="154" t="s">
        <v>1649</v>
      </c>
      <c r="BC773" s="90">
        <f t="shared" si="828"/>
        <v>0</v>
      </c>
      <c r="BD773" s="90">
        <f t="shared" si="829"/>
        <v>50</v>
      </c>
      <c r="BE773" s="90">
        <v>0</v>
      </c>
      <c r="BF773" s="90">
        <f t="shared" si="830"/>
        <v>0</v>
      </c>
      <c r="BH773" s="90">
        <f t="shared" si="831"/>
        <v>0</v>
      </c>
      <c r="BI773" s="90">
        <f t="shared" si="832"/>
        <v>0</v>
      </c>
      <c r="BJ773" s="90">
        <f t="shared" si="833"/>
        <v>0</v>
      </c>
    </row>
    <row r="774" spans="1:62" ht="12.75" hidden="1">
      <c r="A774" s="88" t="s">
        <v>2000</v>
      </c>
      <c r="B774" s="88" t="s">
        <v>61</v>
      </c>
      <c r="C774" s="88" t="s">
        <v>1579</v>
      </c>
      <c r="D774" s="88" t="s">
        <v>1624</v>
      </c>
      <c r="E774" s="88" t="s">
        <v>606</v>
      </c>
      <c r="F774" s="90"/>
      <c r="G774" s="90">
        <v>50</v>
      </c>
      <c r="H774" s="90">
        <f t="shared" si="808"/>
        <v>0</v>
      </c>
      <c r="I774" s="90">
        <f t="shared" si="809"/>
        <v>0</v>
      </c>
      <c r="J774" s="90">
        <f t="shared" si="810"/>
        <v>0</v>
      </c>
      <c r="K774" s="90">
        <v>0</v>
      </c>
      <c r="L774" s="90">
        <f t="shared" si="811"/>
        <v>0</v>
      </c>
      <c r="M774" s="91" t="s">
        <v>622</v>
      </c>
      <c r="O774" s="90"/>
      <c r="P774" s="90"/>
      <c r="Z774" s="90">
        <f t="shared" si="812"/>
        <v>0</v>
      </c>
      <c r="AB774" s="90">
        <f t="shared" si="813"/>
        <v>0</v>
      </c>
      <c r="AC774" s="90">
        <f t="shared" si="814"/>
        <v>0</v>
      </c>
      <c r="AD774" s="90">
        <f t="shared" si="815"/>
        <v>0</v>
      </c>
      <c r="AE774" s="90">
        <f t="shared" si="816"/>
        <v>0</v>
      </c>
      <c r="AF774" s="90">
        <f t="shared" si="817"/>
        <v>0</v>
      </c>
      <c r="AG774" s="90">
        <f t="shared" si="818"/>
        <v>0</v>
      </c>
      <c r="AH774" s="90">
        <f t="shared" si="819"/>
        <v>0</v>
      </c>
      <c r="AI774" s="154" t="s">
        <v>61</v>
      </c>
      <c r="AJ774" s="90">
        <f t="shared" si="820"/>
        <v>0</v>
      </c>
      <c r="AK774" s="90">
        <f t="shared" si="821"/>
        <v>0</v>
      </c>
      <c r="AL774" s="90">
        <f t="shared" si="822"/>
        <v>0</v>
      </c>
      <c r="AN774" s="90">
        <v>15</v>
      </c>
      <c r="AO774" s="90">
        <f t="shared" si="823"/>
        <v>0</v>
      </c>
      <c r="AP774" s="90">
        <f t="shared" si="824"/>
        <v>50</v>
      </c>
      <c r="AQ774" s="91" t="s">
        <v>85</v>
      </c>
      <c r="AV774" s="90">
        <f t="shared" si="825"/>
        <v>0</v>
      </c>
      <c r="AW774" s="90">
        <f t="shared" si="826"/>
        <v>0</v>
      </c>
      <c r="AX774" s="90">
        <f t="shared" si="827"/>
        <v>0</v>
      </c>
      <c r="AY774" s="91" t="s">
        <v>643</v>
      </c>
      <c r="AZ774" s="91" t="s">
        <v>1644</v>
      </c>
      <c r="BA774" s="154" t="s">
        <v>1649</v>
      </c>
      <c r="BC774" s="90">
        <f t="shared" si="828"/>
        <v>0</v>
      </c>
      <c r="BD774" s="90">
        <f t="shared" si="829"/>
        <v>50</v>
      </c>
      <c r="BE774" s="90">
        <v>0</v>
      </c>
      <c r="BF774" s="90">
        <f t="shared" si="830"/>
        <v>0</v>
      </c>
      <c r="BH774" s="90">
        <f t="shared" si="831"/>
        <v>0</v>
      </c>
      <c r="BI774" s="90">
        <f t="shared" si="832"/>
        <v>0</v>
      </c>
      <c r="BJ774" s="90">
        <f t="shared" si="833"/>
        <v>0</v>
      </c>
    </row>
    <row r="775" spans="1:62" ht="12.75" hidden="1">
      <c r="A775" s="88" t="s">
        <v>2001</v>
      </c>
      <c r="B775" s="88" t="s">
        <v>61</v>
      </c>
      <c r="C775" s="88" t="s">
        <v>303</v>
      </c>
      <c r="D775" s="88" t="s">
        <v>1297</v>
      </c>
      <c r="E775" s="88" t="s">
        <v>609</v>
      </c>
      <c r="F775" s="90"/>
      <c r="G775" s="90">
        <v>81.25</v>
      </c>
      <c r="H775" s="90">
        <f t="shared" si="808"/>
        <v>0</v>
      </c>
      <c r="I775" s="90">
        <f t="shared" si="809"/>
        <v>0</v>
      </c>
      <c r="J775" s="90">
        <f t="shared" si="810"/>
        <v>0</v>
      </c>
      <c r="K775" s="90">
        <v>0</v>
      </c>
      <c r="L775" s="90">
        <f t="shared" si="811"/>
        <v>0</v>
      </c>
      <c r="M775" s="91" t="s">
        <v>622</v>
      </c>
      <c r="O775" s="90"/>
      <c r="P775" s="90"/>
      <c r="Z775" s="90">
        <f t="shared" si="812"/>
        <v>0</v>
      </c>
      <c r="AB775" s="90">
        <f t="shared" si="813"/>
        <v>0</v>
      </c>
      <c r="AC775" s="90">
        <f t="shared" si="814"/>
        <v>0</v>
      </c>
      <c r="AD775" s="90">
        <f t="shared" si="815"/>
        <v>0</v>
      </c>
      <c r="AE775" s="90">
        <f t="shared" si="816"/>
        <v>0</v>
      </c>
      <c r="AF775" s="90">
        <f t="shared" si="817"/>
        <v>0</v>
      </c>
      <c r="AG775" s="90">
        <f t="shared" si="818"/>
        <v>0</v>
      </c>
      <c r="AH775" s="90">
        <f t="shared" si="819"/>
        <v>0</v>
      </c>
      <c r="AI775" s="154" t="s">
        <v>61</v>
      </c>
      <c r="AJ775" s="90">
        <f t="shared" si="820"/>
        <v>0</v>
      </c>
      <c r="AK775" s="90">
        <f t="shared" si="821"/>
        <v>0</v>
      </c>
      <c r="AL775" s="90">
        <f t="shared" si="822"/>
        <v>0</v>
      </c>
      <c r="AN775" s="90">
        <v>15</v>
      </c>
      <c r="AO775" s="90">
        <f t="shared" si="823"/>
        <v>0</v>
      </c>
      <c r="AP775" s="90">
        <f t="shared" si="824"/>
        <v>81.25</v>
      </c>
      <c r="AQ775" s="91" t="s">
        <v>85</v>
      </c>
      <c r="AV775" s="90">
        <f t="shared" si="825"/>
        <v>0</v>
      </c>
      <c r="AW775" s="90">
        <f t="shared" si="826"/>
        <v>0</v>
      </c>
      <c r="AX775" s="90">
        <f t="shared" si="827"/>
        <v>0</v>
      </c>
      <c r="AY775" s="91" t="s">
        <v>643</v>
      </c>
      <c r="AZ775" s="91" t="s">
        <v>1644</v>
      </c>
      <c r="BA775" s="154" t="s">
        <v>1649</v>
      </c>
      <c r="BC775" s="90">
        <f t="shared" si="828"/>
        <v>0</v>
      </c>
      <c r="BD775" s="90">
        <f t="shared" si="829"/>
        <v>81.25</v>
      </c>
      <c r="BE775" s="90">
        <v>0</v>
      </c>
      <c r="BF775" s="90">
        <f t="shared" si="830"/>
        <v>0</v>
      </c>
      <c r="BH775" s="90">
        <f t="shared" si="831"/>
        <v>0</v>
      </c>
      <c r="BI775" s="90">
        <f t="shared" si="832"/>
        <v>0</v>
      </c>
      <c r="BJ775" s="90">
        <f t="shared" si="833"/>
        <v>0</v>
      </c>
    </row>
    <row r="776" spans="1:62" ht="12.75" hidden="1">
      <c r="A776" s="88" t="s">
        <v>2002</v>
      </c>
      <c r="B776" s="88" t="s">
        <v>61</v>
      </c>
      <c r="C776" s="88" t="s">
        <v>304</v>
      </c>
      <c r="D776" s="88" t="s">
        <v>1302</v>
      </c>
      <c r="E776" s="88" t="s">
        <v>609</v>
      </c>
      <c r="F776" s="90"/>
      <c r="G776" s="90">
        <v>110</v>
      </c>
      <c r="H776" s="90">
        <f t="shared" si="808"/>
        <v>0</v>
      </c>
      <c r="I776" s="90">
        <f t="shared" si="809"/>
        <v>0</v>
      </c>
      <c r="J776" s="90">
        <f t="shared" si="810"/>
        <v>0</v>
      </c>
      <c r="K776" s="90">
        <v>0</v>
      </c>
      <c r="L776" s="90">
        <f t="shared" si="811"/>
        <v>0</v>
      </c>
      <c r="M776" s="91" t="s">
        <v>622</v>
      </c>
      <c r="O776" s="90"/>
      <c r="P776" s="90"/>
      <c r="Z776" s="90">
        <f t="shared" si="812"/>
        <v>0</v>
      </c>
      <c r="AB776" s="90">
        <f t="shared" si="813"/>
        <v>0</v>
      </c>
      <c r="AC776" s="90">
        <f t="shared" si="814"/>
        <v>0</v>
      </c>
      <c r="AD776" s="90">
        <f t="shared" si="815"/>
        <v>0</v>
      </c>
      <c r="AE776" s="90">
        <f t="shared" si="816"/>
        <v>0</v>
      </c>
      <c r="AF776" s="90">
        <f t="shared" si="817"/>
        <v>0</v>
      </c>
      <c r="AG776" s="90">
        <f t="shared" si="818"/>
        <v>0</v>
      </c>
      <c r="AH776" s="90">
        <f t="shared" si="819"/>
        <v>0</v>
      </c>
      <c r="AI776" s="154" t="s">
        <v>61</v>
      </c>
      <c r="AJ776" s="90">
        <f t="shared" si="820"/>
        <v>0</v>
      </c>
      <c r="AK776" s="90">
        <f t="shared" si="821"/>
        <v>0</v>
      </c>
      <c r="AL776" s="90">
        <f t="shared" si="822"/>
        <v>0</v>
      </c>
      <c r="AN776" s="90">
        <v>15</v>
      </c>
      <c r="AO776" s="90">
        <f t="shared" si="823"/>
        <v>0</v>
      </c>
      <c r="AP776" s="90">
        <f t="shared" si="824"/>
        <v>110</v>
      </c>
      <c r="AQ776" s="91" t="s">
        <v>85</v>
      </c>
      <c r="AV776" s="90">
        <f t="shared" si="825"/>
        <v>0</v>
      </c>
      <c r="AW776" s="90">
        <f t="shared" si="826"/>
        <v>0</v>
      </c>
      <c r="AX776" s="90">
        <f t="shared" si="827"/>
        <v>0</v>
      </c>
      <c r="AY776" s="91" t="s">
        <v>643</v>
      </c>
      <c r="AZ776" s="91" t="s">
        <v>1644</v>
      </c>
      <c r="BA776" s="154" t="s">
        <v>1649</v>
      </c>
      <c r="BC776" s="90">
        <f t="shared" si="828"/>
        <v>0</v>
      </c>
      <c r="BD776" s="90">
        <f t="shared" si="829"/>
        <v>110.00000000000001</v>
      </c>
      <c r="BE776" s="90">
        <v>0</v>
      </c>
      <c r="BF776" s="90">
        <f t="shared" si="830"/>
        <v>0</v>
      </c>
      <c r="BH776" s="90">
        <f t="shared" si="831"/>
        <v>0</v>
      </c>
      <c r="BI776" s="90">
        <f t="shared" si="832"/>
        <v>0</v>
      </c>
      <c r="BJ776" s="90">
        <f t="shared" si="833"/>
        <v>0</v>
      </c>
    </row>
    <row r="777" spans="1:62" ht="12.75" hidden="1">
      <c r="A777" s="88" t="s">
        <v>2003</v>
      </c>
      <c r="B777" s="88" t="s">
        <v>61</v>
      </c>
      <c r="C777" s="88" t="s">
        <v>1012</v>
      </c>
      <c r="D777" s="88" t="s">
        <v>1304</v>
      </c>
      <c r="E777" s="88" t="s">
        <v>609</v>
      </c>
      <c r="F777" s="90"/>
      <c r="G777" s="90">
        <v>80</v>
      </c>
      <c r="H777" s="90">
        <f t="shared" si="808"/>
        <v>0</v>
      </c>
      <c r="I777" s="90">
        <f t="shared" si="809"/>
        <v>0</v>
      </c>
      <c r="J777" s="90">
        <f t="shared" si="810"/>
        <v>0</v>
      </c>
      <c r="K777" s="90">
        <v>0</v>
      </c>
      <c r="L777" s="90">
        <f t="shared" si="811"/>
        <v>0</v>
      </c>
      <c r="M777" s="91" t="s">
        <v>622</v>
      </c>
      <c r="O777" s="90"/>
      <c r="P777" s="90"/>
      <c r="Z777" s="90">
        <f t="shared" si="812"/>
        <v>0</v>
      </c>
      <c r="AB777" s="90">
        <f t="shared" si="813"/>
        <v>0</v>
      </c>
      <c r="AC777" s="90">
        <f t="shared" si="814"/>
        <v>0</v>
      </c>
      <c r="AD777" s="90">
        <f t="shared" si="815"/>
        <v>0</v>
      </c>
      <c r="AE777" s="90">
        <f t="shared" si="816"/>
        <v>0</v>
      </c>
      <c r="AF777" s="90">
        <f t="shared" si="817"/>
        <v>0</v>
      </c>
      <c r="AG777" s="90">
        <f t="shared" si="818"/>
        <v>0</v>
      </c>
      <c r="AH777" s="90">
        <f t="shared" si="819"/>
        <v>0</v>
      </c>
      <c r="AI777" s="154" t="s">
        <v>61</v>
      </c>
      <c r="AJ777" s="90">
        <f t="shared" si="820"/>
        <v>0</v>
      </c>
      <c r="AK777" s="90">
        <f t="shared" si="821"/>
        <v>0</v>
      </c>
      <c r="AL777" s="90">
        <f t="shared" si="822"/>
        <v>0</v>
      </c>
      <c r="AN777" s="90">
        <v>15</v>
      </c>
      <c r="AO777" s="90">
        <f t="shared" si="823"/>
        <v>0</v>
      </c>
      <c r="AP777" s="90">
        <f t="shared" si="824"/>
        <v>80</v>
      </c>
      <c r="AQ777" s="91" t="s">
        <v>85</v>
      </c>
      <c r="AV777" s="90">
        <f t="shared" si="825"/>
        <v>0</v>
      </c>
      <c r="AW777" s="90">
        <f t="shared" si="826"/>
        <v>0</v>
      </c>
      <c r="AX777" s="90">
        <f t="shared" si="827"/>
        <v>0</v>
      </c>
      <c r="AY777" s="91" t="s">
        <v>643</v>
      </c>
      <c r="AZ777" s="91" t="s">
        <v>1644</v>
      </c>
      <c r="BA777" s="154" t="s">
        <v>1649</v>
      </c>
      <c r="BC777" s="90">
        <f t="shared" si="828"/>
        <v>0</v>
      </c>
      <c r="BD777" s="90">
        <f t="shared" si="829"/>
        <v>80</v>
      </c>
      <c r="BE777" s="90">
        <v>0</v>
      </c>
      <c r="BF777" s="90">
        <f t="shared" si="830"/>
        <v>0</v>
      </c>
      <c r="BH777" s="90">
        <f t="shared" si="831"/>
        <v>0</v>
      </c>
      <c r="BI777" s="90">
        <f t="shared" si="832"/>
        <v>0</v>
      </c>
      <c r="BJ777" s="90">
        <f t="shared" si="833"/>
        <v>0</v>
      </c>
    </row>
    <row r="778" spans="1:62" ht="12.75" hidden="1">
      <c r="A778" s="88" t="s">
        <v>2004</v>
      </c>
      <c r="B778" s="88" t="s">
        <v>61</v>
      </c>
      <c r="C778" s="88" t="s">
        <v>305</v>
      </c>
      <c r="D778" s="88" t="s">
        <v>1625</v>
      </c>
      <c r="E778" s="88" t="s">
        <v>606</v>
      </c>
      <c r="F778" s="90"/>
      <c r="G778" s="90">
        <v>6200</v>
      </c>
      <c r="H778" s="90">
        <f t="shared" si="808"/>
        <v>0</v>
      </c>
      <c r="I778" s="90">
        <f t="shared" si="809"/>
        <v>0</v>
      </c>
      <c r="J778" s="90">
        <f t="shared" si="810"/>
        <v>0</v>
      </c>
      <c r="K778" s="90">
        <v>0</v>
      </c>
      <c r="L778" s="90">
        <f t="shared" si="811"/>
        <v>0</v>
      </c>
      <c r="M778" s="91" t="s">
        <v>622</v>
      </c>
      <c r="O778" s="90"/>
      <c r="P778" s="90"/>
      <c r="Z778" s="90">
        <f t="shared" si="812"/>
        <v>0</v>
      </c>
      <c r="AB778" s="90">
        <f t="shared" si="813"/>
        <v>0</v>
      </c>
      <c r="AC778" s="90">
        <f t="shared" si="814"/>
        <v>0</v>
      </c>
      <c r="AD778" s="90">
        <f t="shared" si="815"/>
        <v>0</v>
      </c>
      <c r="AE778" s="90">
        <f t="shared" si="816"/>
        <v>0</v>
      </c>
      <c r="AF778" s="90">
        <f t="shared" si="817"/>
        <v>0</v>
      </c>
      <c r="AG778" s="90">
        <f t="shared" si="818"/>
        <v>0</v>
      </c>
      <c r="AH778" s="90">
        <f t="shared" si="819"/>
        <v>0</v>
      </c>
      <c r="AI778" s="154" t="s">
        <v>61</v>
      </c>
      <c r="AJ778" s="90">
        <f t="shared" si="820"/>
        <v>0</v>
      </c>
      <c r="AK778" s="90">
        <f t="shared" si="821"/>
        <v>0</v>
      </c>
      <c r="AL778" s="90">
        <f t="shared" si="822"/>
        <v>0</v>
      </c>
      <c r="AN778" s="90">
        <v>15</v>
      </c>
      <c r="AO778" s="90">
        <f t="shared" si="823"/>
        <v>0</v>
      </c>
      <c r="AP778" s="90">
        <f t="shared" si="824"/>
        <v>6200</v>
      </c>
      <c r="AQ778" s="91" t="s">
        <v>85</v>
      </c>
      <c r="AV778" s="90">
        <f t="shared" si="825"/>
        <v>0</v>
      </c>
      <c r="AW778" s="90">
        <f t="shared" si="826"/>
        <v>0</v>
      </c>
      <c r="AX778" s="90">
        <f t="shared" si="827"/>
        <v>0</v>
      </c>
      <c r="AY778" s="91" t="s">
        <v>643</v>
      </c>
      <c r="AZ778" s="91" t="s">
        <v>1644</v>
      </c>
      <c r="BA778" s="154" t="s">
        <v>1649</v>
      </c>
      <c r="BC778" s="90">
        <f t="shared" si="828"/>
        <v>0</v>
      </c>
      <c r="BD778" s="90">
        <f t="shared" si="829"/>
        <v>6200</v>
      </c>
      <c r="BE778" s="90">
        <v>0</v>
      </c>
      <c r="BF778" s="90">
        <f t="shared" si="830"/>
        <v>0</v>
      </c>
      <c r="BH778" s="90">
        <f t="shared" si="831"/>
        <v>0</v>
      </c>
      <c r="BI778" s="90">
        <f t="shared" si="832"/>
        <v>0</v>
      </c>
      <c r="BJ778" s="90">
        <f t="shared" si="833"/>
        <v>0</v>
      </c>
    </row>
    <row r="779" spans="1:62" ht="12.75" hidden="1">
      <c r="A779" s="88" t="s">
        <v>2005</v>
      </c>
      <c r="B779" s="88" t="s">
        <v>61</v>
      </c>
      <c r="C779" s="88" t="s">
        <v>306</v>
      </c>
      <c r="D779" s="88" t="s">
        <v>1317</v>
      </c>
      <c r="E779" s="88" t="s">
        <v>606</v>
      </c>
      <c r="F779" s="90"/>
      <c r="G779" s="90">
        <v>459.3</v>
      </c>
      <c r="H779" s="90">
        <f t="shared" si="808"/>
        <v>0</v>
      </c>
      <c r="I779" s="90">
        <f t="shared" si="809"/>
        <v>0</v>
      </c>
      <c r="J779" s="90">
        <f t="shared" si="810"/>
        <v>0</v>
      </c>
      <c r="K779" s="90">
        <v>0</v>
      </c>
      <c r="L779" s="90">
        <f t="shared" si="811"/>
        <v>0</v>
      </c>
      <c r="M779" s="91" t="s">
        <v>622</v>
      </c>
      <c r="O779" s="90"/>
      <c r="P779" s="90"/>
      <c r="Z779" s="90">
        <f t="shared" si="812"/>
        <v>0</v>
      </c>
      <c r="AB779" s="90">
        <f t="shared" si="813"/>
        <v>0</v>
      </c>
      <c r="AC779" s="90">
        <f t="shared" si="814"/>
        <v>0</v>
      </c>
      <c r="AD779" s="90">
        <f t="shared" si="815"/>
        <v>0</v>
      </c>
      <c r="AE779" s="90">
        <f t="shared" si="816"/>
        <v>0</v>
      </c>
      <c r="AF779" s="90">
        <f t="shared" si="817"/>
        <v>0</v>
      </c>
      <c r="AG779" s="90">
        <f t="shared" si="818"/>
        <v>0</v>
      </c>
      <c r="AH779" s="90">
        <f t="shared" si="819"/>
        <v>0</v>
      </c>
      <c r="AI779" s="154" t="s">
        <v>61</v>
      </c>
      <c r="AJ779" s="90">
        <f t="shared" si="820"/>
        <v>0</v>
      </c>
      <c r="AK779" s="90">
        <f t="shared" si="821"/>
        <v>0</v>
      </c>
      <c r="AL779" s="90">
        <f t="shared" si="822"/>
        <v>0</v>
      </c>
      <c r="AN779" s="90">
        <v>15</v>
      </c>
      <c r="AO779" s="90">
        <f t="shared" si="823"/>
        <v>0</v>
      </c>
      <c r="AP779" s="90">
        <f t="shared" si="824"/>
        <v>459.3</v>
      </c>
      <c r="AQ779" s="91" t="s">
        <v>85</v>
      </c>
      <c r="AV779" s="90">
        <f t="shared" si="825"/>
        <v>0</v>
      </c>
      <c r="AW779" s="90">
        <f t="shared" si="826"/>
        <v>0</v>
      </c>
      <c r="AX779" s="90">
        <f t="shared" si="827"/>
        <v>0</v>
      </c>
      <c r="AY779" s="91" t="s">
        <v>643</v>
      </c>
      <c r="AZ779" s="91" t="s">
        <v>1644</v>
      </c>
      <c r="BA779" s="154" t="s">
        <v>1649</v>
      </c>
      <c r="BC779" s="90">
        <f t="shared" si="828"/>
        <v>0</v>
      </c>
      <c r="BD779" s="90">
        <f t="shared" si="829"/>
        <v>459.3</v>
      </c>
      <c r="BE779" s="90">
        <v>0</v>
      </c>
      <c r="BF779" s="90">
        <f t="shared" si="830"/>
        <v>0</v>
      </c>
      <c r="BH779" s="90">
        <f t="shared" si="831"/>
        <v>0</v>
      </c>
      <c r="BI779" s="90">
        <f t="shared" si="832"/>
        <v>0</v>
      </c>
      <c r="BJ779" s="90">
        <f t="shared" si="833"/>
        <v>0</v>
      </c>
    </row>
    <row r="780" spans="1:62" ht="12.75" hidden="1">
      <c r="A780" s="88" t="s">
        <v>2006</v>
      </c>
      <c r="B780" s="88" t="s">
        <v>61</v>
      </c>
      <c r="C780" s="88" t="s">
        <v>307</v>
      </c>
      <c r="D780" s="88" t="s">
        <v>1318</v>
      </c>
      <c r="E780" s="88" t="s">
        <v>606</v>
      </c>
      <c r="F780" s="90"/>
      <c r="G780" s="90">
        <v>459.3</v>
      </c>
      <c r="H780" s="90">
        <f t="shared" si="808"/>
        <v>0</v>
      </c>
      <c r="I780" s="90">
        <f t="shared" si="809"/>
        <v>0</v>
      </c>
      <c r="J780" s="90">
        <f t="shared" si="810"/>
        <v>0</v>
      </c>
      <c r="K780" s="90">
        <v>0</v>
      </c>
      <c r="L780" s="90">
        <f t="shared" si="811"/>
        <v>0</v>
      </c>
      <c r="M780" s="91" t="s">
        <v>622</v>
      </c>
      <c r="O780" s="90"/>
      <c r="P780" s="90"/>
      <c r="Z780" s="90">
        <f t="shared" si="812"/>
        <v>0</v>
      </c>
      <c r="AB780" s="90">
        <f t="shared" si="813"/>
        <v>0</v>
      </c>
      <c r="AC780" s="90">
        <f t="shared" si="814"/>
        <v>0</v>
      </c>
      <c r="AD780" s="90">
        <f t="shared" si="815"/>
        <v>0</v>
      </c>
      <c r="AE780" s="90">
        <f t="shared" si="816"/>
        <v>0</v>
      </c>
      <c r="AF780" s="90">
        <f t="shared" si="817"/>
        <v>0</v>
      </c>
      <c r="AG780" s="90">
        <f t="shared" si="818"/>
        <v>0</v>
      </c>
      <c r="AH780" s="90">
        <f t="shared" si="819"/>
        <v>0</v>
      </c>
      <c r="AI780" s="154" t="s">
        <v>61</v>
      </c>
      <c r="AJ780" s="90">
        <f t="shared" si="820"/>
        <v>0</v>
      </c>
      <c r="AK780" s="90">
        <f t="shared" si="821"/>
        <v>0</v>
      </c>
      <c r="AL780" s="90">
        <f t="shared" si="822"/>
        <v>0</v>
      </c>
      <c r="AN780" s="90">
        <v>15</v>
      </c>
      <c r="AO780" s="90">
        <f t="shared" si="823"/>
        <v>0</v>
      </c>
      <c r="AP780" s="90">
        <f t="shared" si="824"/>
        <v>459.3</v>
      </c>
      <c r="AQ780" s="91" t="s">
        <v>85</v>
      </c>
      <c r="AV780" s="90">
        <f t="shared" si="825"/>
        <v>0</v>
      </c>
      <c r="AW780" s="90">
        <f t="shared" si="826"/>
        <v>0</v>
      </c>
      <c r="AX780" s="90">
        <f t="shared" si="827"/>
        <v>0</v>
      </c>
      <c r="AY780" s="91" t="s">
        <v>643</v>
      </c>
      <c r="AZ780" s="91" t="s">
        <v>1644</v>
      </c>
      <c r="BA780" s="154" t="s">
        <v>1649</v>
      </c>
      <c r="BC780" s="90">
        <f t="shared" si="828"/>
        <v>0</v>
      </c>
      <c r="BD780" s="90">
        <f t="shared" si="829"/>
        <v>459.3</v>
      </c>
      <c r="BE780" s="90">
        <v>0</v>
      </c>
      <c r="BF780" s="90">
        <f t="shared" si="830"/>
        <v>0</v>
      </c>
      <c r="BH780" s="90">
        <f t="shared" si="831"/>
        <v>0</v>
      </c>
      <c r="BI780" s="90">
        <f t="shared" si="832"/>
        <v>0</v>
      </c>
      <c r="BJ780" s="90">
        <f t="shared" si="833"/>
        <v>0</v>
      </c>
    </row>
    <row r="781" spans="1:62" ht="12.75" hidden="1">
      <c r="A781" s="88" t="s">
        <v>2007</v>
      </c>
      <c r="B781" s="88" t="s">
        <v>61</v>
      </c>
      <c r="C781" s="88" t="s">
        <v>1013</v>
      </c>
      <c r="D781" s="88" t="s">
        <v>1321</v>
      </c>
      <c r="E781" s="88" t="s">
        <v>606</v>
      </c>
      <c r="F781" s="90"/>
      <c r="G781" s="90">
        <v>475</v>
      </c>
      <c r="H781" s="90">
        <f t="shared" si="808"/>
        <v>0</v>
      </c>
      <c r="I781" s="90">
        <f t="shared" si="809"/>
        <v>0</v>
      </c>
      <c r="J781" s="90">
        <f t="shared" si="810"/>
        <v>0</v>
      </c>
      <c r="K781" s="90">
        <v>0</v>
      </c>
      <c r="L781" s="90">
        <f t="shared" si="811"/>
        <v>0</v>
      </c>
      <c r="M781" s="91" t="s">
        <v>622</v>
      </c>
      <c r="O781" s="90"/>
      <c r="P781" s="90"/>
      <c r="Z781" s="90">
        <f t="shared" si="812"/>
        <v>0</v>
      </c>
      <c r="AB781" s="90">
        <f t="shared" si="813"/>
        <v>0</v>
      </c>
      <c r="AC781" s="90">
        <f t="shared" si="814"/>
        <v>0</v>
      </c>
      <c r="AD781" s="90">
        <f t="shared" si="815"/>
        <v>0</v>
      </c>
      <c r="AE781" s="90">
        <f t="shared" si="816"/>
        <v>0</v>
      </c>
      <c r="AF781" s="90">
        <f t="shared" si="817"/>
        <v>0</v>
      </c>
      <c r="AG781" s="90">
        <f t="shared" si="818"/>
        <v>0</v>
      </c>
      <c r="AH781" s="90">
        <f t="shared" si="819"/>
        <v>0</v>
      </c>
      <c r="AI781" s="154" t="s">
        <v>61</v>
      </c>
      <c r="AJ781" s="90">
        <f t="shared" si="820"/>
        <v>0</v>
      </c>
      <c r="AK781" s="90">
        <f t="shared" si="821"/>
        <v>0</v>
      </c>
      <c r="AL781" s="90">
        <f t="shared" si="822"/>
        <v>0</v>
      </c>
      <c r="AN781" s="90">
        <v>15</v>
      </c>
      <c r="AO781" s="90">
        <f t="shared" si="823"/>
        <v>0</v>
      </c>
      <c r="AP781" s="90">
        <f t="shared" si="824"/>
        <v>475</v>
      </c>
      <c r="AQ781" s="91" t="s">
        <v>85</v>
      </c>
      <c r="AV781" s="90">
        <f t="shared" si="825"/>
        <v>0</v>
      </c>
      <c r="AW781" s="90">
        <f t="shared" si="826"/>
        <v>0</v>
      </c>
      <c r="AX781" s="90">
        <f t="shared" si="827"/>
        <v>0</v>
      </c>
      <c r="AY781" s="91" t="s">
        <v>643</v>
      </c>
      <c r="AZ781" s="91" t="s">
        <v>1644</v>
      </c>
      <c r="BA781" s="154" t="s">
        <v>1649</v>
      </c>
      <c r="BC781" s="90">
        <f t="shared" si="828"/>
        <v>0</v>
      </c>
      <c r="BD781" s="90">
        <f t="shared" si="829"/>
        <v>475</v>
      </c>
      <c r="BE781" s="90">
        <v>0</v>
      </c>
      <c r="BF781" s="90">
        <f t="shared" si="830"/>
        <v>0</v>
      </c>
      <c r="BH781" s="90">
        <f t="shared" si="831"/>
        <v>0</v>
      </c>
      <c r="BI781" s="90">
        <f t="shared" si="832"/>
        <v>0</v>
      </c>
      <c r="BJ781" s="90">
        <f t="shared" si="833"/>
        <v>0</v>
      </c>
    </row>
    <row r="782" spans="1:62" ht="12.75" hidden="1">
      <c r="A782" s="88" t="s">
        <v>2008</v>
      </c>
      <c r="B782" s="88" t="s">
        <v>61</v>
      </c>
      <c r="C782" s="88" t="s">
        <v>1014</v>
      </c>
      <c r="D782" s="88" t="s">
        <v>1323</v>
      </c>
      <c r="E782" s="88" t="s">
        <v>606</v>
      </c>
      <c r="F782" s="90"/>
      <c r="G782" s="90">
        <v>210</v>
      </c>
      <c r="H782" s="90">
        <f t="shared" si="808"/>
        <v>0</v>
      </c>
      <c r="I782" s="90">
        <f t="shared" si="809"/>
        <v>0</v>
      </c>
      <c r="J782" s="90">
        <f t="shared" si="810"/>
        <v>0</v>
      </c>
      <c r="K782" s="90">
        <v>0</v>
      </c>
      <c r="L782" s="90">
        <f t="shared" si="811"/>
        <v>0</v>
      </c>
      <c r="M782" s="91" t="s">
        <v>622</v>
      </c>
      <c r="O782" s="90"/>
      <c r="P782" s="90"/>
      <c r="Z782" s="90">
        <f t="shared" si="812"/>
        <v>0</v>
      </c>
      <c r="AB782" s="90">
        <f t="shared" si="813"/>
        <v>0</v>
      </c>
      <c r="AC782" s="90">
        <f t="shared" si="814"/>
        <v>0</v>
      </c>
      <c r="AD782" s="90">
        <f t="shared" si="815"/>
        <v>0</v>
      </c>
      <c r="AE782" s="90">
        <f t="shared" si="816"/>
        <v>0</v>
      </c>
      <c r="AF782" s="90">
        <f t="shared" si="817"/>
        <v>0</v>
      </c>
      <c r="AG782" s="90">
        <f t="shared" si="818"/>
        <v>0</v>
      </c>
      <c r="AH782" s="90">
        <f t="shared" si="819"/>
        <v>0</v>
      </c>
      <c r="AI782" s="154" t="s">
        <v>61</v>
      </c>
      <c r="AJ782" s="90">
        <f t="shared" si="820"/>
        <v>0</v>
      </c>
      <c r="AK782" s="90">
        <f t="shared" si="821"/>
        <v>0</v>
      </c>
      <c r="AL782" s="90">
        <f t="shared" si="822"/>
        <v>0</v>
      </c>
      <c r="AN782" s="90">
        <v>15</v>
      </c>
      <c r="AO782" s="90">
        <f t="shared" si="823"/>
        <v>0</v>
      </c>
      <c r="AP782" s="90">
        <f t="shared" si="824"/>
        <v>210</v>
      </c>
      <c r="AQ782" s="91" t="s">
        <v>85</v>
      </c>
      <c r="AV782" s="90">
        <f t="shared" si="825"/>
        <v>0</v>
      </c>
      <c r="AW782" s="90">
        <f t="shared" si="826"/>
        <v>0</v>
      </c>
      <c r="AX782" s="90">
        <f t="shared" si="827"/>
        <v>0</v>
      </c>
      <c r="AY782" s="91" t="s">
        <v>643</v>
      </c>
      <c r="AZ782" s="91" t="s">
        <v>1644</v>
      </c>
      <c r="BA782" s="154" t="s">
        <v>1649</v>
      </c>
      <c r="BC782" s="90">
        <f t="shared" si="828"/>
        <v>0</v>
      </c>
      <c r="BD782" s="90">
        <f t="shared" si="829"/>
        <v>210</v>
      </c>
      <c r="BE782" s="90">
        <v>0</v>
      </c>
      <c r="BF782" s="90">
        <f t="shared" si="830"/>
        <v>0</v>
      </c>
      <c r="BH782" s="90">
        <f t="shared" si="831"/>
        <v>0</v>
      </c>
      <c r="BI782" s="90">
        <f t="shared" si="832"/>
        <v>0</v>
      </c>
      <c r="BJ782" s="90">
        <f t="shared" si="833"/>
        <v>0</v>
      </c>
    </row>
    <row r="783" spans="1:62" ht="12.75" hidden="1">
      <c r="A783" s="88" t="s">
        <v>2009</v>
      </c>
      <c r="B783" s="88" t="s">
        <v>61</v>
      </c>
      <c r="C783" s="88" t="s">
        <v>1015</v>
      </c>
      <c r="D783" s="88" t="s">
        <v>1325</v>
      </c>
      <c r="E783" s="88" t="s">
        <v>606</v>
      </c>
      <c r="F783" s="90"/>
      <c r="G783" s="90">
        <v>230</v>
      </c>
      <c r="H783" s="90">
        <f t="shared" si="808"/>
        <v>0</v>
      </c>
      <c r="I783" s="90">
        <f t="shared" si="809"/>
        <v>0</v>
      </c>
      <c r="J783" s="90">
        <f t="shared" si="810"/>
        <v>0</v>
      </c>
      <c r="K783" s="90">
        <v>0</v>
      </c>
      <c r="L783" s="90">
        <f t="shared" si="811"/>
        <v>0</v>
      </c>
      <c r="M783" s="91" t="s">
        <v>622</v>
      </c>
      <c r="O783" s="90"/>
      <c r="P783" s="90"/>
      <c r="Z783" s="90">
        <f t="shared" si="812"/>
        <v>0</v>
      </c>
      <c r="AB783" s="90">
        <f t="shared" si="813"/>
        <v>0</v>
      </c>
      <c r="AC783" s="90">
        <f t="shared" si="814"/>
        <v>0</v>
      </c>
      <c r="AD783" s="90">
        <f t="shared" si="815"/>
        <v>0</v>
      </c>
      <c r="AE783" s="90">
        <f t="shared" si="816"/>
        <v>0</v>
      </c>
      <c r="AF783" s="90">
        <f t="shared" si="817"/>
        <v>0</v>
      </c>
      <c r="AG783" s="90">
        <f t="shared" si="818"/>
        <v>0</v>
      </c>
      <c r="AH783" s="90">
        <f t="shared" si="819"/>
        <v>0</v>
      </c>
      <c r="AI783" s="154" t="s">
        <v>61</v>
      </c>
      <c r="AJ783" s="90">
        <f t="shared" si="820"/>
        <v>0</v>
      </c>
      <c r="AK783" s="90">
        <f t="shared" si="821"/>
        <v>0</v>
      </c>
      <c r="AL783" s="90">
        <f t="shared" si="822"/>
        <v>0</v>
      </c>
      <c r="AN783" s="90">
        <v>15</v>
      </c>
      <c r="AO783" s="90">
        <f t="shared" si="823"/>
        <v>0</v>
      </c>
      <c r="AP783" s="90">
        <f t="shared" si="824"/>
        <v>230</v>
      </c>
      <c r="AQ783" s="91" t="s">
        <v>85</v>
      </c>
      <c r="AV783" s="90">
        <f t="shared" si="825"/>
        <v>0</v>
      </c>
      <c r="AW783" s="90">
        <f t="shared" si="826"/>
        <v>0</v>
      </c>
      <c r="AX783" s="90">
        <f t="shared" si="827"/>
        <v>0</v>
      </c>
      <c r="AY783" s="91" t="s">
        <v>643</v>
      </c>
      <c r="AZ783" s="91" t="s">
        <v>1644</v>
      </c>
      <c r="BA783" s="154" t="s">
        <v>1649</v>
      </c>
      <c r="BC783" s="90">
        <f t="shared" si="828"/>
        <v>0</v>
      </c>
      <c r="BD783" s="90">
        <f t="shared" si="829"/>
        <v>229.99999999999997</v>
      </c>
      <c r="BE783" s="90">
        <v>0</v>
      </c>
      <c r="BF783" s="90">
        <f t="shared" si="830"/>
        <v>0</v>
      </c>
      <c r="BH783" s="90">
        <f t="shared" si="831"/>
        <v>0</v>
      </c>
      <c r="BI783" s="90">
        <f t="shared" si="832"/>
        <v>0</v>
      </c>
      <c r="BJ783" s="90">
        <f t="shared" si="833"/>
        <v>0</v>
      </c>
    </row>
    <row r="784" spans="1:62" ht="12.75" hidden="1">
      <c r="A784" s="88" t="s">
        <v>2010</v>
      </c>
      <c r="B784" s="88" t="s">
        <v>61</v>
      </c>
      <c r="C784" s="88" t="s">
        <v>1016</v>
      </c>
      <c r="D784" s="88" t="s">
        <v>1327</v>
      </c>
      <c r="E784" s="88" t="s">
        <v>606</v>
      </c>
      <c r="F784" s="90"/>
      <c r="G784" s="90">
        <v>881</v>
      </c>
      <c r="H784" s="90">
        <f t="shared" si="808"/>
        <v>0</v>
      </c>
      <c r="I784" s="90">
        <f t="shared" si="809"/>
        <v>0</v>
      </c>
      <c r="J784" s="90">
        <f t="shared" si="810"/>
        <v>0</v>
      </c>
      <c r="K784" s="90">
        <v>0</v>
      </c>
      <c r="L784" s="90">
        <f t="shared" si="811"/>
        <v>0</v>
      </c>
      <c r="M784" s="91" t="s">
        <v>622</v>
      </c>
      <c r="O784" s="90"/>
      <c r="P784" s="90"/>
      <c r="Z784" s="90">
        <f t="shared" si="812"/>
        <v>0</v>
      </c>
      <c r="AB784" s="90">
        <f t="shared" si="813"/>
        <v>0</v>
      </c>
      <c r="AC784" s="90">
        <f t="shared" si="814"/>
        <v>0</v>
      </c>
      <c r="AD784" s="90">
        <f t="shared" si="815"/>
        <v>0</v>
      </c>
      <c r="AE784" s="90">
        <f t="shared" si="816"/>
        <v>0</v>
      </c>
      <c r="AF784" s="90">
        <f t="shared" si="817"/>
        <v>0</v>
      </c>
      <c r="AG784" s="90">
        <f t="shared" si="818"/>
        <v>0</v>
      </c>
      <c r="AH784" s="90">
        <f t="shared" si="819"/>
        <v>0</v>
      </c>
      <c r="AI784" s="154" t="s">
        <v>61</v>
      </c>
      <c r="AJ784" s="90">
        <f t="shared" si="820"/>
        <v>0</v>
      </c>
      <c r="AK784" s="90">
        <f t="shared" si="821"/>
        <v>0</v>
      </c>
      <c r="AL784" s="90">
        <f t="shared" si="822"/>
        <v>0</v>
      </c>
      <c r="AN784" s="90">
        <v>15</v>
      </c>
      <c r="AO784" s="90">
        <f t="shared" si="823"/>
        <v>0</v>
      </c>
      <c r="AP784" s="90">
        <f t="shared" si="824"/>
        <v>881</v>
      </c>
      <c r="AQ784" s="91" t="s">
        <v>85</v>
      </c>
      <c r="AV784" s="90">
        <f t="shared" si="825"/>
        <v>0</v>
      </c>
      <c r="AW784" s="90">
        <f t="shared" si="826"/>
        <v>0</v>
      </c>
      <c r="AX784" s="90">
        <f t="shared" si="827"/>
        <v>0</v>
      </c>
      <c r="AY784" s="91" t="s">
        <v>643</v>
      </c>
      <c r="AZ784" s="91" t="s">
        <v>1644</v>
      </c>
      <c r="BA784" s="154" t="s">
        <v>1649</v>
      </c>
      <c r="BC784" s="90">
        <f t="shared" si="828"/>
        <v>0</v>
      </c>
      <c r="BD784" s="90">
        <f t="shared" si="829"/>
        <v>881</v>
      </c>
      <c r="BE784" s="90">
        <v>0</v>
      </c>
      <c r="BF784" s="90">
        <f t="shared" si="830"/>
        <v>0</v>
      </c>
      <c r="BH784" s="90">
        <f t="shared" si="831"/>
        <v>0</v>
      </c>
      <c r="BI784" s="90">
        <f t="shared" si="832"/>
        <v>0</v>
      </c>
      <c r="BJ784" s="90">
        <f t="shared" si="833"/>
        <v>0</v>
      </c>
    </row>
    <row r="785" spans="1:62" ht="12.75" hidden="1">
      <c r="A785" s="88" t="s">
        <v>2011</v>
      </c>
      <c r="B785" s="88" t="s">
        <v>61</v>
      </c>
      <c r="C785" s="88" t="s">
        <v>1017</v>
      </c>
      <c r="D785" s="88" t="s">
        <v>1328</v>
      </c>
      <c r="E785" s="88" t="s">
        <v>606</v>
      </c>
      <c r="F785" s="90"/>
      <c r="G785" s="90">
        <v>475</v>
      </c>
      <c r="H785" s="90">
        <f t="shared" si="808"/>
        <v>0</v>
      </c>
      <c r="I785" s="90">
        <f t="shared" si="809"/>
        <v>0</v>
      </c>
      <c r="J785" s="90">
        <f t="shared" si="810"/>
        <v>0</v>
      </c>
      <c r="K785" s="90">
        <v>0</v>
      </c>
      <c r="L785" s="90">
        <f t="shared" si="811"/>
        <v>0</v>
      </c>
      <c r="M785" s="91" t="s">
        <v>622</v>
      </c>
      <c r="O785" s="90"/>
      <c r="P785" s="90"/>
      <c r="Z785" s="90">
        <f t="shared" si="812"/>
        <v>0</v>
      </c>
      <c r="AB785" s="90">
        <f t="shared" si="813"/>
        <v>0</v>
      </c>
      <c r="AC785" s="90">
        <f t="shared" si="814"/>
        <v>0</v>
      </c>
      <c r="AD785" s="90">
        <f t="shared" si="815"/>
        <v>0</v>
      </c>
      <c r="AE785" s="90">
        <f t="shared" si="816"/>
        <v>0</v>
      </c>
      <c r="AF785" s="90">
        <f t="shared" si="817"/>
        <v>0</v>
      </c>
      <c r="AG785" s="90">
        <f t="shared" si="818"/>
        <v>0</v>
      </c>
      <c r="AH785" s="90">
        <f t="shared" si="819"/>
        <v>0</v>
      </c>
      <c r="AI785" s="154" t="s">
        <v>61</v>
      </c>
      <c r="AJ785" s="90">
        <f t="shared" si="820"/>
        <v>0</v>
      </c>
      <c r="AK785" s="90">
        <f t="shared" si="821"/>
        <v>0</v>
      </c>
      <c r="AL785" s="90">
        <f t="shared" si="822"/>
        <v>0</v>
      </c>
      <c r="AN785" s="90">
        <v>15</v>
      </c>
      <c r="AO785" s="90">
        <f t="shared" si="823"/>
        <v>0</v>
      </c>
      <c r="AP785" s="90">
        <f t="shared" si="824"/>
        <v>475</v>
      </c>
      <c r="AQ785" s="91" t="s">
        <v>85</v>
      </c>
      <c r="AV785" s="90">
        <f t="shared" si="825"/>
        <v>0</v>
      </c>
      <c r="AW785" s="90">
        <f t="shared" si="826"/>
        <v>0</v>
      </c>
      <c r="AX785" s="90">
        <f t="shared" si="827"/>
        <v>0</v>
      </c>
      <c r="AY785" s="91" t="s">
        <v>643</v>
      </c>
      <c r="AZ785" s="91" t="s">
        <v>1644</v>
      </c>
      <c r="BA785" s="154" t="s">
        <v>1649</v>
      </c>
      <c r="BC785" s="90">
        <f t="shared" si="828"/>
        <v>0</v>
      </c>
      <c r="BD785" s="90">
        <f t="shared" si="829"/>
        <v>475</v>
      </c>
      <c r="BE785" s="90">
        <v>0</v>
      </c>
      <c r="BF785" s="90">
        <f t="shared" si="830"/>
        <v>0</v>
      </c>
      <c r="BH785" s="90">
        <f t="shared" si="831"/>
        <v>0</v>
      </c>
      <c r="BI785" s="90">
        <f t="shared" si="832"/>
        <v>0</v>
      </c>
      <c r="BJ785" s="90">
        <f t="shared" si="833"/>
        <v>0</v>
      </c>
    </row>
    <row r="786" spans="1:62" ht="12.75" hidden="1">
      <c r="A786" s="88" t="s">
        <v>2012</v>
      </c>
      <c r="B786" s="88" t="s">
        <v>61</v>
      </c>
      <c r="C786" s="88" t="s">
        <v>1027</v>
      </c>
      <c r="D786" s="88" t="s">
        <v>1329</v>
      </c>
      <c r="E786" s="88" t="s">
        <v>609</v>
      </c>
      <c r="F786" s="90"/>
      <c r="G786" s="90">
        <v>90</v>
      </c>
      <c r="H786" s="90">
        <f t="shared" si="808"/>
        <v>0</v>
      </c>
      <c r="I786" s="90">
        <f t="shared" si="809"/>
        <v>0</v>
      </c>
      <c r="J786" s="90">
        <f t="shared" si="810"/>
        <v>0</v>
      </c>
      <c r="K786" s="90">
        <v>0</v>
      </c>
      <c r="L786" s="90">
        <f t="shared" si="811"/>
        <v>0</v>
      </c>
      <c r="M786" s="91" t="s">
        <v>622</v>
      </c>
      <c r="O786" s="90"/>
      <c r="P786" s="90"/>
      <c r="Z786" s="90">
        <f t="shared" si="812"/>
        <v>0</v>
      </c>
      <c r="AB786" s="90">
        <f t="shared" si="813"/>
        <v>0</v>
      </c>
      <c r="AC786" s="90">
        <f t="shared" si="814"/>
        <v>0</v>
      </c>
      <c r="AD786" s="90">
        <f t="shared" si="815"/>
        <v>0</v>
      </c>
      <c r="AE786" s="90">
        <f t="shared" si="816"/>
        <v>0</v>
      </c>
      <c r="AF786" s="90">
        <f t="shared" si="817"/>
        <v>0</v>
      </c>
      <c r="AG786" s="90">
        <f t="shared" si="818"/>
        <v>0</v>
      </c>
      <c r="AH786" s="90">
        <f t="shared" si="819"/>
        <v>0</v>
      </c>
      <c r="AI786" s="154" t="s">
        <v>61</v>
      </c>
      <c r="AJ786" s="90">
        <f t="shared" si="820"/>
        <v>0</v>
      </c>
      <c r="AK786" s="90">
        <f t="shared" si="821"/>
        <v>0</v>
      </c>
      <c r="AL786" s="90">
        <f t="shared" si="822"/>
        <v>0</v>
      </c>
      <c r="AN786" s="90">
        <v>15</v>
      </c>
      <c r="AO786" s="90">
        <f t="shared" si="823"/>
        <v>0</v>
      </c>
      <c r="AP786" s="90">
        <f t="shared" si="824"/>
        <v>90</v>
      </c>
      <c r="AQ786" s="91" t="s">
        <v>85</v>
      </c>
      <c r="AV786" s="90">
        <f t="shared" si="825"/>
        <v>0</v>
      </c>
      <c r="AW786" s="90">
        <f t="shared" si="826"/>
        <v>0</v>
      </c>
      <c r="AX786" s="90">
        <f t="shared" si="827"/>
        <v>0</v>
      </c>
      <c r="AY786" s="91" t="s">
        <v>643</v>
      </c>
      <c r="AZ786" s="91" t="s">
        <v>1644</v>
      </c>
      <c r="BA786" s="154" t="s">
        <v>1649</v>
      </c>
      <c r="BC786" s="90">
        <f t="shared" si="828"/>
        <v>0</v>
      </c>
      <c r="BD786" s="90">
        <f t="shared" si="829"/>
        <v>90</v>
      </c>
      <c r="BE786" s="90">
        <v>0</v>
      </c>
      <c r="BF786" s="90">
        <f t="shared" si="830"/>
        <v>0</v>
      </c>
      <c r="BH786" s="90">
        <f t="shared" si="831"/>
        <v>0</v>
      </c>
      <c r="BI786" s="90">
        <f t="shared" si="832"/>
        <v>0</v>
      </c>
      <c r="BJ786" s="90">
        <f t="shared" si="833"/>
        <v>0</v>
      </c>
    </row>
    <row r="787" spans="1:62" ht="12.75" hidden="1">
      <c r="A787" s="88" t="s">
        <v>290</v>
      </c>
      <c r="B787" s="88" t="s">
        <v>61</v>
      </c>
      <c r="C787" s="88" t="s">
        <v>1028</v>
      </c>
      <c r="D787" s="88" t="s">
        <v>497</v>
      </c>
      <c r="E787" s="88" t="s">
        <v>611</v>
      </c>
      <c r="F787" s="90"/>
      <c r="G787" s="90">
        <v>249</v>
      </c>
      <c r="H787" s="90">
        <f t="shared" si="808"/>
        <v>0</v>
      </c>
      <c r="I787" s="90">
        <f t="shared" si="809"/>
        <v>0</v>
      </c>
      <c r="J787" s="90">
        <f t="shared" si="810"/>
        <v>0</v>
      </c>
      <c r="K787" s="90">
        <v>0</v>
      </c>
      <c r="L787" s="90">
        <f t="shared" si="811"/>
        <v>0</v>
      </c>
      <c r="M787" s="91" t="s">
        <v>622</v>
      </c>
      <c r="O787" s="90"/>
      <c r="P787" s="90"/>
      <c r="Z787" s="90">
        <f t="shared" si="812"/>
        <v>0</v>
      </c>
      <c r="AB787" s="90">
        <f t="shared" si="813"/>
        <v>0</v>
      </c>
      <c r="AC787" s="90">
        <f t="shared" si="814"/>
        <v>0</v>
      </c>
      <c r="AD787" s="90">
        <f t="shared" si="815"/>
        <v>0</v>
      </c>
      <c r="AE787" s="90">
        <f t="shared" si="816"/>
        <v>0</v>
      </c>
      <c r="AF787" s="90">
        <f t="shared" si="817"/>
        <v>0</v>
      </c>
      <c r="AG787" s="90">
        <f t="shared" si="818"/>
        <v>0</v>
      </c>
      <c r="AH787" s="90">
        <f t="shared" si="819"/>
        <v>0</v>
      </c>
      <c r="AI787" s="154" t="s">
        <v>61</v>
      </c>
      <c r="AJ787" s="90">
        <f t="shared" si="820"/>
        <v>0</v>
      </c>
      <c r="AK787" s="90">
        <f t="shared" si="821"/>
        <v>0</v>
      </c>
      <c r="AL787" s="90">
        <f t="shared" si="822"/>
        <v>0</v>
      </c>
      <c r="AN787" s="90">
        <v>15</v>
      </c>
      <c r="AO787" s="90">
        <f t="shared" si="823"/>
        <v>0</v>
      </c>
      <c r="AP787" s="90">
        <f t="shared" si="824"/>
        <v>249</v>
      </c>
      <c r="AQ787" s="91" t="s">
        <v>85</v>
      </c>
      <c r="AV787" s="90">
        <f t="shared" si="825"/>
        <v>0</v>
      </c>
      <c r="AW787" s="90">
        <f t="shared" si="826"/>
        <v>0</v>
      </c>
      <c r="AX787" s="90">
        <f t="shared" si="827"/>
        <v>0</v>
      </c>
      <c r="AY787" s="91" t="s">
        <v>643</v>
      </c>
      <c r="AZ787" s="91" t="s">
        <v>1644</v>
      </c>
      <c r="BA787" s="154" t="s">
        <v>1649</v>
      </c>
      <c r="BC787" s="90">
        <f t="shared" si="828"/>
        <v>0</v>
      </c>
      <c r="BD787" s="90">
        <f t="shared" si="829"/>
        <v>249.00000000000003</v>
      </c>
      <c r="BE787" s="90">
        <v>0</v>
      </c>
      <c r="BF787" s="90">
        <f t="shared" si="830"/>
        <v>0</v>
      </c>
      <c r="BH787" s="90">
        <f t="shared" si="831"/>
        <v>0</v>
      </c>
      <c r="BI787" s="90">
        <f t="shared" si="832"/>
        <v>0</v>
      </c>
      <c r="BJ787" s="90">
        <f t="shared" si="833"/>
        <v>0</v>
      </c>
    </row>
    <row r="788" spans="1:62" ht="12.75" hidden="1">
      <c r="A788" s="88" t="s">
        <v>301</v>
      </c>
      <c r="B788" s="88" t="s">
        <v>61</v>
      </c>
      <c r="C788" s="88" t="s">
        <v>1035</v>
      </c>
      <c r="D788" s="88" t="s">
        <v>498</v>
      </c>
      <c r="E788" s="88" t="s">
        <v>606</v>
      </c>
      <c r="F788" s="90"/>
      <c r="G788" s="90">
        <v>200</v>
      </c>
      <c r="H788" s="90">
        <f t="shared" si="808"/>
        <v>0</v>
      </c>
      <c r="I788" s="90">
        <f t="shared" si="809"/>
        <v>0</v>
      </c>
      <c r="J788" s="90">
        <f t="shared" si="810"/>
        <v>0</v>
      </c>
      <c r="K788" s="90">
        <v>0</v>
      </c>
      <c r="L788" s="90">
        <f t="shared" si="811"/>
        <v>0</v>
      </c>
      <c r="M788" s="91" t="s">
        <v>622</v>
      </c>
      <c r="O788" s="90"/>
      <c r="P788" s="90"/>
      <c r="Z788" s="90">
        <f t="shared" si="812"/>
        <v>0</v>
      </c>
      <c r="AB788" s="90">
        <f t="shared" si="813"/>
        <v>0</v>
      </c>
      <c r="AC788" s="90">
        <f t="shared" si="814"/>
        <v>0</v>
      </c>
      <c r="AD788" s="90">
        <f t="shared" si="815"/>
        <v>0</v>
      </c>
      <c r="AE788" s="90">
        <f t="shared" si="816"/>
        <v>0</v>
      </c>
      <c r="AF788" s="90">
        <f t="shared" si="817"/>
        <v>0</v>
      </c>
      <c r="AG788" s="90">
        <f t="shared" si="818"/>
        <v>0</v>
      </c>
      <c r="AH788" s="90">
        <f t="shared" si="819"/>
        <v>0</v>
      </c>
      <c r="AI788" s="154" t="s">
        <v>61</v>
      </c>
      <c r="AJ788" s="90">
        <f t="shared" si="820"/>
        <v>0</v>
      </c>
      <c r="AK788" s="90">
        <f t="shared" si="821"/>
        <v>0</v>
      </c>
      <c r="AL788" s="90">
        <f t="shared" si="822"/>
        <v>0</v>
      </c>
      <c r="AN788" s="90">
        <v>15</v>
      </c>
      <c r="AO788" s="90">
        <f t="shared" si="823"/>
        <v>0</v>
      </c>
      <c r="AP788" s="90">
        <f t="shared" si="824"/>
        <v>200</v>
      </c>
      <c r="AQ788" s="91" t="s">
        <v>85</v>
      </c>
      <c r="AV788" s="90">
        <f t="shared" si="825"/>
        <v>0</v>
      </c>
      <c r="AW788" s="90">
        <f t="shared" si="826"/>
        <v>0</v>
      </c>
      <c r="AX788" s="90">
        <f t="shared" si="827"/>
        <v>0</v>
      </c>
      <c r="AY788" s="91" t="s">
        <v>643</v>
      </c>
      <c r="AZ788" s="91" t="s">
        <v>1644</v>
      </c>
      <c r="BA788" s="154" t="s">
        <v>1649</v>
      </c>
      <c r="BC788" s="90">
        <f t="shared" si="828"/>
        <v>0</v>
      </c>
      <c r="BD788" s="90">
        <f t="shared" si="829"/>
        <v>200</v>
      </c>
      <c r="BE788" s="90">
        <v>0</v>
      </c>
      <c r="BF788" s="90">
        <f t="shared" si="830"/>
        <v>0</v>
      </c>
      <c r="BH788" s="90">
        <f t="shared" si="831"/>
        <v>0</v>
      </c>
      <c r="BI788" s="90">
        <f t="shared" si="832"/>
        <v>0</v>
      </c>
      <c r="BJ788" s="90">
        <f t="shared" si="833"/>
        <v>0</v>
      </c>
    </row>
    <row r="789" spans="1:62" ht="12.75" hidden="1">
      <c r="A789" s="88" t="s">
        <v>2013</v>
      </c>
      <c r="B789" s="88" t="s">
        <v>61</v>
      </c>
      <c r="C789" s="88" t="s">
        <v>1036</v>
      </c>
      <c r="D789" s="88" t="s">
        <v>499</v>
      </c>
      <c r="E789" s="88" t="s">
        <v>606</v>
      </c>
      <c r="F789" s="90"/>
      <c r="G789" s="90">
        <v>200</v>
      </c>
      <c r="H789" s="90">
        <f t="shared" si="808"/>
        <v>0</v>
      </c>
      <c r="I789" s="90">
        <f t="shared" si="809"/>
        <v>0</v>
      </c>
      <c r="J789" s="90">
        <f t="shared" si="810"/>
        <v>0</v>
      </c>
      <c r="K789" s="90">
        <v>0</v>
      </c>
      <c r="L789" s="90">
        <f t="shared" si="811"/>
        <v>0</v>
      </c>
      <c r="M789" s="91" t="s">
        <v>622</v>
      </c>
      <c r="O789" s="90"/>
      <c r="P789" s="90"/>
      <c r="Z789" s="90">
        <f t="shared" si="812"/>
        <v>0</v>
      </c>
      <c r="AB789" s="90">
        <f t="shared" si="813"/>
        <v>0</v>
      </c>
      <c r="AC789" s="90">
        <f t="shared" si="814"/>
        <v>0</v>
      </c>
      <c r="AD789" s="90">
        <f t="shared" si="815"/>
        <v>0</v>
      </c>
      <c r="AE789" s="90">
        <f t="shared" si="816"/>
        <v>0</v>
      </c>
      <c r="AF789" s="90">
        <f t="shared" si="817"/>
        <v>0</v>
      </c>
      <c r="AG789" s="90">
        <f t="shared" si="818"/>
        <v>0</v>
      </c>
      <c r="AH789" s="90">
        <f t="shared" si="819"/>
        <v>0</v>
      </c>
      <c r="AI789" s="154" t="s">
        <v>61</v>
      </c>
      <c r="AJ789" s="90">
        <f t="shared" si="820"/>
        <v>0</v>
      </c>
      <c r="AK789" s="90">
        <f t="shared" si="821"/>
        <v>0</v>
      </c>
      <c r="AL789" s="90">
        <f t="shared" si="822"/>
        <v>0</v>
      </c>
      <c r="AN789" s="90">
        <v>15</v>
      </c>
      <c r="AO789" s="90">
        <f t="shared" si="823"/>
        <v>0</v>
      </c>
      <c r="AP789" s="90">
        <f t="shared" si="824"/>
        <v>200</v>
      </c>
      <c r="AQ789" s="91" t="s">
        <v>85</v>
      </c>
      <c r="AV789" s="90">
        <f t="shared" si="825"/>
        <v>0</v>
      </c>
      <c r="AW789" s="90">
        <f t="shared" si="826"/>
        <v>0</v>
      </c>
      <c r="AX789" s="90">
        <f t="shared" si="827"/>
        <v>0</v>
      </c>
      <c r="AY789" s="91" t="s">
        <v>643</v>
      </c>
      <c r="AZ789" s="91" t="s">
        <v>1644</v>
      </c>
      <c r="BA789" s="154" t="s">
        <v>1649</v>
      </c>
      <c r="BC789" s="90">
        <f t="shared" si="828"/>
        <v>0</v>
      </c>
      <c r="BD789" s="90">
        <f t="shared" si="829"/>
        <v>200</v>
      </c>
      <c r="BE789" s="90">
        <v>0</v>
      </c>
      <c r="BF789" s="90">
        <f t="shared" si="830"/>
        <v>0</v>
      </c>
      <c r="BH789" s="90">
        <f t="shared" si="831"/>
        <v>0</v>
      </c>
      <c r="BI789" s="90">
        <f t="shared" si="832"/>
        <v>0</v>
      </c>
      <c r="BJ789" s="90">
        <f t="shared" si="833"/>
        <v>0</v>
      </c>
    </row>
    <row r="790" spans="1:62" ht="12.75" hidden="1">
      <c r="A790" s="88" t="s">
        <v>2014</v>
      </c>
      <c r="B790" s="88" t="s">
        <v>61</v>
      </c>
      <c r="C790" s="88" t="s">
        <v>1037</v>
      </c>
      <c r="D790" s="88" t="s">
        <v>541</v>
      </c>
      <c r="E790" s="88" t="s">
        <v>606</v>
      </c>
      <c r="F790" s="90"/>
      <c r="G790" s="90">
        <v>250</v>
      </c>
      <c r="H790" s="90">
        <f t="shared" si="808"/>
        <v>0</v>
      </c>
      <c r="I790" s="90">
        <f t="shared" si="809"/>
        <v>0</v>
      </c>
      <c r="J790" s="90">
        <f t="shared" si="810"/>
        <v>0</v>
      </c>
      <c r="K790" s="90">
        <v>0</v>
      </c>
      <c r="L790" s="90">
        <f t="shared" si="811"/>
        <v>0</v>
      </c>
      <c r="M790" s="91" t="s">
        <v>622</v>
      </c>
      <c r="O790" s="90"/>
      <c r="P790" s="90"/>
      <c r="Z790" s="90">
        <f t="shared" si="812"/>
        <v>0</v>
      </c>
      <c r="AB790" s="90">
        <f t="shared" si="813"/>
        <v>0</v>
      </c>
      <c r="AC790" s="90">
        <f t="shared" si="814"/>
        <v>0</v>
      </c>
      <c r="AD790" s="90">
        <f t="shared" si="815"/>
        <v>0</v>
      </c>
      <c r="AE790" s="90">
        <f t="shared" si="816"/>
        <v>0</v>
      </c>
      <c r="AF790" s="90">
        <f t="shared" si="817"/>
        <v>0</v>
      </c>
      <c r="AG790" s="90">
        <f t="shared" si="818"/>
        <v>0</v>
      </c>
      <c r="AH790" s="90">
        <f t="shared" si="819"/>
        <v>0</v>
      </c>
      <c r="AI790" s="154" t="s">
        <v>61</v>
      </c>
      <c r="AJ790" s="90">
        <f t="shared" si="820"/>
        <v>0</v>
      </c>
      <c r="AK790" s="90">
        <f t="shared" si="821"/>
        <v>0</v>
      </c>
      <c r="AL790" s="90">
        <f t="shared" si="822"/>
        <v>0</v>
      </c>
      <c r="AN790" s="90">
        <v>15</v>
      </c>
      <c r="AO790" s="90">
        <f t="shared" si="823"/>
        <v>0</v>
      </c>
      <c r="AP790" s="90">
        <f t="shared" si="824"/>
        <v>250</v>
      </c>
      <c r="AQ790" s="91" t="s">
        <v>85</v>
      </c>
      <c r="AV790" s="90">
        <f t="shared" si="825"/>
        <v>0</v>
      </c>
      <c r="AW790" s="90">
        <f t="shared" si="826"/>
        <v>0</v>
      </c>
      <c r="AX790" s="90">
        <f t="shared" si="827"/>
        <v>0</v>
      </c>
      <c r="AY790" s="91" t="s">
        <v>643</v>
      </c>
      <c r="AZ790" s="91" t="s">
        <v>1644</v>
      </c>
      <c r="BA790" s="154" t="s">
        <v>1649</v>
      </c>
      <c r="BC790" s="90">
        <f t="shared" si="828"/>
        <v>0</v>
      </c>
      <c r="BD790" s="90">
        <f t="shared" si="829"/>
        <v>250</v>
      </c>
      <c r="BE790" s="90">
        <v>0</v>
      </c>
      <c r="BF790" s="90">
        <f t="shared" si="830"/>
        <v>0</v>
      </c>
      <c r="BH790" s="90">
        <f t="shared" si="831"/>
        <v>0</v>
      </c>
      <c r="BI790" s="90">
        <f t="shared" si="832"/>
        <v>0</v>
      </c>
      <c r="BJ790" s="90">
        <f t="shared" si="833"/>
        <v>0</v>
      </c>
    </row>
    <row r="791" spans="1:62" ht="12.75" hidden="1">
      <c r="A791" s="88" t="s">
        <v>2015</v>
      </c>
      <c r="B791" s="88" t="s">
        <v>61</v>
      </c>
      <c r="C791" s="88" t="s">
        <v>1580</v>
      </c>
      <c r="D791" s="88" t="s">
        <v>1331</v>
      </c>
      <c r="E791" s="88" t="s">
        <v>609</v>
      </c>
      <c r="F791" s="90"/>
      <c r="G791" s="90">
        <v>31.4</v>
      </c>
      <c r="H791" s="90">
        <f t="shared" si="808"/>
        <v>0</v>
      </c>
      <c r="I791" s="90">
        <f t="shared" si="809"/>
        <v>0</v>
      </c>
      <c r="J791" s="90">
        <f t="shared" si="810"/>
        <v>0</v>
      </c>
      <c r="K791" s="90">
        <v>0</v>
      </c>
      <c r="L791" s="90">
        <f t="shared" si="811"/>
        <v>0</v>
      </c>
      <c r="M791" s="91" t="s">
        <v>622</v>
      </c>
      <c r="O791" s="90"/>
      <c r="P791" s="90"/>
      <c r="Z791" s="90">
        <f t="shared" si="812"/>
        <v>0</v>
      </c>
      <c r="AB791" s="90">
        <f t="shared" si="813"/>
        <v>0</v>
      </c>
      <c r="AC791" s="90">
        <f t="shared" si="814"/>
        <v>0</v>
      </c>
      <c r="AD791" s="90">
        <f t="shared" si="815"/>
        <v>0</v>
      </c>
      <c r="AE791" s="90">
        <f t="shared" si="816"/>
        <v>0</v>
      </c>
      <c r="AF791" s="90">
        <f t="shared" si="817"/>
        <v>0</v>
      </c>
      <c r="AG791" s="90">
        <f t="shared" si="818"/>
        <v>0</v>
      </c>
      <c r="AH791" s="90">
        <f t="shared" si="819"/>
        <v>0</v>
      </c>
      <c r="AI791" s="154" t="s">
        <v>61</v>
      </c>
      <c r="AJ791" s="90">
        <f t="shared" si="820"/>
        <v>0</v>
      </c>
      <c r="AK791" s="90">
        <f t="shared" si="821"/>
        <v>0</v>
      </c>
      <c r="AL791" s="90">
        <f t="shared" si="822"/>
        <v>0</v>
      </c>
      <c r="AN791" s="90">
        <v>15</v>
      </c>
      <c r="AO791" s="90">
        <f t="shared" si="823"/>
        <v>0</v>
      </c>
      <c r="AP791" s="90">
        <f t="shared" si="824"/>
        <v>31.4</v>
      </c>
      <c r="AQ791" s="91" t="s">
        <v>85</v>
      </c>
      <c r="AV791" s="90">
        <f t="shared" si="825"/>
        <v>0</v>
      </c>
      <c r="AW791" s="90">
        <f t="shared" si="826"/>
        <v>0</v>
      </c>
      <c r="AX791" s="90">
        <f t="shared" si="827"/>
        <v>0</v>
      </c>
      <c r="AY791" s="91" t="s">
        <v>643</v>
      </c>
      <c r="AZ791" s="91" t="s">
        <v>1644</v>
      </c>
      <c r="BA791" s="154" t="s">
        <v>1649</v>
      </c>
      <c r="BC791" s="90">
        <f t="shared" si="828"/>
        <v>0</v>
      </c>
      <c r="BD791" s="90">
        <f t="shared" si="829"/>
        <v>31.4</v>
      </c>
      <c r="BE791" s="90">
        <v>0</v>
      </c>
      <c r="BF791" s="90">
        <f t="shared" si="830"/>
        <v>0</v>
      </c>
      <c r="BH791" s="90">
        <f t="shared" si="831"/>
        <v>0</v>
      </c>
      <c r="BI791" s="90">
        <f t="shared" si="832"/>
        <v>0</v>
      </c>
      <c r="BJ791" s="90">
        <f t="shared" si="833"/>
        <v>0</v>
      </c>
    </row>
    <row r="792" spans="1:62" ht="12.75" hidden="1">
      <c r="A792" s="88" t="s">
        <v>2016</v>
      </c>
      <c r="B792" s="88" t="s">
        <v>61</v>
      </c>
      <c r="C792" s="88" t="s">
        <v>1581</v>
      </c>
      <c r="D792" s="88" t="s">
        <v>1332</v>
      </c>
      <c r="E792" s="88" t="s">
        <v>609</v>
      </c>
      <c r="F792" s="90"/>
      <c r="G792" s="90">
        <v>21.3</v>
      </c>
      <c r="H792" s="90">
        <f t="shared" si="808"/>
        <v>0</v>
      </c>
      <c r="I792" s="90">
        <f t="shared" si="809"/>
        <v>0</v>
      </c>
      <c r="J792" s="90">
        <f t="shared" si="810"/>
        <v>0</v>
      </c>
      <c r="K792" s="90">
        <v>0</v>
      </c>
      <c r="L792" s="90">
        <f t="shared" si="811"/>
        <v>0</v>
      </c>
      <c r="M792" s="91" t="s">
        <v>622</v>
      </c>
      <c r="O792" s="90"/>
      <c r="P792" s="90"/>
      <c r="Z792" s="90">
        <f t="shared" si="812"/>
        <v>0</v>
      </c>
      <c r="AB792" s="90">
        <f t="shared" si="813"/>
        <v>0</v>
      </c>
      <c r="AC792" s="90">
        <f t="shared" si="814"/>
        <v>0</v>
      </c>
      <c r="AD792" s="90">
        <f t="shared" si="815"/>
        <v>0</v>
      </c>
      <c r="AE792" s="90">
        <f t="shared" si="816"/>
        <v>0</v>
      </c>
      <c r="AF792" s="90">
        <f t="shared" si="817"/>
        <v>0</v>
      </c>
      <c r="AG792" s="90">
        <f t="shared" si="818"/>
        <v>0</v>
      </c>
      <c r="AH792" s="90">
        <f t="shared" si="819"/>
        <v>0</v>
      </c>
      <c r="AI792" s="154" t="s">
        <v>61</v>
      </c>
      <c r="AJ792" s="90">
        <f t="shared" si="820"/>
        <v>0</v>
      </c>
      <c r="AK792" s="90">
        <f t="shared" si="821"/>
        <v>0</v>
      </c>
      <c r="AL792" s="90">
        <f t="shared" si="822"/>
        <v>0</v>
      </c>
      <c r="AN792" s="90">
        <v>15</v>
      </c>
      <c r="AO792" s="90">
        <f t="shared" si="823"/>
        <v>0</v>
      </c>
      <c r="AP792" s="90">
        <f t="shared" si="824"/>
        <v>21.3</v>
      </c>
      <c r="AQ792" s="91" t="s">
        <v>85</v>
      </c>
      <c r="AV792" s="90">
        <f t="shared" si="825"/>
        <v>0</v>
      </c>
      <c r="AW792" s="90">
        <f t="shared" si="826"/>
        <v>0</v>
      </c>
      <c r="AX792" s="90">
        <f t="shared" si="827"/>
        <v>0</v>
      </c>
      <c r="AY792" s="91" t="s">
        <v>643</v>
      </c>
      <c r="AZ792" s="91" t="s">
        <v>1644</v>
      </c>
      <c r="BA792" s="154" t="s">
        <v>1649</v>
      </c>
      <c r="BC792" s="90">
        <f t="shared" si="828"/>
        <v>0</v>
      </c>
      <c r="BD792" s="90">
        <f t="shared" si="829"/>
        <v>21.3</v>
      </c>
      <c r="BE792" s="90">
        <v>0</v>
      </c>
      <c r="BF792" s="90">
        <f t="shared" si="830"/>
        <v>0</v>
      </c>
      <c r="BH792" s="90">
        <f t="shared" si="831"/>
        <v>0</v>
      </c>
      <c r="BI792" s="90">
        <f t="shared" si="832"/>
        <v>0</v>
      </c>
      <c r="BJ792" s="90">
        <f t="shared" si="833"/>
        <v>0</v>
      </c>
    </row>
    <row r="793" spans="1:62" ht="12.75" hidden="1">
      <c r="A793" s="88" t="s">
        <v>2017</v>
      </c>
      <c r="B793" s="88" t="s">
        <v>61</v>
      </c>
      <c r="C793" s="88" t="s">
        <v>1582</v>
      </c>
      <c r="D793" s="88" t="s">
        <v>1333</v>
      </c>
      <c r="E793" s="88" t="s">
        <v>609</v>
      </c>
      <c r="F793" s="90"/>
      <c r="G793" s="90">
        <v>30</v>
      </c>
      <c r="H793" s="90">
        <f t="shared" si="808"/>
        <v>0</v>
      </c>
      <c r="I793" s="90">
        <f t="shared" si="809"/>
        <v>0</v>
      </c>
      <c r="J793" s="90">
        <f t="shared" si="810"/>
        <v>0</v>
      </c>
      <c r="K793" s="90">
        <v>0</v>
      </c>
      <c r="L793" s="90">
        <f t="shared" si="811"/>
        <v>0</v>
      </c>
      <c r="M793" s="91" t="s">
        <v>622</v>
      </c>
      <c r="O793" s="90"/>
      <c r="P793" s="90"/>
      <c r="Z793" s="90">
        <f t="shared" si="812"/>
        <v>0</v>
      </c>
      <c r="AB793" s="90">
        <f t="shared" si="813"/>
        <v>0</v>
      </c>
      <c r="AC793" s="90">
        <f t="shared" si="814"/>
        <v>0</v>
      </c>
      <c r="AD793" s="90">
        <f t="shared" si="815"/>
        <v>0</v>
      </c>
      <c r="AE793" s="90">
        <f t="shared" si="816"/>
        <v>0</v>
      </c>
      <c r="AF793" s="90">
        <f t="shared" si="817"/>
        <v>0</v>
      </c>
      <c r="AG793" s="90">
        <f t="shared" si="818"/>
        <v>0</v>
      </c>
      <c r="AH793" s="90">
        <f t="shared" si="819"/>
        <v>0</v>
      </c>
      <c r="AI793" s="154" t="s">
        <v>61</v>
      </c>
      <c r="AJ793" s="90">
        <f t="shared" si="820"/>
        <v>0</v>
      </c>
      <c r="AK793" s="90">
        <f t="shared" si="821"/>
        <v>0</v>
      </c>
      <c r="AL793" s="90">
        <f t="shared" si="822"/>
        <v>0</v>
      </c>
      <c r="AN793" s="90">
        <v>15</v>
      </c>
      <c r="AO793" s="90">
        <f t="shared" si="823"/>
        <v>0</v>
      </c>
      <c r="AP793" s="90">
        <f t="shared" si="824"/>
        <v>30</v>
      </c>
      <c r="AQ793" s="91" t="s">
        <v>85</v>
      </c>
      <c r="AV793" s="90">
        <f t="shared" si="825"/>
        <v>0</v>
      </c>
      <c r="AW793" s="90">
        <f t="shared" si="826"/>
        <v>0</v>
      </c>
      <c r="AX793" s="90">
        <f t="shared" si="827"/>
        <v>0</v>
      </c>
      <c r="AY793" s="91" t="s">
        <v>643</v>
      </c>
      <c r="AZ793" s="91" t="s">
        <v>1644</v>
      </c>
      <c r="BA793" s="154" t="s">
        <v>1649</v>
      </c>
      <c r="BC793" s="90">
        <f t="shared" si="828"/>
        <v>0</v>
      </c>
      <c r="BD793" s="90">
        <f t="shared" si="829"/>
        <v>30</v>
      </c>
      <c r="BE793" s="90">
        <v>0</v>
      </c>
      <c r="BF793" s="90">
        <f t="shared" si="830"/>
        <v>0</v>
      </c>
      <c r="BH793" s="90">
        <f t="shared" si="831"/>
        <v>0</v>
      </c>
      <c r="BI793" s="90">
        <f t="shared" si="832"/>
        <v>0</v>
      </c>
      <c r="BJ793" s="90">
        <f t="shared" si="833"/>
        <v>0</v>
      </c>
    </row>
    <row r="794" spans="1:62" ht="12.75" hidden="1">
      <c r="A794" s="88" t="s">
        <v>314</v>
      </c>
      <c r="B794" s="88" t="s">
        <v>61</v>
      </c>
      <c r="C794" s="88" t="s">
        <v>1583</v>
      </c>
      <c r="D794" s="88" t="s">
        <v>489</v>
      </c>
      <c r="E794" s="88" t="s">
        <v>606</v>
      </c>
      <c r="F794" s="90"/>
      <c r="G794" s="90">
        <v>500</v>
      </c>
      <c r="H794" s="90">
        <f t="shared" si="808"/>
        <v>0</v>
      </c>
      <c r="I794" s="90">
        <f t="shared" si="809"/>
        <v>0</v>
      </c>
      <c r="J794" s="90">
        <f t="shared" si="810"/>
        <v>0</v>
      </c>
      <c r="K794" s="90">
        <v>0</v>
      </c>
      <c r="L794" s="90">
        <f t="shared" si="811"/>
        <v>0</v>
      </c>
      <c r="M794" s="91" t="s">
        <v>622</v>
      </c>
      <c r="O794" s="90"/>
      <c r="P794" s="90"/>
      <c r="Z794" s="90">
        <f t="shared" si="812"/>
        <v>0</v>
      </c>
      <c r="AB794" s="90">
        <f t="shared" si="813"/>
        <v>0</v>
      </c>
      <c r="AC794" s="90">
        <f t="shared" si="814"/>
        <v>0</v>
      </c>
      <c r="AD794" s="90">
        <f t="shared" si="815"/>
        <v>0</v>
      </c>
      <c r="AE794" s="90">
        <f t="shared" si="816"/>
        <v>0</v>
      </c>
      <c r="AF794" s="90">
        <f t="shared" si="817"/>
        <v>0</v>
      </c>
      <c r="AG794" s="90">
        <f t="shared" si="818"/>
        <v>0</v>
      </c>
      <c r="AH794" s="90">
        <f t="shared" si="819"/>
        <v>0</v>
      </c>
      <c r="AI794" s="154" t="s">
        <v>61</v>
      </c>
      <c r="AJ794" s="90">
        <f t="shared" si="820"/>
        <v>0</v>
      </c>
      <c r="AK794" s="90">
        <f t="shared" si="821"/>
        <v>0</v>
      </c>
      <c r="AL794" s="90">
        <f t="shared" si="822"/>
        <v>0</v>
      </c>
      <c r="AN794" s="90">
        <v>15</v>
      </c>
      <c r="AO794" s="90">
        <f t="shared" si="823"/>
        <v>0</v>
      </c>
      <c r="AP794" s="90">
        <f t="shared" si="824"/>
        <v>500</v>
      </c>
      <c r="AQ794" s="91" t="s">
        <v>85</v>
      </c>
      <c r="AV794" s="90">
        <f t="shared" si="825"/>
        <v>0</v>
      </c>
      <c r="AW794" s="90">
        <f t="shared" si="826"/>
        <v>0</v>
      </c>
      <c r="AX794" s="90">
        <f t="shared" si="827"/>
        <v>0</v>
      </c>
      <c r="AY794" s="91" t="s">
        <v>643</v>
      </c>
      <c r="AZ794" s="91" t="s">
        <v>1644</v>
      </c>
      <c r="BA794" s="154" t="s">
        <v>1649</v>
      </c>
      <c r="BC794" s="90">
        <f t="shared" si="828"/>
        <v>0</v>
      </c>
      <c r="BD794" s="90">
        <f t="shared" si="829"/>
        <v>500</v>
      </c>
      <c r="BE794" s="90">
        <v>0</v>
      </c>
      <c r="BF794" s="90">
        <f t="shared" si="830"/>
        <v>0</v>
      </c>
      <c r="BH794" s="90">
        <f t="shared" si="831"/>
        <v>0</v>
      </c>
      <c r="BI794" s="90">
        <f t="shared" si="832"/>
        <v>0</v>
      </c>
      <c r="BJ794" s="90">
        <f t="shared" si="833"/>
        <v>0</v>
      </c>
    </row>
    <row r="795" spans="1:62" ht="12.75" hidden="1">
      <c r="A795" s="88" t="s">
        <v>2018</v>
      </c>
      <c r="B795" s="88" t="s">
        <v>61</v>
      </c>
      <c r="C795" s="88" t="s">
        <v>1584</v>
      </c>
      <c r="D795" s="88" t="s">
        <v>490</v>
      </c>
      <c r="E795" s="88" t="s">
        <v>606</v>
      </c>
      <c r="F795" s="90"/>
      <c r="G795" s="90">
        <v>500</v>
      </c>
      <c r="H795" s="90">
        <f t="shared" si="808"/>
        <v>0</v>
      </c>
      <c r="I795" s="90">
        <f t="shared" si="809"/>
        <v>0</v>
      </c>
      <c r="J795" s="90">
        <f t="shared" si="810"/>
        <v>0</v>
      </c>
      <c r="K795" s="90">
        <v>0</v>
      </c>
      <c r="L795" s="90">
        <f t="shared" si="811"/>
        <v>0</v>
      </c>
      <c r="M795" s="91" t="s">
        <v>622</v>
      </c>
      <c r="O795" s="90"/>
      <c r="P795" s="90"/>
      <c r="Z795" s="90">
        <f t="shared" si="812"/>
        <v>0</v>
      </c>
      <c r="AB795" s="90">
        <f t="shared" si="813"/>
        <v>0</v>
      </c>
      <c r="AC795" s="90">
        <f t="shared" si="814"/>
        <v>0</v>
      </c>
      <c r="AD795" s="90">
        <f t="shared" si="815"/>
        <v>0</v>
      </c>
      <c r="AE795" s="90">
        <f t="shared" si="816"/>
        <v>0</v>
      </c>
      <c r="AF795" s="90">
        <f t="shared" si="817"/>
        <v>0</v>
      </c>
      <c r="AG795" s="90">
        <f t="shared" si="818"/>
        <v>0</v>
      </c>
      <c r="AH795" s="90">
        <f t="shared" si="819"/>
        <v>0</v>
      </c>
      <c r="AI795" s="154" t="s">
        <v>61</v>
      </c>
      <c r="AJ795" s="90">
        <f t="shared" si="820"/>
        <v>0</v>
      </c>
      <c r="AK795" s="90">
        <f t="shared" si="821"/>
        <v>0</v>
      </c>
      <c r="AL795" s="90">
        <f t="shared" si="822"/>
        <v>0</v>
      </c>
      <c r="AN795" s="90">
        <v>15</v>
      </c>
      <c r="AO795" s="90">
        <f t="shared" si="823"/>
        <v>0</v>
      </c>
      <c r="AP795" s="90">
        <f t="shared" si="824"/>
        <v>500</v>
      </c>
      <c r="AQ795" s="91" t="s">
        <v>85</v>
      </c>
      <c r="AV795" s="90">
        <f t="shared" si="825"/>
        <v>0</v>
      </c>
      <c r="AW795" s="90">
        <f t="shared" si="826"/>
        <v>0</v>
      </c>
      <c r="AX795" s="90">
        <f t="shared" si="827"/>
        <v>0</v>
      </c>
      <c r="AY795" s="91" t="s">
        <v>643</v>
      </c>
      <c r="AZ795" s="91" t="s">
        <v>1644</v>
      </c>
      <c r="BA795" s="154" t="s">
        <v>1649</v>
      </c>
      <c r="BC795" s="90">
        <f t="shared" si="828"/>
        <v>0</v>
      </c>
      <c r="BD795" s="90">
        <f t="shared" si="829"/>
        <v>500</v>
      </c>
      <c r="BE795" s="90">
        <v>0</v>
      </c>
      <c r="BF795" s="90">
        <f t="shared" si="830"/>
        <v>0</v>
      </c>
      <c r="BH795" s="90">
        <f t="shared" si="831"/>
        <v>0</v>
      </c>
      <c r="BI795" s="90">
        <f t="shared" si="832"/>
        <v>0</v>
      </c>
      <c r="BJ795" s="90">
        <f t="shared" si="833"/>
        <v>0</v>
      </c>
    </row>
    <row r="796" spans="1:62" ht="12.75" hidden="1">
      <c r="A796" s="88" t="s">
        <v>317</v>
      </c>
      <c r="B796" s="88" t="s">
        <v>61</v>
      </c>
      <c r="C796" s="88" t="s">
        <v>1585</v>
      </c>
      <c r="D796" s="88" t="s">
        <v>491</v>
      </c>
      <c r="E796" s="88" t="s">
        <v>606</v>
      </c>
      <c r="F796" s="90"/>
      <c r="G796" s="90">
        <v>500</v>
      </c>
      <c r="H796" s="90">
        <f t="shared" si="808"/>
        <v>0</v>
      </c>
      <c r="I796" s="90">
        <f t="shared" si="809"/>
        <v>0</v>
      </c>
      <c r="J796" s="90">
        <f t="shared" si="810"/>
        <v>0</v>
      </c>
      <c r="K796" s="90">
        <v>0</v>
      </c>
      <c r="L796" s="90">
        <f t="shared" si="811"/>
        <v>0</v>
      </c>
      <c r="M796" s="91" t="s">
        <v>622</v>
      </c>
      <c r="O796" s="90"/>
      <c r="P796" s="90"/>
      <c r="Z796" s="90">
        <f t="shared" si="812"/>
        <v>0</v>
      </c>
      <c r="AB796" s="90">
        <f t="shared" si="813"/>
        <v>0</v>
      </c>
      <c r="AC796" s="90">
        <f t="shared" si="814"/>
        <v>0</v>
      </c>
      <c r="AD796" s="90">
        <f t="shared" si="815"/>
        <v>0</v>
      </c>
      <c r="AE796" s="90">
        <f t="shared" si="816"/>
        <v>0</v>
      </c>
      <c r="AF796" s="90">
        <f t="shared" si="817"/>
        <v>0</v>
      </c>
      <c r="AG796" s="90">
        <f t="shared" si="818"/>
        <v>0</v>
      </c>
      <c r="AH796" s="90">
        <f t="shared" si="819"/>
        <v>0</v>
      </c>
      <c r="AI796" s="154" t="s">
        <v>61</v>
      </c>
      <c r="AJ796" s="90">
        <f t="shared" si="820"/>
        <v>0</v>
      </c>
      <c r="AK796" s="90">
        <f t="shared" si="821"/>
        <v>0</v>
      </c>
      <c r="AL796" s="90">
        <f t="shared" si="822"/>
        <v>0</v>
      </c>
      <c r="AN796" s="90">
        <v>15</v>
      </c>
      <c r="AO796" s="90">
        <f t="shared" si="823"/>
        <v>0</v>
      </c>
      <c r="AP796" s="90">
        <f t="shared" si="824"/>
        <v>500</v>
      </c>
      <c r="AQ796" s="91" t="s">
        <v>85</v>
      </c>
      <c r="AV796" s="90">
        <f t="shared" si="825"/>
        <v>0</v>
      </c>
      <c r="AW796" s="90">
        <f t="shared" si="826"/>
        <v>0</v>
      </c>
      <c r="AX796" s="90">
        <f t="shared" si="827"/>
        <v>0</v>
      </c>
      <c r="AY796" s="91" t="s">
        <v>643</v>
      </c>
      <c r="AZ796" s="91" t="s">
        <v>1644</v>
      </c>
      <c r="BA796" s="154" t="s">
        <v>1649</v>
      </c>
      <c r="BC796" s="90">
        <f t="shared" si="828"/>
        <v>0</v>
      </c>
      <c r="BD796" s="90">
        <f t="shared" si="829"/>
        <v>500</v>
      </c>
      <c r="BE796" s="90">
        <v>0</v>
      </c>
      <c r="BF796" s="90">
        <f t="shared" si="830"/>
        <v>0</v>
      </c>
      <c r="BH796" s="90">
        <f t="shared" si="831"/>
        <v>0</v>
      </c>
      <c r="BI796" s="90">
        <f t="shared" si="832"/>
        <v>0</v>
      </c>
      <c r="BJ796" s="90">
        <f t="shared" si="833"/>
        <v>0</v>
      </c>
    </row>
    <row r="797" spans="1:62" ht="12.75" hidden="1">
      <c r="A797" s="88" t="s">
        <v>2019</v>
      </c>
      <c r="B797" s="88" t="s">
        <v>61</v>
      </c>
      <c r="C797" s="88" t="s">
        <v>1586</v>
      </c>
      <c r="D797" s="88" t="s">
        <v>492</v>
      </c>
      <c r="E797" s="88" t="s">
        <v>606</v>
      </c>
      <c r="F797" s="90"/>
      <c r="G797" s="90">
        <v>500</v>
      </c>
      <c r="H797" s="90">
        <f t="shared" si="808"/>
        <v>0</v>
      </c>
      <c r="I797" s="90">
        <f t="shared" si="809"/>
        <v>0</v>
      </c>
      <c r="J797" s="90">
        <f t="shared" si="810"/>
        <v>0</v>
      </c>
      <c r="K797" s="90">
        <v>0</v>
      </c>
      <c r="L797" s="90">
        <f t="shared" si="811"/>
        <v>0</v>
      </c>
      <c r="M797" s="91" t="s">
        <v>622</v>
      </c>
      <c r="O797" s="90"/>
      <c r="P797" s="90"/>
      <c r="Z797" s="90">
        <f t="shared" si="812"/>
        <v>0</v>
      </c>
      <c r="AB797" s="90">
        <f t="shared" si="813"/>
        <v>0</v>
      </c>
      <c r="AC797" s="90">
        <f t="shared" si="814"/>
        <v>0</v>
      </c>
      <c r="AD797" s="90">
        <f t="shared" si="815"/>
        <v>0</v>
      </c>
      <c r="AE797" s="90">
        <f t="shared" si="816"/>
        <v>0</v>
      </c>
      <c r="AF797" s="90">
        <f t="shared" si="817"/>
        <v>0</v>
      </c>
      <c r="AG797" s="90">
        <f t="shared" si="818"/>
        <v>0</v>
      </c>
      <c r="AH797" s="90">
        <f t="shared" si="819"/>
        <v>0</v>
      </c>
      <c r="AI797" s="154" t="s">
        <v>61</v>
      </c>
      <c r="AJ797" s="90">
        <f t="shared" si="820"/>
        <v>0</v>
      </c>
      <c r="AK797" s="90">
        <f t="shared" si="821"/>
        <v>0</v>
      </c>
      <c r="AL797" s="90">
        <f t="shared" si="822"/>
        <v>0</v>
      </c>
      <c r="AN797" s="90">
        <v>15</v>
      </c>
      <c r="AO797" s="90">
        <f t="shared" si="823"/>
        <v>0</v>
      </c>
      <c r="AP797" s="90">
        <f t="shared" si="824"/>
        <v>500</v>
      </c>
      <c r="AQ797" s="91" t="s">
        <v>85</v>
      </c>
      <c r="AV797" s="90">
        <f t="shared" si="825"/>
        <v>0</v>
      </c>
      <c r="AW797" s="90">
        <f t="shared" si="826"/>
        <v>0</v>
      </c>
      <c r="AX797" s="90">
        <f t="shared" si="827"/>
        <v>0</v>
      </c>
      <c r="AY797" s="91" t="s">
        <v>643</v>
      </c>
      <c r="AZ797" s="91" t="s">
        <v>1644</v>
      </c>
      <c r="BA797" s="154" t="s">
        <v>1649</v>
      </c>
      <c r="BC797" s="90">
        <f t="shared" si="828"/>
        <v>0</v>
      </c>
      <c r="BD797" s="90">
        <f t="shared" si="829"/>
        <v>500</v>
      </c>
      <c r="BE797" s="90">
        <v>0</v>
      </c>
      <c r="BF797" s="90">
        <f t="shared" si="830"/>
        <v>0</v>
      </c>
      <c r="BH797" s="90">
        <f t="shared" si="831"/>
        <v>0</v>
      </c>
      <c r="BI797" s="90">
        <f t="shared" si="832"/>
        <v>0</v>
      </c>
      <c r="BJ797" s="90">
        <f t="shared" si="833"/>
        <v>0</v>
      </c>
    </row>
    <row r="798" spans="1:62" ht="12.75" hidden="1">
      <c r="A798" s="88" t="s">
        <v>2020</v>
      </c>
      <c r="B798" s="88" t="s">
        <v>61</v>
      </c>
      <c r="C798" s="88" t="s">
        <v>1587</v>
      </c>
      <c r="D798" s="88" t="s">
        <v>493</v>
      </c>
      <c r="E798" s="88" t="s">
        <v>606</v>
      </c>
      <c r="F798" s="90"/>
      <c r="G798" s="90">
        <v>500</v>
      </c>
      <c r="H798" s="90">
        <f t="shared" si="808"/>
        <v>0</v>
      </c>
      <c r="I798" s="90">
        <f t="shared" si="809"/>
        <v>0</v>
      </c>
      <c r="J798" s="90">
        <f t="shared" si="810"/>
        <v>0</v>
      </c>
      <c r="K798" s="90">
        <v>0</v>
      </c>
      <c r="L798" s="90">
        <f t="shared" si="811"/>
        <v>0</v>
      </c>
      <c r="M798" s="91" t="s">
        <v>622</v>
      </c>
      <c r="O798" s="90"/>
      <c r="P798" s="90"/>
      <c r="Z798" s="90">
        <f t="shared" si="812"/>
        <v>0</v>
      </c>
      <c r="AB798" s="90">
        <f t="shared" si="813"/>
        <v>0</v>
      </c>
      <c r="AC798" s="90">
        <f t="shared" si="814"/>
        <v>0</v>
      </c>
      <c r="AD798" s="90">
        <f t="shared" si="815"/>
        <v>0</v>
      </c>
      <c r="AE798" s="90">
        <f t="shared" si="816"/>
        <v>0</v>
      </c>
      <c r="AF798" s="90">
        <f t="shared" si="817"/>
        <v>0</v>
      </c>
      <c r="AG798" s="90">
        <f t="shared" si="818"/>
        <v>0</v>
      </c>
      <c r="AH798" s="90">
        <f t="shared" si="819"/>
        <v>0</v>
      </c>
      <c r="AI798" s="154" t="s">
        <v>61</v>
      </c>
      <c r="AJ798" s="90">
        <f t="shared" si="820"/>
        <v>0</v>
      </c>
      <c r="AK798" s="90">
        <f t="shared" si="821"/>
        <v>0</v>
      </c>
      <c r="AL798" s="90">
        <f t="shared" si="822"/>
        <v>0</v>
      </c>
      <c r="AN798" s="90">
        <v>15</v>
      </c>
      <c r="AO798" s="90">
        <f t="shared" si="823"/>
        <v>0</v>
      </c>
      <c r="AP798" s="90">
        <f t="shared" si="824"/>
        <v>500</v>
      </c>
      <c r="AQ798" s="91" t="s">
        <v>85</v>
      </c>
      <c r="AV798" s="90">
        <f t="shared" si="825"/>
        <v>0</v>
      </c>
      <c r="AW798" s="90">
        <f t="shared" si="826"/>
        <v>0</v>
      </c>
      <c r="AX798" s="90">
        <f t="shared" si="827"/>
        <v>0</v>
      </c>
      <c r="AY798" s="91" t="s">
        <v>643</v>
      </c>
      <c r="AZ798" s="91" t="s">
        <v>1644</v>
      </c>
      <c r="BA798" s="154" t="s">
        <v>1649</v>
      </c>
      <c r="BC798" s="90">
        <f t="shared" si="828"/>
        <v>0</v>
      </c>
      <c r="BD798" s="90">
        <f t="shared" si="829"/>
        <v>500</v>
      </c>
      <c r="BE798" s="90">
        <v>0</v>
      </c>
      <c r="BF798" s="90">
        <f t="shared" si="830"/>
        <v>0</v>
      </c>
      <c r="BH798" s="90">
        <f t="shared" si="831"/>
        <v>0</v>
      </c>
      <c r="BI798" s="90">
        <f t="shared" si="832"/>
        <v>0</v>
      </c>
      <c r="BJ798" s="90">
        <f t="shared" si="833"/>
        <v>0</v>
      </c>
    </row>
    <row r="799" spans="1:47" ht="12.75" hidden="1">
      <c r="A799" s="159"/>
      <c r="B799" s="160" t="s">
        <v>61</v>
      </c>
      <c r="C799" s="160" t="s">
        <v>314</v>
      </c>
      <c r="D799" s="160" t="s">
        <v>503</v>
      </c>
      <c r="E799" s="159" t="s">
        <v>57</v>
      </c>
      <c r="F799" s="159"/>
      <c r="G799" s="159" t="s">
        <v>57</v>
      </c>
      <c r="H799" s="161">
        <f>SUM(H800:H803)</f>
        <v>0</v>
      </c>
      <c r="I799" s="161">
        <f>SUM(I800:I803)</f>
        <v>0</v>
      </c>
      <c r="J799" s="161">
        <f>SUM(J800:J803)</f>
        <v>0</v>
      </c>
      <c r="K799" s="154"/>
      <c r="L799" s="161">
        <f>SUM(L800:L803)</f>
        <v>0</v>
      </c>
      <c r="M799" s="154"/>
      <c r="O799" s="159"/>
      <c r="P799" s="159"/>
      <c r="AI799" s="154" t="s">
        <v>61</v>
      </c>
      <c r="AS799" s="161">
        <f>SUM(AJ800:AJ803)</f>
        <v>0</v>
      </c>
      <c r="AT799" s="161">
        <f>SUM(AK800:AK803)</f>
        <v>0</v>
      </c>
      <c r="AU799" s="161">
        <f>SUM(AL800:AL803)</f>
        <v>0</v>
      </c>
    </row>
    <row r="800" spans="1:62" ht="12.75" hidden="1">
      <c r="A800" s="88" t="s">
        <v>2021</v>
      </c>
      <c r="B800" s="88" t="s">
        <v>61</v>
      </c>
      <c r="C800" s="88" t="s">
        <v>179</v>
      </c>
      <c r="D800" s="88" t="s">
        <v>1626</v>
      </c>
      <c r="E800" s="88" t="s">
        <v>606</v>
      </c>
      <c r="F800" s="90"/>
      <c r="G800" s="90">
        <v>350</v>
      </c>
      <c r="H800" s="90">
        <f>F800*AO800</f>
        <v>0</v>
      </c>
      <c r="I800" s="90">
        <f>F800*AP800</f>
        <v>0</v>
      </c>
      <c r="J800" s="90">
        <f>F800*G800</f>
        <v>0</v>
      </c>
      <c r="K800" s="90">
        <v>0</v>
      </c>
      <c r="L800" s="90">
        <f>F800*K800</f>
        <v>0</v>
      </c>
      <c r="M800" s="91" t="s">
        <v>622</v>
      </c>
      <c r="O800" s="90"/>
      <c r="P800" s="90"/>
      <c r="Z800" s="90">
        <f>IF(AQ800="5",BJ800,0)</f>
        <v>0</v>
      </c>
      <c r="AB800" s="90">
        <f>IF(AQ800="1",BH800,0)</f>
        <v>0</v>
      </c>
      <c r="AC800" s="90">
        <f>IF(AQ800="1",BI800,0)</f>
        <v>0</v>
      </c>
      <c r="AD800" s="90">
        <f>IF(AQ800="7",BH800,0)</f>
        <v>0</v>
      </c>
      <c r="AE800" s="90">
        <f>IF(AQ800="7",BI800,0)</f>
        <v>0</v>
      </c>
      <c r="AF800" s="90">
        <f>IF(AQ800="2",BH800,0)</f>
        <v>0</v>
      </c>
      <c r="AG800" s="90">
        <f>IF(AQ800="2",BI800,0)</f>
        <v>0</v>
      </c>
      <c r="AH800" s="90">
        <f>IF(AQ800="0",BJ800,0)</f>
        <v>0</v>
      </c>
      <c r="AI800" s="154" t="s">
        <v>61</v>
      </c>
      <c r="AJ800" s="90">
        <f>IF(AN800=0,J800,0)</f>
        <v>0</v>
      </c>
      <c r="AK800" s="90">
        <f>IF(AN800=15,J800,0)</f>
        <v>0</v>
      </c>
      <c r="AL800" s="90">
        <f>IF(AN800=21,J800,0)</f>
        <v>0</v>
      </c>
      <c r="AN800" s="90">
        <v>15</v>
      </c>
      <c r="AO800" s="90">
        <f>G800*0</f>
        <v>0</v>
      </c>
      <c r="AP800" s="90">
        <f>G800*(1-0)</f>
        <v>350</v>
      </c>
      <c r="AQ800" s="91" t="s">
        <v>85</v>
      </c>
      <c r="AV800" s="90">
        <f>AW800+AX800</f>
        <v>0</v>
      </c>
      <c r="AW800" s="90">
        <f>F800*AO800</f>
        <v>0</v>
      </c>
      <c r="AX800" s="90">
        <f>F800*AP800</f>
        <v>0</v>
      </c>
      <c r="AY800" s="91" t="s">
        <v>644</v>
      </c>
      <c r="AZ800" s="91" t="s">
        <v>1644</v>
      </c>
      <c r="BA800" s="154" t="s">
        <v>1649</v>
      </c>
      <c r="BC800" s="90">
        <f>AW800+AX800</f>
        <v>0</v>
      </c>
      <c r="BD800" s="90">
        <f>G800/(100-BE800)*100</f>
        <v>350</v>
      </c>
      <c r="BE800" s="90">
        <v>0</v>
      </c>
      <c r="BF800" s="90">
        <f>L800</f>
        <v>0</v>
      </c>
      <c r="BH800" s="90">
        <f>F800*AO800</f>
        <v>0</v>
      </c>
      <c r="BI800" s="90">
        <f>F800*AP800</f>
        <v>0</v>
      </c>
      <c r="BJ800" s="90">
        <f>F800*G800</f>
        <v>0</v>
      </c>
    </row>
    <row r="801" spans="1:62" ht="12.75" hidden="1">
      <c r="A801" s="88" t="s">
        <v>2022</v>
      </c>
      <c r="B801" s="88" t="s">
        <v>61</v>
      </c>
      <c r="C801" s="88" t="s">
        <v>180</v>
      </c>
      <c r="D801" s="88" t="s">
        <v>505</v>
      </c>
      <c r="E801" s="88" t="s">
        <v>609</v>
      </c>
      <c r="F801" s="90"/>
      <c r="G801" s="90">
        <v>50</v>
      </c>
      <c r="H801" s="90">
        <f>F801*AO801</f>
        <v>0</v>
      </c>
      <c r="I801" s="90">
        <f>F801*AP801</f>
        <v>0</v>
      </c>
      <c r="J801" s="90">
        <f>F801*G801</f>
        <v>0</v>
      </c>
      <c r="K801" s="90">
        <v>0</v>
      </c>
      <c r="L801" s="90">
        <f>F801*K801</f>
        <v>0</v>
      </c>
      <c r="M801" s="91" t="s">
        <v>622</v>
      </c>
      <c r="O801" s="90"/>
      <c r="P801" s="90"/>
      <c r="Z801" s="90">
        <f>IF(AQ801="5",BJ801,0)</f>
        <v>0</v>
      </c>
      <c r="AB801" s="90">
        <f>IF(AQ801="1",BH801,0)</f>
        <v>0</v>
      </c>
      <c r="AC801" s="90">
        <f>IF(AQ801="1",BI801,0)</f>
        <v>0</v>
      </c>
      <c r="AD801" s="90">
        <f>IF(AQ801="7",BH801,0)</f>
        <v>0</v>
      </c>
      <c r="AE801" s="90">
        <f>IF(AQ801="7",BI801,0)</f>
        <v>0</v>
      </c>
      <c r="AF801" s="90">
        <f>IF(AQ801="2",BH801,0)</f>
        <v>0</v>
      </c>
      <c r="AG801" s="90">
        <f>IF(AQ801="2",BI801,0)</f>
        <v>0</v>
      </c>
      <c r="AH801" s="90">
        <f>IF(AQ801="0",BJ801,0)</f>
        <v>0</v>
      </c>
      <c r="AI801" s="154" t="s">
        <v>61</v>
      </c>
      <c r="AJ801" s="90">
        <f>IF(AN801=0,J801,0)</f>
        <v>0</v>
      </c>
      <c r="AK801" s="90">
        <f>IF(AN801=15,J801,0)</f>
        <v>0</v>
      </c>
      <c r="AL801" s="90">
        <f>IF(AN801=21,J801,0)</f>
        <v>0</v>
      </c>
      <c r="AN801" s="90">
        <v>15</v>
      </c>
      <c r="AO801" s="90">
        <f>G801*0</f>
        <v>0</v>
      </c>
      <c r="AP801" s="90">
        <f>G801*(1-0)</f>
        <v>50</v>
      </c>
      <c r="AQ801" s="91" t="s">
        <v>85</v>
      </c>
      <c r="AV801" s="90">
        <f>AW801+AX801</f>
        <v>0</v>
      </c>
      <c r="AW801" s="90">
        <f>F801*AO801</f>
        <v>0</v>
      </c>
      <c r="AX801" s="90">
        <f>F801*AP801</f>
        <v>0</v>
      </c>
      <c r="AY801" s="91" t="s">
        <v>644</v>
      </c>
      <c r="AZ801" s="91" t="s">
        <v>1644</v>
      </c>
      <c r="BA801" s="154" t="s">
        <v>1649</v>
      </c>
      <c r="BC801" s="90">
        <f>AW801+AX801</f>
        <v>0</v>
      </c>
      <c r="BD801" s="90">
        <f>G801/(100-BE801)*100</f>
        <v>50</v>
      </c>
      <c r="BE801" s="90">
        <v>0</v>
      </c>
      <c r="BF801" s="90">
        <f>L801</f>
        <v>0</v>
      </c>
      <c r="BH801" s="90">
        <f>F801*AO801</f>
        <v>0</v>
      </c>
      <c r="BI801" s="90">
        <f>F801*AP801</f>
        <v>0</v>
      </c>
      <c r="BJ801" s="90">
        <f>F801*G801</f>
        <v>0</v>
      </c>
    </row>
    <row r="802" spans="1:62" ht="12.75" hidden="1">
      <c r="A802" s="88" t="s">
        <v>2023</v>
      </c>
      <c r="B802" s="88" t="s">
        <v>61</v>
      </c>
      <c r="C802" s="88" t="s">
        <v>315</v>
      </c>
      <c r="D802" s="88" t="s">
        <v>501</v>
      </c>
      <c r="E802" s="88" t="s">
        <v>611</v>
      </c>
      <c r="F802" s="90"/>
      <c r="G802" s="90">
        <v>100</v>
      </c>
      <c r="H802" s="90">
        <f>F802*AO802</f>
        <v>0</v>
      </c>
      <c r="I802" s="90">
        <f>F802*AP802</f>
        <v>0</v>
      </c>
      <c r="J802" s="90">
        <f>F802*G802</f>
        <v>0</v>
      </c>
      <c r="K802" s="90">
        <v>0</v>
      </c>
      <c r="L802" s="90">
        <f>F802*K802</f>
        <v>0</v>
      </c>
      <c r="M802" s="91" t="s">
        <v>622</v>
      </c>
      <c r="O802" s="90"/>
      <c r="P802" s="90"/>
      <c r="Z802" s="90">
        <f>IF(AQ802="5",BJ802,0)</f>
        <v>0</v>
      </c>
      <c r="AB802" s="90">
        <f>IF(AQ802="1",BH802,0)</f>
        <v>0</v>
      </c>
      <c r="AC802" s="90">
        <f>IF(AQ802="1",BI802,0)</f>
        <v>0</v>
      </c>
      <c r="AD802" s="90">
        <f>IF(AQ802="7",BH802,0)</f>
        <v>0</v>
      </c>
      <c r="AE802" s="90">
        <f>IF(AQ802="7",BI802,0)</f>
        <v>0</v>
      </c>
      <c r="AF802" s="90">
        <f>IF(AQ802="2",BH802,0)</f>
        <v>0</v>
      </c>
      <c r="AG802" s="90">
        <f>IF(AQ802="2",BI802,0)</f>
        <v>0</v>
      </c>
      <c r="AH802" s="90">
        <f>IF(AQ802="0",BJ802,0)</f>
        <v>0</v>
      </c>
      <c r="AI802" s="154" t="s">
        <v>61</v>
      </c>
      <c r="AJ802" s="90">
        <f>IF(AN802=0,J802,0)</f>
        <v>0</v>
      </c>
      <c r="AK802" s="90">
        <f>IF(AN802=15,J802,0)</f>
        <v>0</v>
      </c>
      <c r="AL802" s="90">
        <f>IF(AN802=21,J802,0)</f>
        <v>0</v>
      </c>
      <c r="AN802" s="90">
        <v>15</v>
      </c>
      <c r="AO802" s="90">
        <f>G802*0</f>
        <v>0</v>
      </c>
      <c r="AP802" s="90">
        <f>G802*(1-0)</f>
        <v>100</v>
      </c>
      <c r="AQ802" s="91" t="s">
        <v>85</v>
      </c>
      <c r="AV802" s="90">
        <f>AW802+AX802</f>
        <v>0</v>
      </c>
      <c r="AW802" s="90">
        <f>F802*AO802</f>
        <v>0</v>
      </c>
      <c r="AX802" s="90">
        <f>F802*AP802</f>
        <v>0</v>
      </c>
      <c r="AY802" s="91" t="s">
        <v>644</v>
      </c>
      <c r="AZ802" s="91" t="s">
        <v>1644</v>
      </c>
      <c r="BA802" s="154" t="s">
        <v>1649</v>
      </c>
      <c r="BC802" s="90">
        <f>AW802+AX802</f>
        <v>0</v>
      </c>
      <c r="BD802" s="90">
        <f>G802/(100-BE802)*100</f>
        <v>100</v>
      </c>
      <c r="BE802" s="90">
        <v>0</v>
      </c>
      <c r="BF802" s="90">
        <f>L802</f>
        <v>0</v>
      </c>
      <c r="BH802" s="90">
        <f>F802*AO802</f>
        <v>0</v>
      </c>
      <c r="BI802" s="90">
        <f>F802*AP802</f>
        <v>0</v>
      </c>
      <c r="BJ802" s="90">
        <f>F802*G802</f>
        <v>0</v>
      </c>
    </row>
    <row r="803" spans="1:62" ht="12.75" hidden="1">
      <c r="A803" s="88" t="s">
        <v>2024</v>
      </c>
      <c r="B803" s="88" t="s">
        <v>61</v>
      </c>
      <c r="C803" s="88" t="s">
        <v>316</v>
      </c>
      <c r="D803" s="88" t="s">
        <v>497</v>
      </c>
      <c r="E803" s="88" t="s">
        <v>611</v>
      </c>
      <c r="F803" s="90"/>
      <c r="G803" s="90">
        <v>250</v>
      </c>
      <c r="H803" s="90">
        <f>F803*AO803</f>
        <v>0</v>
      </c>
      <c r="I803" s="90">
        <f>F803*AP803</f>
        <v>0</v>
      </c>
      <c r="J803" s="90">
        <f>F803*G803</f>
        <v>0</v>
      </c>
      <c r="K803" s="90">
        <v>0</v>
      </c>
      <c r="L803" s="90">
        <f>F803*K803</f>
        <v>0</v>
      </c>
      <c r="M803" s="91" t="s">
        <v>622</v>
      </c>
      <c r="O803" s="90"/>
      <c r="P803" s="90"/>
      <c r="Z803" s="90">
        <f>IF(AQ803="5",BJ803,0)</f>
        <v>0</v>
      </c>
      <c r="AB803" s="90">
        <f>IF(AQ803="1",BH803,0)</f>
        <v>0</v>
      </c>
      <c r="AC803" s="90">
        <f>IF(AQ803="1",BI803,0)</f>
        <v>0</v>
      </c>
      <c r="AD803" s="90">
        <f>IF(AQ803="7",BH803,0)</f>
        <v>0</v>
      </c>
      <c r="AE803" s="90">
        <f>IF(AQ803="7",BI803,0)</f>
        <v>0</v>
      </c>
      <c r="AF803" s="90">
        <f>IF(AQ803="2",BH803,0)</f>
        <v>0</v>
      </c>
      <c r="AG803" s="90">
        <f>IF(AQ803="2",BI803,0)</f>
        <v>0</v>
      </c>
      <c r="AH803" s="90">
        <f>IF(AQ803="0",BJ803,0)</f>
        <v>0</v>
      </c>
      <c r="AI803" s="154" t="s">
        <v>61</v>
      </c>
      <c r="AJ803" s="90">
        <f>IF(AN803=0,J803,0)</f>
        <v>0</v>
      </c>
      <c r="AK803" s="90">
        <f>IF(AN803=15,J803,0)</f>
        <v>0</v>
      </c>
      <c r="AL803" s="90">
        <f>IF(AN803=21,J803,0)</f>
        <v>0</v>
      </c>
      <c r="AN803" s="90">
        <v>15</v>
      </c>
      <c r="AO803" s="90">
        <f>G803*0</f>
        <v>0</v>
      </c>
      <c r="AP803" s="90">
        <f>G803*(1-0)</f>
        <v>250</v>
      </c>
      <c r="AQ803" s="91" t="s">
        <v>85</v>
      </c>
      <c r="AV803" s="90">
        <f>AW803+AX803</f>
        <v>0</v>
      </c>
      <c r="AW803" s="90">
        <f>F803*AO803</f>
        <v>0</v>
      </c>
      <c r="AX803" s="90">
        <f>F803*AP803</f>
        <v>0</v>
      </c>
      <c r="AY803" s="91" t="s">
        <v>644</v>
      </c>
      <c r="AZ803" s="91" t="s">
        <v>1644</v>
      </c>
      <c r="BA803" s="154" t="s">
        <v>1649</v>
      </c>
      <c r="BC803" s="90">
        <f>AW803+AX803</f>
        <v>0</v>
      </c>
      <c r="BD803" s="90">
        <f>G803/(100-BE803)*100</f>
        <v>250</v>
      </c>
      <c r="BE803" s="90">
        <v>0</v>
      </c>
      <c r="BF803" s="90">
        <f>L803</f>
        <v>0</v>
      </c>
      <c r="BH803" s="90">
        <f>F803*AO803</f>
        <v>0</v>
      </c>
      <c r="BI803" s="90">
        <f>F803*AP803</f>
        <v>0</v>
      </c>
      <c r="BJ803" s="90">
        <f>F803*G803</f>
        <v>0</v>
      </c>
    </row>
    <row r="804" spans="1:47" ht="12.75" hidden="1">
      <c r="A804" s="159"/>
      <c r="B804" s="160" t="s">
        <v>61</v>
      </c>
      <c r="C804" s="160" t="s">
        <v>317</v>
      </c>
      <c r="D804" s="160" t="s">
        <v>506</v>
      </c>
      <c r="E804" s="159" t="s">
        <v>57</v>
      </c>
      <c r="F804" s="159"/>
      <c r="G804" s="159" t="s">
        <v>57</v>
      </c>
      <c r="H804" s="161">
        <f>SUM(H805:H847)</f>
        <v>0</v>
      </c>
      <c r="I804" s="161">
        <f>SUM(I805:I847)</f>
        <v>0</v>
      </c>
      <c r="J804" s="161">
        <f>SUM(J805:J847)</f>
        <v>0</v>
      </c>
      <c r="K804" s="154"/>
      <c r="L804" s="161">
        <f>SUM(L805:L847)</f>
        <v>0</v>
      </c>
      <c r="M804" s="154"/>
      <c r="O804" s="159"/>
      <c r="P804" s="159"/>
      <c r="AI804" s="154" t="s">
        <v>61</v>
      </c>
      <c r="AS804" s="161">
        <f>SUM(AJ805:AJ847)</f>
        <v>0</v>
      </c>
      <c r="AT804" s="161">
        <f>SUM(AK805:AK847)</f>
        <v>0</v>
      </c>
      <c r="AU804" s="161">
        <f>SUM(AL805:AL847)</f>
        <v>0</v>
      </c>
    </row>
    <row r="805" spans="1:62" ht="12.75" hidden="1">
      <c r="A805" s="88" t="s">
        <v>2025</v>
      </c>
      <c r="B805" s="88" t="s">
        <v>61</v>
      </c>
      <c r="C805" s="88" t="s">
        <v>318</v>
      </c>
      <c r="D805" s="88" t="s">
        <v>1627</v>
      </c>
      <c r="E805" s="88" t="s">
        <v>609</v>
      </c>
      <c r="F805" s="90"/>
      <c r="G805" s="90">
        <v>25</v>
      </c>
      <c r="H805" s="90">
        <f aca="true" t="shared" si="834" ref="H805:H847">F805*AO805</f>
        <v>0</v>
      </c>
      <c r="I805" s="90">
        <f aca="true" t="shared" si="835" ref="I805:I847">F805*AP805</f>
        <v>0</v>
      </c>
      <c r="J805" s="90">
        <f aca="true" t="shared" si="836" ref="J805:J847">F805*G805</f>
        <v>0</v>
      </c>
      <c r="K805" s="90">
        <v>0</v>
      </c>
      <c r="L805" s="90">
        <f aca="true" t="shared" si="837" ref="L805:L847">F805*K805</f>
        <v>0</v>
      </c>
      <c r="M805" s="91" t="s">
        <v>622</v>
      </c>
      <c r="O805" s="90"/>
      <c r="P805" s="90"/>
      <c r="Z805" s="90">
        <f aca="true" t="shared" si="838" ref="Z805:Z847">IF(AQ805="5",BJ805,0)</f>
        <v>0</v>
      </c>
      <c r="AB805" s="90">
        <f aca="true" t="shared" si="839" ref="AB805:AB847">IF(AQ805="1",BH805,0)</f>
        <v>0</v>
      </c>
      <c r="AC805" s="90">
        <f aca="true" t="shared" si="840" ref="AC805:AC847">IF(AQ805="1",BI805,0)</f>
        <v>0</v>
      </c>
      <c r="AD805" s="90">
        <f aca="true" t="shared" si="841" ref="AD805:AD847">IF(AQ805="7",BH805,0)</f>
        <v>0</v>
      </c>
      <c r="AE805" s="90">
        <f aca="true" t="shared" si="842" ref="AE805:AE847">IF(AQ805="7",BI805,0)</f>
        <v>0</v>
      </c>
      <c r="AF805" s="90">
        <f aca="true" t="shared" si="843" ref="AF805:AF847">IF(AQ805="2",BH805,0)</f>
        <v>0</v>
      </c>
      <c r="AG805" s="90">
        <f aca="true" t="shared" si="844" ref="AG805:AG847">IF(AQ805="2",BI805,0)</f>
        <v>0</v>
      </c>
      <c r="AH805" s="90">
        <f aca="true" t="shared" si="845" ref="AH805:AH847">IF(AQ805="0",BJ805,0)</f>
        <v>0</v>
      </c>
      <c r="AI805" s="154" t="s">
        <v>61</v>
      </c>
      <c r="AJ805" s="90">
        <f aca="true" t="shared" si="846" ref="AJ805:AJ847">IF(AN805=0,J805,0)</f>
        <v>0</v>
      </c>
      <c r="AK805" s="90">
        <f aca="true" t="shared" si="847" ref="AK805:AK847">IF(AN805=15,J805,0)</f>
        <v>0</v>
      </c>
      <c r="AL805" s="90">
        <f aca="true" t="shared" si="848" ref="AL805:AL847">IF(AN805=21,J805,0)</f>
        <v>0</v>
      </c>
      <c r="AN805" s="90">
        <v>15</v>
      </c>
      <c r="AO805" s="90">
        <f aca="true" t="shared" si="849" ref="AO805:AO847">G805*0</f>
        <v>0</v>
      </c>
      <c r="AP805" s="90">
        <f aca="true" t="shared" si="850" ref="AP805:AP847">G805*(1-0)</f>
        <v>25</v>
      </c>
      <c r="AQ805" s="91" t="s">
        <v>85</v>
      </c>
      <c r="AV805" s="90">
        <f aca="true" t="shared" si="851" ref="AV805:AV847">AW805+AX805</f>
        <v>0</v>
      </c>
      <c r="AW805" s="90">
        <f aca="true" t="shared" si="852" ref="AW805:AW847">F805*AO805</f>
        <v>0</v>
      </c>
      <c r="AX805" s="90">
        <f aca="true" t="shared" si="853" ref="AX805:AX847">F805*AP805</f>
        <v>0</v>
      </c>
      <c r="AY805" s="91" t="s">
        <v>645</v>
      </c>
      <c r="AZ805" s="91" t="s">
        <v>1645</v>
      </c>
      <c r="BA805" s="154" t="s">
        <v>1649</v>
      </c>
      <c r="BC805" s="90">
        <f aca="true" t="shared" si="854" ref="BC805:BC847">AW805+AX805</f>
        <v>0</v>
      </c>
      <c r="BD805" s="90">
        <f aca="true" t="shared" si="855" ref="BD805:BD847">G805/(100-BE805)*100</f>
        <v>25</v>
      </c>
      <c r="BE805" s="90">
        <v>0</v>
      </c>
      <c r="BF805" s="90">
        <f aca="true" t="shared" si="856" ref="BF805:BF847">L805</f>
        <v>0</v>
      </c>
      <c r="BH805" s="90">
        <f aca="true" t="shared" si="857" ref="BH805:BH847">F805*AO805</f>
        <v>0</v>
      </c>
      <c r="BI805" s="90">
        <f aca="true" t="shared" si="858" ref="BI805:BI847">F805*AP805</f>
        <v>0</v>
      </c>
      <c r="BJ805" s="90">
        <f aca="true" t="shared" si="859" ref="BJ805:BJ847">F805*G805</f>
        <v>0</v>
      </c>
    </row>
    <row r="806" spans="1:62" ht="12.75" hidden="1">
      <c r="A806" s="88" t="s">
        <v>2026</v>
      </c>
      <c r="B806" s="88" t="s">
        <v>61</v>
      </c>
      <c r="C806" s="88" t="s">
        <v>319</v>
      </c>
      <c r="D806" s="88" t="s">
        <v>1628</v>
      </c>
      <c r="E806" s="88" t="s">
        <v>606</v>
      </c>
      <c r="F806" s="90"/>
      <c r="G806" s="90">
        <v>100</v>
      </c>
      <c r="H806" s="90">
        <f t="shared" si="834"/>
        <v>0</v>
      </c>
      <c r="I806" s="90">
        <f t="shared" si="835"/>
        <v>0</v>
      </c>
      <c r="J806" s="90">
        <f t="shared" si="836"/>
        <v>0</v>
      </c>
      <c r="K806" s="90">
        <v>0</v>
      </c>
      <c r="L806" s="90">
        <f t="shared" si="837"/>
        <v>0</v>
      </c>
      <c r="M806" s="91" t="s">
        <v>622</v>
      </c>
      <c r="O806" s="90"/>
      <c r="P806" s="90"/>
      <c r="Z806" s="90">
        <f t="shared" si="838"/>
        <v>0</v>
      </c>
      <c r="AB806" s="90">
        <f t="shared" si="839"/>
        <v>0</v>
      </c>
      <c r="AC806" s="90">
        <f t="shared" si="840"/>
        <v>0</v>
      </c>
      <c r="AD806" s="90">
        <f t="shared" si="841"/>
        <v>0</v>
      </c>
      <c r="AE806" s="90">
        <f t="shared" si="842"/>
        <v>0</v>
      </c>
      <c r="AF806" s="90">
        <f t="shared" si="843"/>
        <v>0</v>
      </c>
      <c r="AG806" s="90">
        <f t="shared" si="844"/>
        <v>0</v>
      </c>
      <c r="AH806" s="90">
        <f t="shared" si="845"/>
        <v>0</v>
      </c>
      <c r="AI806" s="154" t="s">
        <v>61</v>
      </c>
      <c r="AJ806" s="90">
        <f t="shared" si="846"/>
        <v>0</v>
      </c>
      <c r="AK806" s="90">
        <f t="shared" si="847"/>
        <v>0</v>
      </c>
      <c r="AL806" s="90">
        <f t="shared" si="848"/>
        <v>0</v>
      </c>
      <c r="AN806" s="90">
        <v>15</v>
      </c>
      <c r="AO806" s="90">
        <f t="shared" si="849"/>
        <v>0</v>
      </c>
      <c r="AP806" s="90">
        <f t="shared" si="850"/>
        <v>100</v>
      </c>
      <c r="AQ806" s="91" t="s">
        <v>85</v>
      </c>
      <c r="AV806" s="90">
        <f t="shared" si="851"/>
        <v>0</v>
      </c>
      <c r="AW806" s="90">
        <f t="shared" si="852"/>
        <v>0</v>
      </c>
      <c r="AX806" s="90">
        <f t="shared" si="853"/>
        <v>0</v>
      </c>
      <c r="AY806" s="91" t="s">
        <v>645</v>
      </c>
      <c r="AZ806" s="91" t="s">
        <v>1645</v>
      </c>
      <c r="BA806" s="154" t="s">
        <v>1649</v>
      </c>
      <c r="BC806" s="90">
        <f t="shared" si="854"/>
        <v>0</v>
      </c>
      <c r="BD806" s="90">
        <f t="shared" si="855"/>
        <v>100</v>
      </c>
      <c r="BE806" s="90">
        <v>0</v>
      </c>
      <c r="BF806" s="90">
        <f t="shared" si="856"/>
        <v>0</v>
      </c>
      <c r="BH806" s="90">
        <f t="shared" si="857"/>
        <v>0</v>
      </c>
      <c r="BI806" s="90">
        <f t="shared" si="858"/>
        <v>0</v>
      </c>
      <c r="BJ806" s="90">
        <f t="shared" si="859"/>
        <v>0</v>
      </c>
    </row>
    <row r="807" spans="1:62" ht="12.75" hidden="1">
      <c r="A807" s="88" t="s">
        <v>2027</v>
      </c>
      <c r="B807" s="88" t="s">
        <v>61</v>
      </c>
      <c r="C807" s="88" t="s">
        <v>320</v>
      </c>
      <c r="D807" s="88" t="s">
        <v>509</v>
      </c>
      <c r="E807" s="88" t="s">
        <v>609</v>
      </c>
      <c r="F807" s="90"/>
      <c r="G807" s="90">
        <v>96</v>
      </c>
      <c r="H807" s="90">
        <f t="shared" si="834"/>
        <v>0</v>
      </c>
      <c r="I807" s="90">
        <f t="shared" si="835"/>
        <v>0</v>
      </c>
      <c r="J807" s="90">
        <f t="shared" si="836"/>
        <v>0</v>
      </c>
      <c r="K807" s="90">
        <v>0</v>
      </c>
      <c r="L807" s="90">
        <f t="shared" si="837"/>
        <v>0</v>
      </c>
      <c r="M807" s="91" t="s">
        <v>622</v>
      </c>
      <c r="O807" s="90"/>
      <c r="P807" s="90"/>
      <c r="Z807" s="90">
        <f t="shared" si="838"/>
        <v>0</v>
      </c>
      <c r="AB807" s="90">
        <f t="shared" si="839"/>
        <v>0</v>
      </c>
      <c r="AC807" s="90">
        <f t="shared" si="840"/>
        <v>0</v>
      </c>
      <c r="AD807" s="90">
        <f t="shared" si="841"/>
        <v>0</v>
      </c>
      <c r="AE807" s="90">
        <f t="shared" si="842"/>
        <v>0</v>
      </c>
      <c r="AF807" s="90">
        <f t="shared" si="843"/>
        <v>0</v>
      </c>
      <c r="AG807" s="90">
        <f t="shared" si="844"/>
        <v>0</v>
      </c>
      <c r="AH807" s="90">
        <f t="shared" si="845"/>
        <v>0</v>
      </c>
      <c r="AI807" s="154" t="s">
        <v>61</v>
      </c>
      <c r="AJ807" s="90">
        <f t="shared" si="846"/>
        <v>0</v>
      </c>
      <c r="AK807" s="90">
        <f t="shared" si="847"/>
        <v>0</v>
      </c>
      <c r="AL807" s="90">
        <f t="shared" si="848"/>
        <v>0</v>
      </c>
      <c r="AN807" s="90">
        <v>15</v>
      </c>
      <c r="AO807" s="90">
        <f t="shared" si="849"/>
        <v>0</v>
      </c>
      <c r="AP807" s="90">
        <f t="shared" si="850"/>
        <v>96</v>
      </c>
      <c r="AQ807" s="91" t="s">
        <v>85</v>
      </c>
      <c r="AV807" s="90">
        <f t="shared" si="851"/>
        <v>0</v>
      </c>
      <c r="AW807" s="90">
        <f t="shared" si="852"/>
        <v>0</v>
      </c>
      <c r="AX807" s="90">
        <f t="shared" si="853"/>
        <v>0</v>
      </c>
      <c r="AY807" s="91" t="s">
        <v>645</v>
      </c>
      <c r="AZ807" s="91" t="s">
        <v>1645</v>
      </c>
      <c r="BA807" s="154" t="s">
        <v>1649</v>
      </c>
      <c r="BC807" s="90">
        <f t="shared" si="854"/>
        <v>0</v>
      </c>
      <c r="BD807" s="90">
        <f t="shared" si="855"/>
        <v>96</v>
      </c>
      <c r="BE807" s="90">
        <v>0</v>
      </c>
      <c r="BF807" s="90">
        <f t="shared" si="856"/>
        <v>0</v>
      </c>
      <c r="BH807" s="90">
        <f t="shared" si="857"/>
        <v>0</v>
      </c>
      <c r="BI807" s="90">
        <f t="shared" si="858"/>
        <v>0</v>
      </c>
      <c r="BJ807" s="90">
        <f t="shared" si="859"/>
        <v>0</v>
      </c>
    </row>
    <row r="808" spans="1:62" ht="12.75" hidden="1">
      <c r="A808" s="88" t="s">
        <v>1650</v>
      </c>
      <c r="B808" s="88" t="s">
        <v>61</v>
      </c>
      <c r="C808" s="88" t="s">
        <v>321</v>
      </c>
      <c r="D808" s="88" t="s">
        <v>510</v>
      </c>
      <c r="E808" s="88" t="s">
        <v>609</v>
      </c>
      <c r="F808" s="90"/>
      <c r="G808" s="90">
        <v>125</v>
      </c>
      <c r="H808" s="90">
        <f t="shared" si="834"/>
        <v>0</v>
      </c>
      <c r="I808" s="90">
        <f t="shared" si="835"/>
        <v>0</v>
      </c>
      <c r="J808" s="90">
        <f t="shared" si="836"/>
        <v>0</v>
      </c>
      <c r="K808" s="90">
        <v>0</v>
      </c>
      <c r="L808" s="90">
        <f t="shared" si="837"/>
        <v>0</v>
      </c>
      <c r="M808" s="91" t="s">
        <v>622</v>
      </c>
      <c r="O808" s="90"/>
      <c r="P808" s="90"/>
      <c r="Z808" s="90">
        <f t="shared" si="838"/>
        <v>0</v>
      </c>
      <c r="AB808" s="90">
        <f t="shared" si="839"/>
        <v>0</v>
      </c>
      <c r="AC808" s="90">
        <f t="shared" si="840"/>
        <v>0</v>
      </c>
      <c r="AD808" s="90">
        <f t="shared" si="841"/>
        <v>0</v>
      </c>
      <c r="AE808" s="90">
        <f t="shared" si="842"/>
        <v>0</v>
      </c>
      <c r="AF808" s="90">
        <f t="shared" si="843"/>
        <v>0</v>
      </c>
      <c r="AG808" s="90">
        <f t="shared" si="844"/>
        <v>0</v>
      </c>
      <c r="AH808" s="90">
        <f t="shared" si="845"/>
        <v>0</v>
      </c>
      <c r="AI808" s="154" t="s">
        <v>61</v>
      </c>
      <c r="AJ808" s="90">
        <f t="shared" si="846"/>
        <v>0</v>
      </c>
      <c r="AK808" s="90">
        <f t="shared" si="847"/>
        <v>0</v>
      </c>
      <c r="AL808" s="90">
        <f t="shared" si="848"/>
        <v>0</v>
      </c>
      <c r="AN808" s="90">
        <v>15</v>
      </c>
      <c r="AO808" s="90">
        <f t="shared" si="849"/>
        <v>0</v>
      </c>
      <c r="AP808" s="90">
        <f t="shared" si="850"/>
        <v>125</v>
      </c>
      <c r="AQ808" s="91" t="s">
        <v>85</v>
      </c>
      <c r="AV808" s="90">
        <f t="shared" si="851"/>
        <v>0</v>
      </c>
      <c r="AW808" s="90">
        <f t="shared" si="852"/>
        <v>0</v>
      </c>
      <c r="AX808" s="90">
        <f t="shared" si="853"/>
        <v>0</v>
      </c>
      <c r="AY808" s="91" t="s">
        <v>645</v>
      </c>
      <c r="AZ808" s="91" t="s">
        <v>1645</v>
      </c>
      <c r="BA808" s="154" t="s">
        <v>1649</v>
      </c>
      <c r="BC808" s="90">
        <f t="shared" si="854"/>
        <v>0</v>
      </c>
      <c r="BD808" s="90">
        <f t="shared" si="855"/>
        <v>125</v>
      </c>
      <c r="BE808" s="90">
        <v>0</v>
      </c>
      <c r="BF808" s="90">
        <f t="shared" si="856"/>
        <v>0</v>
      </c>
      <c r="BH808" s="90">
        <f t="shared" si="857"/>
        <v>0</v>
      </c>
      <c r="BI808" s="90">
        <f t="shared" si="858"/>
        <v>0</v>
      </c>
      <c r="BJ808" s="90">
        <f t="shared" si="859"/>
        <v>0</v>
      </c>
    </row>
    <row r="809" spans="1:62" ht="12.75" hidden="1">
      <c r="A809" s="88" t="s">
        <v>2028</v>
      </c>
      <c r="B809" s="88" t="s">
        <v>61</v>
      </c>
      <c r="C809" s="88" t="s">
        <v>322</v>
      </c>
      <c r="D809" s="88" t="s">
        <v>1373</v>
      </c>
      <c r="E809" s="88" t="s">
        <v>609</v>
      </c>
      <c r="F809" s="90"/>
      <c r="G809" s="90">
        <v>155</v>
      </c>
      <c r="H809" s="90">
        <f t="shared" si="834"/>
        <v>0</v>
      </c>
      <c r="I809" s="90">
        <f t="shared" si="835"/>
        <v>0</v>
      </c>
      <c r="J809" s="90">
        <f t="shared" si="836"/>
        <v>0</v>
      </c>
      <c r="K809" s="90">
        <v>0</v>
      </c>
      <c r="L809" s="90">
        <f t="shared" si="837"/>
        <v>0</v>
      </c>
      <c r="M809" s="91" t="s">
        <v>622</v>
      </c>
      <c r="O809" s="90"/>
      <c r="P809" s="90"/>
      <c r="Z809" s="90">
        <f t="shared" si="838"/>
        <v>0</v>
      </c>
      <c r="AB809" s="90">
        <f t="shared" si="839"/>
        <v>0</v>
      </c>
      <c r="AC809" s="90">
        <f t="shared" si="840"/>
        <v>0</v>
      </c>
      <c r="AD809" s="90">
        <f t="shared" si="841"/>
        <v>0</v>
      </c>
      <c r="AE809" s="90">
        <f t="shared" si="842"/>
        <v>0</v>
      </c>
      <c r="AF809" s="90">
        <f t="shared" si="843"/>
        <v>0</v>
      </c>
      <c r="AG809" s="90">
        <f t="shared" si="844"/>
        <v>0</v>
      </c>
      <c r="AH809" s="90">
        <f t="shared" si="845"/>
        <v>0</v>
      </c>
      <c r="AI809" s="154" t="s">
        <v>61</v>
      </c>
      <c r="AJ809" s="90">
        <f t="shared" si="846"/>
        <v>0</v>
      </c>
      <c r="AK809" s="90">
        <f t="shared" si="847"/>
        <v>0</v>
      </c>
      <c r="AL809" s="90">
        <f t="shared" si="848"/>
        <v>0</v>
      </c>
      <c r="AN809" s="90">
        <v>15</v>
      </c>
      <c r="AO809" s="90">
        <f t="shared" si="849"/>
        <v>0</v>
      </c>
      <c r="AP809" s="90">
        <f t="shared" si="850"/>
        <v>155</v>
      </c>
      <c r="AQ809" s="91" t="s">
        <v>85</v>
      </c>
      <c r="AV809" s="90">
        <f t="shared" si="851"/>
        <v>0</v>
      </c>
      <c r="AW809" s="90">
        <f t="shared" si="852"/>
        <v>0</v>
      </c>
      <c r="AX809" s="90">
        <f t="shared" si="853"/>
        <v>0</v>
      </c>
      <c r="AY809" s="91" t="s">
        <v>645</v>
      </c>
      <c r="AZ809" s="91" t="s">
        <v>1645</v>
      </c>
      <c r="BA809" s="154" t="s">
        <v>1649</v>
      </c>
      <c r="BC809" s="90">
        <f t="shared" si="854"/>
        <v>0</v>
      </c>
      <c r="BD809" s="90">
        <f t="shared" si="855"/>
        <v>155</v>
      </c>
      <c r="BE809" s="90">
        <v>0</v>
      </c>
      <c r="BF809" s="90">
        <f t="shared" si="856"/>
        <v>0</v>
      </c>
      <c r="BH809" s="90">
        <f t="shared" si="857"/>
        <v>0</v>
      </c>
      <c r="BI809" s="90">
        <f t="shared" si="858"/>
        <v>0</v>
      </c>
      <c r="BJ809" s="90">
        <f t="shared" si="859"/>
        <v>0</v>
      </c>
    </row>
    <row r="810" spans="1:62" ht="12.75" hidden="1">
      <c r="A810" s="88" t="s">
        <v>1651</v>
      </c>
      <c r="B810" s="88" t="s">
        <v>61</v>
      </c>
      <c r="C810" s="88" t="s">
        <v>323</v>
      </c>
      <c r="D810" s="88" t="s">
        <v>1374</v>
      </c>
      <c r="E810" s="88" t="s">
        <v>609</v>
      </c>
      <c r="F810" s="90"/>
      <c r="G810" s="90">
        <v>280</v>
      </c>
      <c r="H810" s="90">
        <f t="shared" si="834"/>
        <v>0</v>
      </c>
      <c r="I810" s="90">
        <f t="shared" si="835"/>
        <v>0</v>
      </c>
      <c r="J810" s="90">
        <f t="shared" si="836"/>
        <v>0</v>
      </c>
      <c r="K810" s="90">
        <v>0</v>
      </c>
      <c r="L810" s="90">
        <f t="shared" si="837"/>
        <v>0</v>
      </c>
      <c r="M810" s="91" t="s">
        <v>622</v>
      </c>
      <c r="O810" s="90"/>
      <c r="P810" s="90"/>
      <c r="Z810" s="90">
        <f t="shared" si="838"/>
        <v>0</v>
      </c>
      <c r="AB810" s="90">
        <f t="shared" si="839"/>
        <v>0</v>
      </c>
      <c r="AC810" s="90">
        <f t="shared" si="840"/>
        <v>0</v>
      </c>
      <c r="AD810" s="90">
        <f t="shared" si="841"/>
        <v>0</v>
      </c>
      <c r="AE810" s="90">
        <f t="shared" si="842"/>
        <v>0</v>
      </c>
      <c r="AF810" s="90">
        <f t="shared" si="843"/>
        <v>0</v>
      </c>
      <c r="AG810" s="90">
        <f t="shared" si="844"/>
        <v>0</v>
      </c>
      <c r="AH810" s="90">
        <f t="shared" si="845"/>
        <v>0</v>
      </c>
      <c r="AI810" s="154" t="s">
        <v>61</v>
      </c>
      <c r="AJ810" s="90">
        <f t="shared" si="846"/>
        <v>0</v>
      </c>
      <c r="AK810" s="90">
        <f t="shared" si="847"/>
        <v>0</v>
      </c>
      <c r="AL810" s="90">
        <f t="shared" si="848"/>
        <v>0</v>
      </c>
      <c r="AN810" s="90">
        <v>15</v>
      </c>
      <c r="AO810" s="90">
        <f t="shared" si="849"/>
        <v>0</v>
      </c>
      <c r="AP810" s="90">
        <f t="shared" si="850"/>
        <v>280</v>
      </c>
      <c r="AQ810" s="91" t="s">
        <v>85</v>
      </c>
      <c r="AV810" s="90">
        <f t="shared" si="851"/>
        <v>0</v>
      </c>
      <c r="AW810" s="90">
        <f t="shared" si="852"/>
        <v>0</v>
      </c>
      <c r="AX810" s="90">
        <f t="shared" si="853"/>
        <v>0</v>
      </c>
      <c r="AY810" s="91" t="s">
        <v>645</v>
      </c>
      <c r="AZ810" s="91" t="s">
        <v>1645</v>
      </c>
      <c r="BA810" s="154" t="s">
        <v>1649</v>
      </c>
      <c r="BC810" s="90">
        <f t="shared" si="854"/>
        <v>0</v>
      </c>
      <c r="BD810" s="90">
        <f t="shared" si="855"/>
        <v>280</v>
      </c>
      <c r="BE810" s="90">
        <v>0</v>
      </c>
      <c r="BF810" s="90">
        <f t="shared" si="856"/>
        <v>0</v>
      </c>
      <c r="BH810" s="90">
        <f t="shared" si="857"/>
        <v>0</v>
      </c>
      <c r="BI810" s="90">
        <f t="shared" si="858"/>
        <v>0</v>
      </c>
      <c r="BJ810" s="90">
        <f t="shared" si="859"/>
        <v>0</v>
      </c>
    </row>
    <row r="811" spans="1:62" ht="12.75" hidden="1">
      <c r="A811" s="88" t="s">
        <v>1653</v>
      </c>
      <c r="B811" s="88" t="s">
        <v>61</v>
      </c>
      <c r="C811" s="88" t="s">
        <v>324</v>
      </c>
      <c r="D811" s="88" t="s">
        <v>1375</v>
      </c>
      <c r="E811" s="88" t="s">
        <v>609</v>
      </c>
      <c r="F811" s="90"/>
      <c r="G811" s="90">
        <v>85</v>
      </c>
      <c r="H811" s="90">
        <f t="shared" si="834"/>
        <v>0</v>
      </c>
      <c r="I811" s="90">
        <f t="shared" si="835"/>
        <v>0</v>
      </c>
      <c r="J811" s="90">
        <f t="shared" si="836"/>
        <v>0</v>
      </c>
      <c r="K811" s="90">
        <v>0</v>
      </c>
      <c r="L811" s="90">
        <f t="shared" si="837"/>
        <v>0</v>
      </c>
      <c r="M811" s="91" t="s">
        <v>622</v>
      </c>
      <c r="O811" s="90"/>
      <c r="P811" s="90"/>
      <c r="Z811" s="90">
        <f t="shared" si="838"/>
        <v>0</v>
      </c>
      <c r="AB811" s="90">
        <f t="shared" si="839"/>
        <v>0</v>
      </c>
      <c r="AC811" s="90">
        <f t="shared" si="840"/>
        <v>0</v>
      </c>
      <c r="AD811" s="90">
        <f t="shared" si="841"/>
        <v>0</v>
      </c>
      <c r="AE811" s="90">
        <f t="shared" si="842"/>
        <v>0</v>
      </c>
      <c r="AF811" s="90">
        <f t="shared" si="843"/>
        <v>0</v>
      </c>
      <c r="AG811" s="90">
        <f t="shared" si="844"/>
        <v>0</v>
      </c>
      <c r="AH811" s="90">
        <f t="shared" si="845"/>
        <v>0</v>
      </c>
      <c r="AI811" s="154" t="s">
        <v>61</v>
      </c>
      <c r="AJ811" s="90">
        <f t="shared" si="846"/>
        <v>0</v>
      </c>
      <c r="AK811" s="90">
        <f t="shared" si="847"/>
        <v>0</v>
      </c>
      <c r="AL811" s="90">
        <f t="shared" si="848"/>
        <v>0</v>
      </c>
      <c r="AN811" s="90">
        <v>15</v>
      </c>
      <c r="AO811" s="90">
        <f t="shared" si="849"/>
        <v>0</v>
      </c>
      <c r="AP811" s="90">
        <f t="shared" si="850"/>
        <v>85</v>
      </c>
      <c r="AQ811" s="91" t="s">
        <v>85</v>
      </c>
      <c r="AV811" s="90">
        <f t="shared" si="851"/>
        <v>0</v>
      </c>
      <c r="AW811" s="90">
        <f t="shared" si="852"/>
        <v>0</v>
      </c>
      <c r="AX811" s="90">
        <f t="shared" si="853"/>
        <v>0</v>
      </c>
      <c r="AY811" s="91" t="s">
        <v>645</v>
      </c>
      <c r="AZ811" s="91" t="s">
        <v>1645</v>
      </c>
      <c r="BA811" s="154" t="s">
        <v>1649</v>
      </c>
      <c r="BC811" s="90">
        <f t="shared" si="854"/>
        <v>0</v>
      </c>
      <c r="BD811" s="90">
        <f t="shared" si="855"/>
        <v>85</v>
      </c>
      <c r="BE811" s="90">
        <v>0</v>
      </c>
      <c r="BF811" s="90">
        <f t="shared" si="856"/>
        <v>0</v>
      </c>
      <c r="BH811" s="90">
        <f t="shared" si="857"/>
        <v>0</v>
      </c>
      <c r="BI811" s="90">
        <f t="shared" si="858"/>
        <v>0</v>
      </c>
      <c r="BJ811" s="90">
        <f t="shared" si="859"/>
        <v>0</v>
      </c>
    </row>
    <row r="812" spans="1:62" ht="12.75" hidden="1">
      <c r="A812" s="88" t="s">
        <v>2029</v>
      </c>
      <c r="B812" s="88" t="s">
        <v>61</v>
      </c>
      <c r="C812" s="88" t="s">
        <v>325</v>
      </c>
      <c r="D812" s="88" t="s">
        <v>516</v>
      </c>
      <c r="E812" s="88" t="s">
        <v>609</v>
      </c>
      <c r="F812" s="90"/>
      <c r="G812" s="90">
        <v>55</v>
      </c>
      <c r="H812" s="90">
        <f t="shared" si="834"/>
        <v>0</v>
      </c>
      <c r="I812" s="90">
        <f t="shared" si="835"/>
        <v>0</v>
      </c>
      <c r="J812" s="90">
        <f t="shared" si="836"/>
        <v>0</v>
      </c>
      <c r="K812" s="90">
        <v>0</v>
      </c>
      <c r="L812" s="90">
        <f t="shared" si="837"/>
        <v>0</v>
      </c>
      <c r="M812" s="91" t="s">
        <v>622</v>
      </c>
      <c r="O812" s="90"/>
      <c r="P812" s="90"/>
      <c r="Z812" s="90">
        <f t="shared" si="838"/>
        <v>0</v>
      </c>
      <c r="AB812" s="90">
        <f t="shared" si="839"/>
        <v>0</v>
      </c>
      <c r="AC812" s="90">
        <f t="shared" si="840"/>
        <v>0</v>
      </c>
      <c r="AD812" s="90">
        <f t="shared" si="841"/>
        <v>0</v>
      </c>
      <c r="AE812" s="90">
        <f t="shared" si="842"/>
        <v>0</v>
      </c>
      <c r="AF812" s="90">
        <f t="shared" si="843"/>
        <v>0</v>
      </c>
      <c r="AG812" s="90">
        <f t="shared" si="844"/>
        <v>0</v>
      </c>
      <c r="AH812" s="90">
        <f t="shared" si="845"/>
        <v>0</v>
      </c>
      <c r="AI812" s="154" t="s">
        <v>61</v>
      </c>
      <c r="AJ812" s="90">
        <f t="shared" si="846"/>
        <v>0</v>
      </c>
      <c r="AK812" s="90">
        <f t="shared" si="847"/>
        <v>0</v>
      </c>
      <c r="AL812" s="90">
        <f t="shared" si="848"/>
        <v>0</v>
      </c>
      <c r="AN812" s="90">
        <v>15</v>
      </c>
      <c r="AO812" s="90">
        <f t="shared" si="849"/>
        <v>0</v>
      </c>
      <c r="AP812" s="90">
        <f t="shared" si="850"/>
        <v>55</v>
      </c>
      <c r="AQ812" s="91" t="s">
        <v>85</v>
      </c>
      <c r="AV812" s="90">
        <f t="shared" si="851"/>
        <v>0</v>
      </c>
      <c r="AW812" s="90">
        <f t="shared" si="852"/>
        <v>0</v>
      </c>
      <c r="AX812" s="90">
        <f t="shared" si="853"/>
        <v>0</v>
      </c>
      <c r="AY812" s="91" t="s">
        <v>645</v>
      </c>
      <c r="AZ812" s="91" t="s">
        <v>1645</v>
      </c>
      <c r="BA812" s="154" t="s">
        <v>1649</v>
      </c>
      <c r="BC812" s="90">
        <f t="shared" si="854"/>
        <v>0</v>
      </c>
      <c r="BD812" s="90">
        <f t="shared" si="855"/>
        <v>55.00000000000001</v>
      </c>
      <c r="BE812" s="90">
        <v>0</v>
      </c>
      <c r="BF812" s="90">
        <f t="shared" si="856"/>
        <v>0</v>
      </c>
      <c r="BH812" s="90">
        <f t="shared" si="857"/>
        <v>0</v>
      </c>
      <c r="BI812" s="90">
        <f t="shared" si="858"/>
        <v>0</v>
      </c>
      <c r="BJ812" s="90">
        <f t="shared" si="859"/>
        <v>0</v>
      </c>
    </row>
    <row r="813" spans="1:62" ht="12.75" hidden="1">
      <c r="A813" s="88" t="s">
        <v>2030</v>
      </c>
      <c r="B813" s="88" t="s">
        <v>61</v>
      </c>
      <c r="C813" s="88" t="s">
        <v>326</v>
      </c>
      <c r="D813" s="88" t="s">
        <v>1376</v>
      </c>
      <c r="E813" s="88" t="s">
        <v>609</v>
      </c>
      <c r="F813" s="90"/>
      <c r="G813" s="90">
        <v>60</v>
      </c>
      <c r="H813" s="90">
        <f t="shared" si="834"/>
        <v>0</v>
      </c>
      <c r="I813" s="90">
        <f t="shared" si="835"/>
        <v>0</v>
      </c>
      <c r="J813" s="90">
        <f t="shared" si="836"/>
        <v>0</v>
      </c>
      <c r="K813" s="90">
        <v>0</v>
      </c>
      <c r="L813" s="90">
        <f t="shared" si="837"/>
        <v>0</v>
      </c>
      <c r="M813" s="91" t="s">
        <v>622</v>
      </c>
      <c r="O813" s="90"/>
      <c r="P813" s="90"/>
      <c r="Z813" s="90">
        <f t="shared" si="838"/>
        <v>0</v>
      </c>
      <c r="AB813" s="90">
        <f t="shared" si="839"/>
        <v>0</v>
      </c>
      <c r="AC813" s="90">
        <f t="shared" si="840"/>
        <v>0</v>
      </c>
      <c r="AD813" s="90">
        <f t="shared" si="841"/>
        <v>0</v>
      </c>
      <c r="AE813" s="90">
        <f t="shared" si="842"/>
        <v>0</v>
      </c>
      <c r="AF813" s="90">
        <f t="shared" si="843"/>
        <v>0</v>
      </c>
      <c r="AG813" s="90">
        <f t="shared" si="844"/>
        <v>0</v>
      </c>
      <c r="AH813" s="90">
        <f t="shared" si="845"/>
        <v>0</v>
      </c>
      <c r="AI813" s="154" t="s">
        <v>61</v>
      </c>
      <c r="AJ813" s="90">
        <f t="shared" si="846"/>
        <v>0</v>
      </c>
      <c r="AK813" s="90">
        <f t="shared" si="847"/>
        <v>0</v>
      </c>
      <c r="AL813" s="90">
        <f t="shared" si="848"/>
        <v>0</v>
      </c>
      <c r="AN813" s="90">
        <v>15</v>
      </c>
      <c r="AO813" s="90">
        <f t="shared" si="849"/>
        <v>0</v>
      </c>
      <c r="AP813" s="90">
        <f t="shared" si="850"/>
        <v>60</v>
      </c>
      <c r="AQ813" s="91" t="s">
        <v>85</v>
      </c>
      <c r="AV813" s="90">
        <f t="shared" si="851"/>
        <v>0</v>
      </c>
      <c r="AW813" s="90">
        <f t="shared" si="852"/>
        <v>0</v>
      </c>
      <c r="AX813" s="90">
        <f t="shared" si="853"/>
        <v>0</v>
      </c>
      <c r="AY813" s="91" t="s">
        <v>645</v>
      </c>
      <c r="AZ813" s="91" t="s">
        <v>1645</v>
      </c>
      <c r="BA813" s="154" t="s">
        <v>1649</v>
      </c>
      <c r="BC813" s="90">
        <f t="shared" si="854"/>
        <v>0</v>
      </c>
      <c r="BD813" s="90">
        <f t="shared" si="855"/>
        <v>60</v>
      </c>
      <c r="BE813" s="90">
        <v>0</v>
      </c>
      <c r="BF813" s="90">
        <f t="shared" si="856"/>
        <v>0</v>
      </c>
      <c r="BH813" s="90">
        <f t="shared" si="857"/>
        <v>0</v>
      </c>
      <c r="BI813" s="90">
        <f t="shared" si="858"/>
        <v>0</v>
      </c>
      <c r="BJ813" s="90">
        <f t="shared" si="859"/>
        <v>0</v>
      </c>
    </row>
    <row r="814" spans="1:62" ht="12.75" hidden="1">
      <c r="A814" s="88" t="s">
        <v>2031</v>
      </c>
      <c r="B814" s="88" t="s">
        <v>61</v>
      </c>
      <c r="C814" s="88" t="s">
        <v>327</v>
      </c>
      <c r="D814" s="88" t="s">
        <v>1377</v>
      </c>
      <c r="E814" s="88" t="s">
        <v>609</v>
      </c>
      <c r="F814" s="90"/>
      <c r="G814" s="90">
        <v>60</v>
      </c>
      <c r="H814" s="90">
        <f t="shared" si="834"/>
        <v>0</v>
      </c>
      <c r="I814" s="90">
        <f t="shared" si="835"/>
        <v>0</v>
      </c>
      <c r="J814" s="90">
        <f t="shared" si="836"/>
        <v>0</v>
      </c>
      <c r="K814" s="90">
        <v>0</v>
      </c>
      <c r="L814" s="90">
        <f t="shared" si="837"/>
        <v>0</v>
      </c>
      <c r="M814" s="91" t="s">
        <v>622</v>
      </c>
      <c r="O814" s="90"/>
      <c r="P814" s="90"/>
      <c r="Z814" s="90">
        <f t="shared" si="838"/>
        <v>0</v>
      </c>
      <c r="AB814" s="90">
        <f t="shared" si="839"/>
        <v>0</v>
      </c>
      <c r="AC814" s="90">
        <f t="shared" si="840"/>
        <v>0</v>
      </c>
      <c r="AD814" s="90">
        <f t="shared" si="841"/>
        <v>0</v>
      </c>
      <c r="AE814" s="90">
        <f t="shared" si="842"/>
        <v>0</v>
      </c>
      <c r="AF814" s="90">
        <f t="shared" si="843"/>
        <v>0</v>
      </c>
      <c r="AG814" s="90">
        <f t="shared" si="844"/>
        <v>0</v>
      </c>
      <c r="AH814" s="90">
        <f t="shared" si="845"/>
        <v>0</v>
      </c>
      <c r="AI814" s="154" t="s">
        <v>61</v>
      </c>
      <c r="AJ814" s="90">
        <f t="shared" si="846"/>
        <v>0</v>
      </c>
      <c r="AK814" s="90">
        <f t="shared" si="847"/>
        <v>0</v>
      </c>
      <c r="AL814" s="90">
        <f t="shared" si="848"/>
        <v>0</v>
      </c>
      <c r="AN814" s="90">
        <v>15</v>
      </c>
      <c r="AO814" s="90">
        <f t="shared" si="849"/>
        <v>0</v>
      </c>
      <c r="AP814" s="90">
        <f t="shared" si="850"/>
        <v>60</v>
      </c>
      <c r="AQ814" s="91" t="s">
        <v>85</v>
      </c>
      <c r="AV814" s="90">
        <f t="shared" si="851"/>
        <v>0</v>
      </c>
      <c r="AW814" s="90">
        <f t="shared" si="852"/>
        <v>0</v>
      </c>
      <c r="AX814" s="90">
        <f t="shared" si="853"/>
        <v>0</v>
      </c>
      <c r="AY814" s="91" t="s">
        <v>645</v>
      </c>
      <c r="AZ814" s="91" t="s">
        <v>1645</v>
      </c>
      <c r="BA814" s="154" t="s">
        <v>1649</v>
      </c>
      <c r="BC814" s="90">
        <f t="shared" si="854"/>
        <v>0</v>
      </c>
      <c r="BD814" s="90">
        <f t="shared" si="855"/>
        <v>60</v>
      </c>
      <c r="BE814" s="90">
        <v>0</v>
      </c>
      <c r="BF814" s="90">
        <f t="shared" si="856"/>
        <v>0</v>
      </c>
      <c r="BH814" s="90">
        <f t="shared" si="857"/>
        <v>0</v>
      </c>
      <c r="BI814" s="90">
        <f t="shared" si="858"/>
        <v>0</v>
      </c>
      <c r="BJ814" s="90">
        <f t="shared" si="859"/>
        <v>0</v>
      </c>
    </row>
    <row r="815" spans="1:62" ht="12.75" hidden="1">
      <c r="A815" s="88" t="s">
        <v>2032</v>
      </c>
      <c r="B815" s="88" t="s">
        <v>61</v>
      </c>
      <c r="C815" s="88" t="s">
        <v>328</v>
      </c>
      <c r="D815" s="88" t="s">
        <v>1384</v>
      </c>
      <c r="E815" s="88" t="s">
        <v>606</v>
      </c>
      <c r="F815" s="90"/>
      <c r="G815" s="90">
        <v>7630</v>
      </c>
      <c r="H815" s="90">
        <f t="shared" si="834"/>
        <v>0</v>
      </c>
      <c r="I815" s="90">
        <f t="shared" si="835"/>
        <v>0</v>
      </c>
      <c r="J815" s="90">
        <f t="shared" si="836"/>
        <v>0</v>
      </c>
      <c r="K815" s="90">
        <v>0</v>
      </c>
      <c r="L815" s="90">
        <f t="shared" si="837"/>
        <v>0</v>
      </c>
      <c r="M815" s="91" t="s">
        <v>622</v>
      </c>
      <c r="O815" s="90"/>
      <c r="P815" s="90"/>
      <c r="Z815" s="90">
        <f t="shared" si="838"/>
        <v>0</v>
      </c>
      <c r="AB815" s="90">
        <f t="shared" si="839"/>
        <v>0</v>
      </c>
      <c r="AC815" s="90">
        <f t="shared" si="840"/>
        <v>0</v>
      </c>
      <c r="AD815" s="90">
        <f t="shared" si="841"/>
        <v>0</v>
      </c>
      <c r="AE815" s="90">
        <f t="shared" si="842"/>
        <v>0</v>
      </c>
      <c r="AF815" s="90">
        <f t="shared" si="843"/>
        <v>0</v>
      </c>
      <c r="AG815" s="90">
        <f t="shared" si="844"/>
        <v>0</v>
      </c>
      <c r="AH815" s="90">
        <f t="shared" si="845"/>
        <v>0</v>
      </c>
      <c r="AI815" s="154" t="s">
        <v>61</v>
      </c>
      <c r="AJ815" s="90">
        <f t="shared" si="846"/>
        <v>0</v>
      </c>
      <c r="AK815" s="90">
        <f t="shared" si="847"/>
        <v>0</v>
      </c>
      <c r="AL815" s="90">
        <f t="shared" si="848"/>
        <v>0</v>
      </c>
      <c r="AN815" s="90">
        <v>15</v>
      </c>
      <c r="AO815" s="90">
        <f t="shared" si="849"/>
        <v>0</v>
      </c>
      <c r="AP815" s="90">
        <f t="shared" si="850"/>
        <v>7630</v>
      </c>
      <c r="AQ815" s="91" t="s">
        <v>85</v>
      </c>
      <c r="AV815" s="90">
        <f t="shared" si="851"/>
        <v>0</v>
      </c>
      <c r="AW815" s="90">
        <f t="shared" si="852"/>
        <v>0</v>
      </c>
      <c r="AX815" s="90">
        <f t="shared" si="853"/>
        <v>0</v>
      </c>
      <c r="AY815" s="91" t="s">
        <v>645</v>
      </c>
      <c r="AZ815" s="91" t="s">
        <v>1645</v>
      </c>
      <c r="BA815" s="154" t="s">
        <v>1649</v>
      </c>
      <c r="BC815" s="90">
        <f t="shared" si="854"/>
        <v>0</v>
      </c>
      <c r="BD815" s="90">
        <f t="shared" si="855"/>
        <v>7630</v>
      </c>
      <c r="BE815" s="90">
        <v>0</v>
      </c>
      <c r="BF815" s="90">
        <f t="shared" si="856"/>
        <v>0</v>
      </c>
      <c r="BH815" s="90">
        <f t="shared" si="857"/>
        <v>0</v>
      </c>
      <c r="BI815" s="90">
        <f t="shared" si="858"/>
        <v>0</v>
      </c>
      <c r="BJ815" s="90">
        <f t="shared" si="859"/>
        <v>0</v>
      </c>
    </row>
    <row r="816" spans="1:62" ht="12.75" hidden="1">
      <c r="A816" s="88" t="s">
        <v>2033</v>
      </c>
      <c r="B816" s="88" t="s">
        <v>61</v>
      </c>
      <c r="C816" s="88" t="s">
        <v>329</v>
      </c>
      <c r="D816" s="88" t="s">
        <v>1629</v>
      </c>
      <c r="E816" s="88" t="s">
        <v>606</v>
      </c>
      <c r="F816" s="90"/>
      <c r="G816" s="90">
        <v>10990</v>
      </c>
      <c r="H816" s="90">
        <f t="shared" si="834"/>
        <v>0</v>
      </c>
      <c r="I816" s="90">
        <f t="shared" si="835"/>
        <v>0</v>
      </c>
      <c r="J816" s="90">
        <f t="shared" si="836"/>
        <v>0</v>
      </c>
      <c r="K816" s="90">
        <v>0</v>
      </c>
      <c r="L816" s="90">
        <f t="shared" si="837"/>
        <v>0</v>
      </c>
      <c r="M816" s="91" t="s">
        <v>622</v>
      </c>
      <c r="O816" s="90"/>
      <c r="P816" s="90"/>
      <c r="Z816" s="90">
        <f t="shared" si="838"/>
        <v>0</v>
      </c>
      <c r="AB816" s="90">
        <f t="shared" si="839"/>
        <v>0</v>
      </c>
      <c r="AC816" s="90">
        <f t="shared" si="840"/>
        <v>0</v>
      </c>
      <c r="AD816" s="90">
        <f t="shared" si="841"/>
        <v>0</v>
      </c>
      <c r="AE816" s="90">
        <f t="shared" si="842"/>
        <v>0</v>
      </c>
      <c r="AF816" s="90">
        <f t="shared" si="843"/>
        <v>0</v>
      </c>
      <c r="AG816" s="90">
        <f t="shared" si="844"/>
        <v>0</v>
      </c>
      <c r="AH816" s="90">
        <f t="shared" si="845"/>
        <v>0</v>
      </c>
      <c r="AI816" s="154" t="s">
        <v>61</v>
      </c>
      <c r="AJ816" s="90">
        <f t="shared" si="846"/>
        <v>0</v>
      </c>
      <c r="AK816" s="90">
        <f t="shared" si="847"/>
        <v>0</v>
      </c>
      <c r="AL816" s="90">
        <f t="shared" si="848"/>
        <v>0</v>
      </c>
      <c r="AN816" s="90">
        <v>15</v>
      </c>
      <c r="AO816" s="90">
        <f t="shared" si="849"/>
        <v>0</v>
      </c>
      <c r="AP816" s="90">
        <f t="shared" si="850"/>
        <v>10990</v>
      </c>
      <c r="AQ816" s="91" t="s">
        <v>85</v>
      </c>
      <c r="AV816" s="90">
        <f t="shared" si="851"/>
        <v>0</v>
      </c>
      <c r="AW816" s="90">
        <f t="shared" si="852"/>
        <v>0</v>
      </c>
      <c r="AX816" s="90">
        <f t="shared" si="853"/>
        <v>0</v>
      </c>
      <c r="AY816" s="91" t="s">
        <v>645</v>
      </c>
      <c r="AZ816" s="91" t="s">
        <v>1645</v>
      </c>
      <c r="BA816" s="154" t="s">
        <v>1649</v>
      </c>
      <c r="BC816" s="90">
        <f t="shared" si="854"/>
        <v>0</v>
      </c>
      <c r="BD816" s="90">
        <f t="shared" si="855"/>
        <v>10990</v>
      </c>
      <c r="BE816" s="90">
        <v>0</v>
      </c>
      <c r="BF816" s="90">
        <f t="shared" si="856"/>
        <v>0</v>
      </c>
      <c r="BH816" s="90">
        <f t="shared" si="857"/>
        <v>0</v>
      </c>
      <c r="BI816" s="90">
        <f t="shared" si="858"/>
        <v>0</v>
      </c>
      <c r="BJ816" s="90">
        <f t="shared" si="859"/>
        <v>0</v>
      </c>
    </row>
    <row r="817" spans="1:62" ht="12.75" hidden="1">
      <c r="A817" s="88" t="s">
        <v>1668</v>
      </c>
      <c r="B817" s="88" t="s">
        <v>61</v>
      </c>
      <c r="C817" s="88" t="s">
        <v>330</v>
      </c>
      <c r="D817" s="88" t="s">
        <v>1630</v>
      </c>
      <c r="E817" s="88" t="s">
        <v>606</v>
      </c>
      <c r="F817" s="90"/>
      <c r="G817" s="90">
        <v>12080</v>
      </c>
      <c r="H817" s="90">
        <f t="shared" si="834"/>
        <v>0</v>
      </c>
      <c r="I817" s="90">
        <f t="shared" si="835"/>
        <v>0</v>
      </c>
      <c r="J817" s="90">
        <f t="shared" si="836"/>
        <v>0</v>
      </c>
      <c r="K817" s="90">
        <v>0</v>
      </c>
      <c r="L817" s="90">
        <f t="shared" si="837"/>
        <v>0</v>
      </c>
      <c r="M817" s="91" t="s">
        <v>622</v>
      </c>
      <c r="O817" s="90"/>
      <c r="P817" s="90"/>
      <c r="Z817" s="90">
        <f t="shared" si="838"/>
        <v>0</v>
      </c>
      <c r="AB817" s="90">
        <f t="shared" si="839"/>
        <v>0</v>
      </c>
      <c r="AC817" s="90">
        <f t="shared" si="840"/>
        <v>0</v>
      </c>
      <c r="AD817" s="90">
        <f t="shared" si="841"/>
        <v>0</v>
      </c>
      <c r="AE817" s="90">
        <f t="shared" si="842"/>
        <v>0</v>
      </c>
      <c r="AF817" s="90">
        <f t="shared" si="843"/>
        <v>0</v>
      </c>
      <c r="AG817" s="90">
        <f t="shared" si="844"/>
        <v>0</v>
      </c>
      <c r="AH817" s="90">
        <f t="shared" si="845"/>
        <v>0</v>
      </c>
      <c r="AI817" s="154" t="s">
        <v>61</v>
      </c>
      <c r="AJ817" s="90">
        <f t="shared" si="846"/>
        <v>0</v>
      </c>
      <c r="AK817" s="90">
        <f t="shared" si="847"/>
        <v>0</v>
      </c>
      <c r="AL817" s="90">
        <f t="shared" si="848"/>
        <v>0</v>
      </c>
      <c r="AN817" s="90">
        <v>15</v>
      </c>
      <c r="AO817" s="90">
        <f t="shared" si="849"/>
        <v>0</v>
      </c>
      <c r="AP817" s="90">
        <f t="shared" si="850"/>
        <v>12080</v>
      </c>
      <c r="AQ817" s="91" t="s">
        <v>85</v>
      </c>
      <c r="AV817" s="90">
        <f t="shared" si="851"/>
        <v>0</v>
      </c>
      <c r="AW817" s="90">
        <f t="shared" si="852"/>
        <v>0</v>
      </c>
      <c r="AX817" s="90">
        <f t="shared" si="853"/>
        <v>0</v>
      </c>
      <c r="AY817" s="91" t="s">
        <v>645</v>
      </c>
      <c r="AZ817" s="91" t="s">
        <v>1645</v>
      </c>
      <c r="BA817" s="154" t="s">
        <v>1649</v>
      </c>
      <c r="BC817" s="90">
        <f t="shared" si="854"/>
        <v>0</v>
      </c>
      <c r="BD817" s="90">
        <f t="shared" si="855"/>
        <v>12080</v>
      </c>
      <c r="BE817" s="90">
        <v>0</v>
      </c>
      <c r="BF817" s="90">
        <f t="shared" si="856"/>
        <v>0</v>
      </c>
      <c r="BH817" s="90">
        <f t="shared" si="857"/>
        <v>0</v>
      </c>
      <c r="BI817" s="90">
        <f t="shared" si="858"/>
        <v>0</v>
      </c>
      <c r="BJ817" s="90">
        <f t="shared" si="859"/>
        <v>0</v>
      </c>
    </row>
    <row r="818" spans="1:62" ht="12.75" hidden="1">
      <c r="A818" s="88" t="s">
        <v>2034</v>
      </c>
      <c r="B818" s="88" t="s">
        <v>61</v>
      </c>
      <c r="C818" s="88" t="s">
        <v>331</v>
      </c>
      <c r="D818" s="88" t="s">
        <v>518</v>
      </c>
      <c r="E818" s="88" t="s">
        <v>606</v>
      </c>
      <c r="F818" s="90"/>
      <c r="G818" s="90">
        <v>235</v>
      </c>
      <c r="H818" s="90">
        <f t="shared" si="834"/>
        <v>0</v>
      </c>
      <c r="I818" s="90">
        <f t="shared" si="835"/>
        <v>0</v>
      </c>
      <c r="J818" s="90">
        <f t="shared" si="836"/>
        <v>0</v>
      </c>
      <c r="K818" s="90">
        <v>0</v>
      </c>
      <c r="L818" s="90">
        <f t="shared" si="837"/>
        <v>0</v>
      </c>
      <c r="M818" s="91" t="s">
        <v>622</v>
      </c>
      <c r="O818" s="90"/>
      <c r="P818" s="90"/>
      <c r="Z818" s="90">
        <f t="shared" si="838"/>
        <v>0</v>
      </c>
      <c r="AB818" s="90">
        <f t="shared" si="839"/>
        <v>0</v>
      </c>
      <c r="AC818" s="90">
        <f t="shared" si="840"/>
        <v>0</v>
      </c>
      <c r="AD818" s="90">
        <f t="shared" si="841"/>
        <v>0</v>
      </c>
      <c r="AE818" s="90">
        <f t="shared" si="842"/>
        <v>0</v>
      </c>
      <c r="AF818" s="90">
        <f t="shared" si="843"/>
        <v>0</v>
      </c>
      <c r="AG818" s="90">
        <f t="shared" si="844"/>
        <v>0</v>
      </c>
      <c r="AH818" s="90">
        <f t="shared" si="845"/>
        <v>0</v>
      </c>
      <c r="AI818" s="154" t="s">
        <v>61</v>
      </c>
      <c r="AJ818" s="90">
        <f t="shared" si="846"/>
        <v>0</v>
      </c>
      <c r="AK818" s="90">
        <f t="shared" si="847"/>
        <v>0</v>
      </c>
      <c r="AL818" s="90">
        <f t="shared" si="848"/>
        <v>0</v>
      </c>
      <c r="AN818" s="90">
        <v>15</v>
      </c>
      <c r="AO818" s="90">
        <f t="shared" si="849"/>
        <v>0</v>
      </c>
      <c r="AP818" s="90">
        <f t="shared" si="850"/>
        <v>235</v>
      </c>
      <c r="AQ818" s="91" t="s">
        <v>85</v>
      </c>
      <c r="AV818" s="90">
        <f t="shared" si="851"/>
        <v>0</v>
      </c>
      <c r="AW818" s="90">
        <f t="shared" si="852"/>
        <v>0</v>
      </c>
      <c r="AX818" s="90">
        <f t="shared" si="853"/>
        <v>0</v>
      </c>
      <c r="AY818" s="91" t="s">
        <v>645</v>
      </c>
      <c r="AZ818" s="91" t="s">
        <v>1645</v>
      </c>
      <c r="BA818" s="154" t="s">
        <v>1649</v>
      </c>
      <c r="BC818" s="90">
        <f t="shared" si="854"/>
        <v>0</v>
      </c>
      <c r="BD818" s="90">
        <f t="shared" si="855"/>
        <v>235</v>
      </c>
      <c r="BE818" s="90">
        <v>0</v>
      </c>
      <c r="BF818" s="90">
        <f t="shared" si="856"/>
        <v>0</v>
      </c>
      <c r="BH818" s="90">
        <f t="shared" si="857"/>
        <v>0</v>
      </c>
      <c r="BI818" s="90">
        <f t="shared" si="858"/>
        <v>0</v>
      </c>
      <c r="BJ818" s="90">
        <f t="shared" si="859"/>
        <v>0</v>
      </c>
    </row>
    <row r="819" spans="1:62" ht="12.75" hidden="1">
      <c r="A819" s="88" t="s">
        <v>2035</v>
      </c>
      <c r="B819" s="88" t="s">
        <v>61</v>
      </c>
      <c r="C819" s="88" t="s">
        <v>332</v>
      </c>
      <c r="D819" s="88" t="s">
        <v>1631</v>
      </c>
      <c r="E819" s="88" t="s">
        <v>606</v>
      </c>
      <c r="F819" s="90"/>
      <c r="G819" s="90">
        <v>265</v>
      </c>
      <c r="H819" s="90">
        <f t="shared" si="834"/>
        <v>0</v>
      </c>
      <c r="I819" s="90">
        <f t="shared" si="835"/>
        <v>0</v>
      </c>
      <c r="J819" s="90">
        <f t="shared" si="836"/>
        <v>0</v>
      </c>
      <c r="K819" s="90">
        <v>0</v>
      </c>
      <c r="L819" s="90">
        <f t="shared" si="837"/>
        <v>0</v>
      </c>
      <c r="M819" s="91" t="s">
        <v>622</v>
      </c>
      <c r="O819" s="90"/>
      <c r="P819" s="90"/>
      <c r="Z819" s="90">
        <f t="shared" si="838"/>
        <v>0</v>
      </c>
      <c r="AB819" s="90">
        <f t="shared" si="839"/>
        <v>0</v>
      </c>
      <c r="AC819" s="90">
        <f t="shared" si="840"/>
        <v>0</v>
      </c>
      <c r="AD819" s="90">
        <f t="shared" si="841"/>
        <v>0</v>
      </c>
      <c r="AE819" s="90">
        <f t="shared" si="842"/>
        <v>0</v>
      </c>
      <c r="AF819" s="90">
        <f t="shared" si="843"/>
        <v>0</v>
      </c>
      <c r="AG819" s="90">
        <f t="shared" si="844"/>
        <v>0</v>
      </c>
      <c r="AH819" s="90">
        <f t="shared" si="845"/>
        <v>0</v>
      </c>
      <c r="AI819" s="154" t="s">
        <v>61</v>
      </c>
      <c r="AJ819" s="90">
        <f t="shared" si="846"/>
        <v>0</v>
      </c>
      <c r="AK819" s="90">
        <f t="shared" si="847"/>
        <v>0</v>
      </c>
      <c r="AL819" s="90">
        <f t="shared" si="848"/>
        <v>0</v>
      </c>
      <c r="AN819" s="90">
        <v>15</v>
      </c>
      <c r="AO819" s="90">
        <f t="shared" si="849"/>
        <v>0</v>
      </c>
      <c r="AP819" s="90">
        <f t="shared" si="850"/>
        <v>265</v>
      </c>
      <c r="AQ819" s="91" t="s">
        <v>85</v>
      </c>
      <c r="AV819" s="90">
        <f t="shared" si="851"/>
        <v>0</v>
      </c>
      <c r="AW819" s="90">
        <f t="shared" si="852"/>
        <v>0</v>
      </c>
      <c r="AX819" s="90">
        <f t="shared" si="853"/>
        <v>0</v>
      </c>
      <c r="AY819" s="91" t="s">
        <v>645</v>
      </c>
      <c r="AZ819" s="91" t="s">
        <v>1645</v>
      </c>
      <c r="BA819" s="154" t="s">
        <v>1649</v>
      </c>
      <c r="BC819" s="90">
        <f t="shared" si="854"/>
        <v>0</v>
      </c>
      <c r="BD819" s="90">
        <f t="shared" si="855"/>
        <v>265</v>
      </c>
      <c r="BE819" s="90">
        <v>0</v>
      </c>
      <c r="BF819" s="90">
        <f t="shared" si="856"/>
        <v>0</v>
      </c>
      <c r="BH819" s="90">
        <f t="shared" si="857"/>
        <v>0</v>
      </c>
      <c r="BI819" s="90">
        <f t="shared" si="858"/>
        <v>0</v>
      </c>
      <c r="BJ819" s="90">
        <f t="shared" si="859"/>
        <v>0</v>
      </c>
    </row>
    <row r="820" spans="1:62" ht="12.75" hidden="1">
      <c r="A820" s="88" t="s">
        <v>2036</v>
      </c>
      <c r="B820" s="88" t="s">
        <v>61</v>
      </c>
      <c r="C820" s="88" t="s">
        <v>333</v>
      </c>
      <c r="D820" s="88" t="s">
        <v>520</v>
      </c>
      <c r="E820" s="88" t="s">
        <v>606</v>
      </c>
      <c r="F820" s="90"/>
      <c r="G820" s="90">
        <v>220</v>
      </c>
      <c r="H820" s="90">
        <f t="shared" si="834"/>
        <v>0</v>
      </c>
      <c r="I820" s="90">
        <f t="shared" si="835"/>
        <v>0</v>
      </c>
      <c r="J820" s="90">
        <f t="shared" si="836"/>
        <v>0</v>
      </c>
      <c r="K820" s="90">
        <v>0</v>
      </c>
      <c r="L820" s="90">
        <f t="shared" si="837"/>
        <v>0</v>
      </c>
      <c r="M820" s="91" t="s">
        <v>622</v>
      </c>
      <c r="O820" s="90"/>
      <c r="P820" s="90"/>
      <c r="Z820" s="90">
        <f t="shared" si="838"/>
        <v>0</v>
      </c>
      <c r="AB820" s="90">
        <f t="shared" si="839"/>
        <v>0</v>
      </c>
      <c r="AC820" s="90">
        <f t="shared" si="840"/>
        <v>0</v>
      </c>
      <c r="AD820" s="90">
        <f t="shared" si="841"/>
        <v>0</v>
      </c>
      <c r="AE820" s="90">
        <f t="shared" si="842"/>
        <v>0</v>
      </c>
      <c r="AF820" s="90">
        <f t="shared" si="843"/>
        <v>0</v>
      </c>
      <c r="AG820" s="90">
        <f t="shared" si="844"/>
        <v>0</v>
      </c>
      <c r="AH820" s="90">
        <f t="shared" si="845"/>
        <v>0</v>
      </c>
      <c r="AI820" s="154" t="s">
        <v>61</v>
      </c>
      <c r="AJ820" s="90">
        <f t="shared" si="846"/>
        <v>0</v>
      </c>
      <c r="AK820" s="90">
        <f t="shared" si="847"/>
        <v>0</v>
      </c>
      <c r="AL820" s="90">
        <f t="shared" si="848"/>
        <v>0</v>
      </c>
      <c r="AN820" s="90">
        <v>15</v>
      </c>
      <c r="AO820" s="90">
        <f t="shared" si="849"/>
        <v>0</v>
      </c>
      <c r="AP820" s="90">
        <f t="shared" si="850"/>
        <v>220</v>
      </c>
      <c r="AQ820" s="91" t="s">
        <v>85</v>
      </c>
      <c r="AV820" s="90">
        <f t="shared" si="851"/>
        <v>0</v>
      </c>
      <c r="AW820" s="90">
        <f t="shared" si="852"/>
        <v>0</v>
      </c>
      <c r="AX820" s="90">
        <f t="shared" si="853"/>
        <v>0</v>
      </c>
      <c r="AY820" s="91" t="s">
        <v>645</v>
      </c>
      <c r="AZ820" s="91" t="s">
        <v>1645</v>
      </c>
      <c r="BA820" s="154" t="s">
        <v>1649</v>
      </c>
      <c r="BC820" s="90">
        <f t="shared" si="854"/>
        <v>0</v>
      </c>
      <c r="BD820" s="90">
        <f t="shared" si="855"/>
        <v>220.00000000000003</v>
      </c>
      <c r="BE820" s="90">
        <v>0</v>
      </c>
      <c r="BF820" s="90">
        <f t="shared" si="856"/>
        <v>0</v>
      </c>
      <c r="BH820" s="90">
        <f t="shared" si="857"/>
        <v>0</v>
      </c>
      <c r="BI820" s="90">
        <f t="shared" si="858"/>
        <v>0</v>
      </c>
      <c r="BJ820" s="90">
        <f t="shared" si="859"/>
        <v>0</v>
      </c>
    </row>
    <row r="821" spans="1:62" ht="12.75" hidden="1">
      <c r="A821" s="88" t="s">
        <v>2037</v>
      </c>
      <c r="B821" s="88" t="s">
        <v>61</v>
      </c>
      <c r="C821" s="88" t="s">
        <v>334</v>
      </c>
      <c r="D821" s="88" t="s">
        <v>521</v>
      </c>
      <c r="E821" s="88" t="s">
        <v>606</v>
      </c>
      <c r="F821" s="90"/>
      <c r="G821" s="90">
        <v>31</v>
      </c>
      <c r="H821" s="90">
        <f t="shared" si="834"/>
        <v>0</v>
      </c>
      <c r="I821" s="90">
        <f t="shared" si="835"/>
        <v>0</v>
      </c>
      <c r="J821" s="90">
        <f t="shared" si="836"/>
        <v>0</v>
      </c>
      <c r="K821" s="90">
        <v>0</v>
      </c>
      <c r="L821" s="90">
        <f t="shared" si="837"/>
        <v>0</v>
      </c>
      <c r="M821" s="91" t="s">
        <v>622</v>
      </c>
      <c r="O821" s="90"/>
      <c r="P821" s="90"/>
      <c r="Z821" s="90">
        <f t="shared" si="838"/>
        <v>0</v>
      </c>
      <c r="AB821" s="90">
        <f t="shared" si="839"/>
        <v>0</v>
      </c>
      <c r="AC821" s="90">
        <f t="shared" si="840"/>
        <v>0</v>
      </c>
      <c r="AD821" s="90">
        <f t="shared" si="841"/>
        <v>0</v>
      </c>
      <c r="AE821" s="90">
        <f t="shared" si="842"/>
        <v>0</v>
      </c>
      <c r="AF821" s="90">
        <f t="shared" si="843"/>
        <v>0</v>
      </c>
      <c r="AG821" s="90">
        <f t="shared" si="844"/>
        <v>0</v>
      </c>
      <c r="AH821" s="90">
        <f t="shared" si="845"/>
        <v>0</v>
      </c>
      <c r="AI821" s="154" t="s">
        <v>61</v>
      </c>
      <c r="AJ821" s="90">
        <f t="shared" si="846"/>
        <v>0</v>
      </c>
      <c r="AK821" s="90">
        <f t="shared" si="847"/>
        <v>0</v>
      </c>
      <c r="AL821" s="90">
        <f t="shared" si="848"/>
        <v>0</v>
      </c>
      <c r="AN821" s="90">
        <v>15</v>
      </c>
      <c r="AO821" s="90">
        <f t="shared" si="849"/>
        <v>0</v>
      </c>
      <c r="AP821" s="90">
        <f t="shared" si="850"/>
        <v>31</v>
      </c>
      <c r="AQ821" s="91" t="s">
        <v>85</v>
      </c>
      <c r="AV821" s="90">
        <f t="shared" si="851"/>
        <v>0</v>
      </c>
      <c r="AW821" s="90">
        <f t="shared" si="852"/>
        <v>0</v>
      </c>
      <c r="AX821" s="90">
        <f t="shared" si="853"/>
        <v>0</v>
      </c>
      <c r="AY821" s="91" t="s">
        <v>645</v>
      </c>
      <c r="AZ821" s="91" t="s">
        <v>1645</v>
      </c>
      <c r="BA821" s="154" t="s">
        <v>1649</v>
      </c>
      <c r="BC821" s="90">
        <f t="shared" si="854"/>
        <v>0</v>
      </c>
      <c r="BD821" s="90">
        <f t="shared" si="855"/>
        <v>31</v>
      </c>
      <c r="BE821" s="90">
        <v>0</v>
      </c>
      <c r="BF821" s="90">
        <f t="shared" si="856"/>
        <v>0</v>
      </c>
      <c r="BH821" s="90">
        <f t="shared" si="857"/>
        <v>0</v>
      </c>
      <c r="BI821" s="90">
        <f t="shared" si="858"/>
        <v>0</v>
      </c>
      <c r="BJ821" s="90">
        <f t="shared" si="859"/>
        <v>0</v>
      </c>
    </row>
    <row r="822" spans="1:62" ht="12.75" hidden="1">
      <c r="A822" s="88" t="s">
        <v>2038</v>
      </c>
      <c r="B822" s="88" t="s">
        <v>61</v>
      </c>
      <c r="C822" s="88" t="s">
        <v>1588</v>
      </c>
      <c r="D822" s="88" t="s">
        <v>1632</v>
      </c>
      <c r="E822" s="88" t="s">
        <v>606</v>
      </c>
      <c r="F822" s="90"/>
      <c r="G822" s="90">
        <v>70</v>
      </c>
      <c r="H822" s="90">
        <f t="shared" si="834"/>
        <v>0</v>
      </c>
      <c r="I822" s="90">
        <f t="shared" si="835"/>
        <v>0</v>
      </c>
      <c r="J822" s="90">
        <f t="shared" si="836"/>
        <v>0</v>
      </c>
      <c r="K822" s="90">
        <v>0</v>
      </c>
      <c r="L822" s="90">
        <f t="shared" si="837"/>
        <v>0</v>
      </c>
      <c r="M822" s="91" t="s">
        <v>622</v>
      </c>
      <c r="O822" s="90"/>
      <c r="P822" s="90"/>
      <c r="Z822" s="90">
        <f t="shared" si="838"/>
        <v>0</v>
      </c>
      <c r="AB822" s="90">
        <f t="shared" si="839"/>
        <v>0</v>
      </c>
      <c r="AC822" s="90">
        <f t="shared" si="840"/>
        <v>0</v>
      </c>
      <c r="AD822" s="90">
        <f t="shared" si="841"/>
        <v>0</v>
      </c>
      <c r="AE822" s="90">
        <f t="shared" si="842"/>
        <v>0</v>
      </c>
      <c r="AF822" s="90">
        <f t="shared" si="843"/>
        <v>0</v>
      </c>
      <c r="AG822" s="90">
        <f t="shared" si="844"/>
        <v>0</v>
      </c>
      <c r="AH822" s="90">
        <f t="shared" si="845"/>
        <v>0</v>
      </c>
      <c r="AI822" s="154" t="s">
        <v>61</v>
      </c>
      <c r="AJ822" s="90">
        <f t="shared" si="846"/>
        <v>0</v>
      </c>
      <c r="AK822" s="90">
        <f t="shared" si="847"/>
        <v>0</v>
      </c>
      <c r="AL822" s="90">
        <f t="shared" si="848"/>
        <v>0</v>
      </c>
      <c r="AN822" s="90">
        <v>15</v>
      </c>
      <c r="AO822" s="90">
        <f t="shared" si="849"/>
        <v>0</v>
      </c>
      <c r="AP822" s="90">
        <f t="shared" si="850"/>
        <v>70</v>
      </c>
      <c r="AQ822" s="91" t="s">
        <v>85</v>
      </c>
      <c r="AV822" s="90">
        <f t="shared" si="851"/>
        <v>0</v>
      </c>
      <c r="AW822" s="90">
        <f t="shared" si="852"/>
        <v>0</v>
      </c>
      <c r="AX822" s="90">
        <f t="shared" si="853"/>
        <v>0</v>
      </c>
      <c r="AY822" s="91" t="s">
        <v>645</v>
      </c>
      <c r="AZ822" s="91" t="s">
        <v>1645</v>
      </c>
      <c r="BA822" s="154" t="s">
        <v>1649</v>
      </c>
      <c r="BC822" s="90">
        <f t="shared" si="854"/>
        <v>0</v>
      </c>
      <c r="BD822" s="90">
        <f t="shared" si="855"/>
        <v>70</v>
      </c>
      <c r="BE822" s="90">
        <v>0</v>
      </c>
      <c r="BF822" s="90">
        <f t="shared" si="856"/>
        <v>0</v>
      </c>
      <c r="BH822" s="90">
        <f t="shared" si="857"/>
        <v>0</v>
      </c>
      <c r="BI822" s="90">
        <f t="shared" si="858"/>
        <v>0</v>
      </c>
      <c r="BJ822" s="90">
        <f t="shared" si="859"/>
        <v>0</v>
      </c>
    </row>
    <row r="823" spans="1:62" ht="12.75" hidden="1">
      <c r="A823" s="88" t="s">
        <v>2039</v>
      </c>
      <c r="B823" s="88" t="s">
        <v>61</v>
      </c>
      <c r="C823" s="88" t="s">
        <v>1589</v>
      </c>
      <c r="D823" s="88" t="s">
        <v>523</v>
      </c>
      <c r="E823" s="88" t="s">
        <v>606</v>
      </c>
      <c r="F823" s="90"/>
      <c r="G823" s="90">
        <v>50</v>
      </c>
      <c r="H823" s="90">
        <f t="shared" si="834"/>
        <v>0</v>
      </c>
      <c r="I823" s="90">
        <f t="shared" si="835"/>
        <v>0</v>
      </c>
      <c r="J823" s="90">
        <f t="shared" si="836"/>
        <v>0</v>
      </c>
      <c r="K823" s="90">
        <v>0</v>
      </c>
      <c r="L823" s="90">
        <f t="shared" si="837"/>
        <v>0</v>
      </c>
      <c r="M823" s="91" t="s">
        <v>622</v>
      </c>
      <c r="O823" s="90"/>
      <c r="P823" s="90"/>
      <c r="Z823" s="90">
        <f t="shared" si="838"/>
        <v>0</v>
      </c>
      <c r="AB823" s="90">
        <f t="shared" si="839"/>
        <v>0</v>
      </c>
      <c r="AC823" s="90">
        <f t="shared" si="840"/>
        <v>0</v>
      </c>
      <c r="AD823" s="90">
        <f t="shared" si="841"/>
        <v>0</v>
      </c>
      <c r="AE823" s="90">
        <f t="shared" si="842"/>
        <v>0</v>
      </c>
      <c r="AF823" s="90">
        <f t="shared" si="843"/>
        <v>0</v>
      </c>
      <c r="AG823" s="90">
        <f t="shared" si="844"/>
        <v>0</v>
      </c>
      <c r="AH823" s="90">
        <f t="shared" si="845"/>
        <v>0</v>
      </c>
      <c r="AI823" s="154" t="s">
        <v>61</v>
      </c>
      <c r="AJ823" s="90">
        <f t="shared" si="846"/>
        <v>0</v>
      </c>
      <c r="AK823" s="90">
        <f t="shared" si="847"/>
        <v>0</v>
      </c>
      <c r="AL823" s="90">
        <f t="shared" si="848"/>
        <v>0</v>
      </c>
      <c r="AN823" s="90">
        <v>15</v>
      </c>
      <c r="AO823" s="90">
        <f t="shared" si="849"/>
        <v>0</v>
      </c>
      <c r="AP823" s="90">
        <f t="shared" si="850"/>
        <v>50</v>
      </c>
      <c r="AQ823" s="91" t="s">
        <v>85</v>
      </c>
      <c r="AV823" s="90">
        <f t="shared" si="851"/>
        <v>0</v>
      </c>
      <c r="AW823" s="90">
        <f t="shared" si="852"/>
        <v>0</v>
      </c>
      <c r="AX823" s="90">
        <f t="shared" si="853"/>
        <v>0</v>
      </c>
      <c r="AY823" s="91" t="s">
        <v>645</v>
      </c>
      <c r="AZ823" s="91" t="s">
        <v>1645</v>
      </c>
      <c r="BA823" s="154" t="s">
        <v>1649</v>
      </c>
      <c r="BC823" s="90">
        <f t="shared" si="854"/>
        <v>0</v>
      </c>
      <c r="BD823" s="90">
        <f t="shared" si="855"/>
        <v>50</v>
      </c>
      <c r="BE823" s="90">
        <v>0</v>
      </c>
      <c r="BF823" s="90">
        <f t="shared" si="856"/>
        <v>0</v>
      </c>
      <c r="BH823" s="90">
        <f t="shared" si="857"/>
        <v>0</v>
      </c>
      <c r="BI823" s="90">
        <f t="shared" si="858"/>
        <v>0</v>
      </c>
      <c r="BJ823" s="90">
        <f t="shared" si="859"/>
        <v>0</v>
      </c>
    </row>
    <row r="824" spans="1:62" ht="12.75" hidden="1">
      <c r="A824" s="88" t="s">
        <v>2040</v>
      </c>
      <c r="B824" s="88" t="s">
        <v>61</v>
      </c>
      <c r="C824" s="88" t="s">
        <v>335</v>
      </c>
      <c r="D824" s="88" t="s">
        <v>1633</v>
      </c>
      <c r="E824" s="88" t="s">
        <v>606</v>
      </c>
      <c r="F824" s="90"/>
      <c r="G824" s="90">
        <v>506.25</v>
      </c>
      <c r="H824" s="90">
        <f t="shared" si="834"/>
        <v>0</v>
      </c>
      <c r="I824" s="90">
        <f t="shared" si="835"/>
        <v>0</v>
      </c>
      <c r="J824" s="90">
        <f t="shared" si="836"/>
        <v>0</v>
      </c>
      <c r="K824" s="90">
        <v>0</v>
      </c>
      <c r="L824" s="90">
        <f t="shared" si="837"/>
        <v>0</v>
      </c>
      <c r="M824" s="91" t="s">
        <v>622</v>
      </c>
      <c r="O824" s="90"/>
      <c r="P824" s="90"/>
      <c r="Z824" s="90">
        <f t="shared" si="838"/>
        <v>0</v>
      </c>
      <c r="AB824" s="90">
        <f t="shared" si="839"/>
        <v>0</v>
      </c>
      <c r="AC824" s="90">
        <f t="shared" si="840"/>
        <v>0</v>
      </c>
      <c r="AD824" s="90">
        <f t="shared" si="841"/>
        <v>0</v>
      </c>
      <c r="AE824" s="90">
        <f t="shared" si="842"/>
        <v>0</v>
      </c>
      <c r="AF824" s="90">
        <f t="shared" si="843"/>
        <v>0</v>
      </c>
      <c r="AG824" s="90">
        <f t="shared" si="844"/>
        <v>0</v>
      </c>
      <c r="AH824" s="90">
        <f t="shared" si="845"/>
        <v>0</v>
      </c>
      <c r="AI824" s="154" t="s">
        <v>61</v>
      </c>
      <c r="AJ824" s="90">
        <f t="shared" si="846"/>
        <v>0</v>
      </c>
      <c r="AK824" s="90">
        <f t="shared" si="847"/>
        <v>0</v>
      </c>
      <c r="AL824" s="90">
        <f t="shared" si="848"/>
        <v>0</v>
      </c>
      <c r="AN824" s="90">
        <v>15</v>
      </c>
      <c r="AO824" s="90">
        <f t="shared" si="849"/>
        <v>0</v>
      </c>
      <c r="AP824" s="90">
        <f t="shared" si="850"/>
        <v>506.25</v>
      </c>
      <c r="AQ824" s="91" t="s">
        <v>85</v>
      </c>
      <c r="AV824" s="90">
        <f t="shared" si="851"/>
        <v>0</v>
      </c>
      <c r="AW824" s="90">
        <f t="shared" si="852"/>
        <v>0</v>
      </c>
      <c r="AX824" s="90">
        <f t="shared" si="853"/>
        <v>0</v>
      </c>
      <c r="AY824" s="91" t="s">
        <v>645</v>
      </c>
      <c r="AZ824" s="91" t="s">
        <v>1645</v>
      </c>
      <c r="BA824" s="154" t="s">
        <v>1649</v>
      </c>
      <c r="BC824" s="90">
        <f t="shared" si="854"/>
        <v>0</v>
      </c>
      <c r="BD824" s="90">
        <f t="shared" si="855"/>
        <v>506.25</v>
      </c>
      <c r="BE824" s="90">
        <v>0</v>
      </c>
      <c r="BF824" s="90">
        <f t="shared" si="856"/>
        <v>0</v>
      </c>
      <c r="BH824" s="90">
        <f t="shared" si="857"/>
        <v>0</v>
      </c>
      <c r="BI824" s="90">
        <f t="shared" si="858"/>
        <v>0</v>
      </c>
      <c r="BJ824" s="90">
        <f t="shared" si="859"/>
        <v>0</v>
      </c>
    </row>
    <row r="825" spans="1:62" ht="12.75" hidden="1">
      <c r="A825" s="88" t="s">
        <v>2041</v>
      </c>
      <c r="B825" s="88" t="s">
        <v>61</v>
      </c>
      <c r="C825" s="88" t="s">
        <v>336</v>
      </c>
      <c r="D825" s="88" t="s">
        <v>1634</v>
      </c>
      <c r="E825" s="88" t="s">
        <v>606</v>
      </c>
      <c r="F825" s="90"/>
      <c r="G825" s="90">
        <v>727.5</v>
      </c>
      <c r="H825" s="90">
        <f t="shared" si="834"/>
        <v>0</v>
      </c>
      <c r="I825" s="90">
        <f t="shared" si="835"/>
        <v>0</v>
      </c>
      <c r="J825" s="90">
        <f t="shared" si="836"/>
        <v>0</v>
      </c>
      <c r="K825" s="90">
        <v>0</v>
      </c>
      <c r="L825" s="90">
        <f t="shared" si="837"/>
        <v>0</v>
      </c>
      <c r="M825" s="91" t="s">
        <v>622</v>
      </c>
      <c r="O825" s="90"/>
      <c r="P825" s="90"/>
      <c r="Z825" s="90">
        <f t="shared" si="838"/>
        <v>0</v>
      </c>
      <c r="AB825" s="90">
        <f t="shared" si="839"/>
        <v>0</v>
      </c>
      <c r="AC825" s="90">
        <f t="shared" si="840"/>
        <v>0</v>
      </c>
      <c r="AD825" s="90">
        <f t="shared" si="841"/>
        <v>0</v>
      </c>
      <c r="AE825" s="90">
        <f t="shared" si="842"/>
        <v>0</v>
      </c>
      <c r="AF825" s="90">
        <f t="shared" si="843"/>
        <v>0</v>
      </c>
      <c r="AG825" s="90">
        <f t="shared" si="844"/>
        <v>0</v>
      </c>
      <c r="AH825" s="90">
        <f t="shared" si="845"/>
        <v>0</v>
      </c>
      <c r="AI825" s="154" t="s">
        <v>61</v>
      </c>
      <c r="AJ825" s="90">
        <f t="shared" si="846"/>
        <v>0</v>
      </c>
      <c r="AK825" s="90">
        <f t="shared" si="847"/>
        <v>0</v>
      </c>
      <c r="AL825" s="90">
        <f t="shared" si="848"/>
        <v>0</v>
      </c>
      <c r="AN825" s="90">
        <v>15</v>
      </c>
      <c r="AO825" s="90">
        <f t="shared" si="849"/>
        <v>0</v>
      </c>
      <c r="AP825" s="90">
        <f t="shared" si="850"/>
        <v>727.5</v>
      </c>
      <c r="AQ825" s="91" t="s">
        <v>85</v>
      </c>
      <c r="AV825" s="90">
        <f t="shared" si="851"/>
        <v>0</v>
      </c>
      <c r="AW825" s="90">
        <f t="shared" si="852"/>
        <v>0</v>
      </c>
      <c r="AX825" s="90">
        <f t="shared" si="853"/>
        <v>0</v>
      </c>
      <c r="AY825" s="91" t="s">
        <v>645</v>
      </c>
      <c r="AZ825" s="91" t="s">
        <v>1645</v>
      </c>
      <c r="BA825" s="154" t="s">
        <v>1649</v>
      </c>
      <c r="BC825" s="90">
        <f t="shared" si="854"/>
        <v>0</v>
      </c>
      <c r="BD825" s="90">
        <f t="shared" si="855"/>
        <v>727.5</v>
      </c>
      <c r="BE825" s="90">
        <v>0</v>
      </c>
      <c r="BF825" s="90">
        <f t="shared" si="856"/>
        <v>0</v>
      </c>
      <c r="BH825" s="90">
        <f t="shared" si="857"/>
        <v>0</v>
      </c>
      <c r="BI825" s="90">
        <f t="shared" si="858"/>
        <v>0</v>
      </c>
      <c r="BJ825" s="90">
        <f t="shared" si="859"/>
        <v>0</v>
      </c>
    </row>
    <row r="826" spans="1:62" ht="12.75" hidden="1">
      <c r="A826" s="88" t="s">
        <v>2042</v>
      </c>
      <c r="B826" s="88" t="s">
        <v>61</v>
      </c>
      <c r="C826" s="88" t="s">
        <v>337</v>
      </c>
      <c r="D826" s="88" t="s">
        <v>526</v>
      </c>
      <c r="E826" s="88" t="s">
        <v>606</v>
      </c>
      <c r="F826" s="90"/>
      <c r="G826" s="90">
        <v>186</v>
      </c>
      <c r="H826" s="90">
        <f t="shared" si="834"/>
        <v>0</v>
      </c>
      <c r="I826" s="90">
        <f t="shared" si="835"/>
        <v>0</v>
      </c>
      <c r="J826" s="90">
        <f t="shared" si="836"/>
        <v>0</v>
      </c>
      <c r="K826" s="90">
        <v>0</v>
      </c>
      <c r="L826" s="90">
        <f t="shared" si="837"/>
        <v>0</v>
      </c>
      <c r="M826" s="91" t="s">
        <v>622</v>
      </c>
      <c r="O826" s="90"/>
      <c r="P826" s="90"/>
      <c r="Z826" s="90">
        <f t="shared" si="838"/>
        <v>0</v>
      </c>
      <c r="AB826" s="90">
        <f t="shared" si="839"/>
        <v>0</v>
      </c>
      <c r="AC826" s="90">
        <f t="shared" si="840"/>
        <v>0</v>
      </c>
      <c r="AD826" s="90">
        <f t="shared" si="841"/>
        <v>0</v>
      </c>
      <c r="AE826" s="90">
        <f t="shared" si="842"/>
        <v>0</v>
      </c>
      <c r="AF826" s="90">
        <f t="shared" si="843"/>
        <v>0</v>
      </c>
      <c r="AG826" s="90">
        <f t="shared" si="844"/>
        <v>0</v>
      </c>
      <c r="AH826" s="90">
        <f t="shared" si="845"/>
        <v>0</v>
      </c>
      <c r="AI826" s="154" t="s">
        <v>61</v>
      </c>
      <c r="AJ826" s="90">
        <f t="shared" si="846"/>
        <v>0</v>
      </c>
      <c r="AK826" s="90">
        <f t="shared" si="847"/>
        <v>0</v>
      </c>
      <c r="AL826" s="90">
        <f t="shared" si="848"/>
        <v>0</v>
      </c>
      <c r="AN826" s="90">
        <v>15</v>
      </c>
      <c r="AO826" s="90">
        <f t="shared" si="849"/>
        <v>0</v>
      </c>
      <c r="AP826" s="90">
        <f t="shared" si="850"/>
        <v>186</v>
      </c>
      <c r="AQ826" s="91" t="s">
        <v>85</v>
      </c>
      <c r="AV826" s="90">
        <f t="shared" si="851"/>
        <v>0</v>
      </c>
      <c r="AW826" s="90">
        <f t="shared" si="852"/>
        <v>0</v>
      </c>
      <c r="AX826" s="90">
        <f t="shared" si="853"/>
        <v>0</v>
      </c>
      <c r="AY826" s="91" t="s">
        <v>645</v>
      </c>
      <c r="AZ826" s="91" t="s">
        <v>1645</v>
      </c>
      <c r="BA826" s="154" t="s">
        <v>1649</v>
      </c>
      <c r="BC826" s="90">
        <f t="shared" si="854"/>
        <v>0</v>
      </c>
      <c r="BD826" s="90">
        <f t="shared" si="855"/>
        <v>186</v>
      </c>
      <c r="BE826" s="90">
        <v>0</v>
      </c>
      <c r="BF826" s="90">
        <f t="shared" si="856"/>
        <v>0</v>
      </c>
      <c r="BH826" s="90">
        <f t="shared" si="857"/>
        <v>0</v>
      </c>
      <c r="BI826" s="90">
        <f t="shared" si="858"/>
        <v>0</v>
      </c>
      <c r="BJ826" s="90">
        <f t="shared" si="859"/>
        <v>0</v>
      </c>
    </row>
    <row r="827" spans="1:62" ht="12.75" hidden="1">
      <c r="A827" s="88" t="s">
        <v>2043</v>
      </c>
      <c r="B827" s="88" t="s">
        <v>61</v>
      </c>
      <c r="C827" s="88" t="s">
        <v>338</v>
      </c>
      <c r="D827" s="88" t="s">
        <v>527</v>
      </c>
      <c r="E827" s="88" t="s">
        <v>606</v>
      </c>
      <c r="F827" s="90"/>
      <c r="G827" s="90">
        <v>125</v>
      </c>
      <c r="H827" s="90">
        <f t="shared" si="834"/>
        <v>0</v>
      </c>
      <c r="I827" s="90">
        <f t="shared" si="835"/>
        <v>0</v>
      </c>
      <c r="J827" s="90">
        <f t="shared" si="836"/>
        <v>0</v>
      </c>
      <c r="K827" s="90">
        <v>0</v>
      </c>
      <c r="L827" s="90">
        <f t="shared" si="837"/>
        <v>0</v>
      </c>
      <c r="M827" s="91" t="s">
        <v>622</v>
      </c>
      <c r="O827" s="90"/>
      <c r="P827" s="90"/>
      <c r="Z827" s="90">
        <f t="shared" si="838"/>
        <v>0</v>
      </c>
      <c r="AB827" s="90">
        <f t="shared" si="839"/>
        <v>0</v>
      </c>
      <c r="AC827" s="90">
        <f t="shared" si="840"/>
        <v>0</v>
      </c>
      <c r="AD827" s="90">
        <f t="shared" si="841"/>
        <v>0</v>
      </c>
      <c r="AE827" s="90">
        <f t="shared" si="842"/>
        <v>0</v>
      </c>
      <c r="AF827" s="90">
        <f t="shared" si="843"/>
        <v>0</v>
      </c>
      <c r="AG827" s="90">
        <f t="shared" si="844"/>
        <v>0</v>
      </c>
      <c r="AH827" s="90">
        <f t="shared" si="845"/>
        <v>0</v>
      </c>
      <c r="AI827" s="154" t="s">
        <v>61</v>
      </c>
      <c r="AJ827" s="90">
        <f t="shared" si="846"/>
        <v>0</v>
      </c>
      <c r="AK827" s="90">
        <f t="shared" si="847"/>
        <v>0</v>
      </c>
      <c r="AL827" s="90">
        <f t="shared" si="848"/>
        <v>0</v>
      </c>
      <c r="AN827" s="90">
        <v>15</v>
      </c>
      <c r="AO827" s="90">
        <f t="shared" si="849"/>
        <v>0</v>
      </c>
      <c r="AP827" s="90">
        <f t="shared" si="850"/>
        <v>125</v>
      </c>
      <c r="AQ827" s="91" t="s">
        <v>85</v>
      </c>
      <c r="AV827" s="90">
        <f t="shared" si="851"/>
        <v>0</v>
      </c>
      <c r="AW827" s="90">
        <f t="shared" si="852"/>
        <v>0</v>
      </c>
      <c r="AX827" s="90">
        <f t="shared" si="853"/>
        <v>0</v>
      </c>
      <c r="AY827" s="91" t="s">
        <v>645</v>
      </c>
      <c r="AZ827" s="91" t="s">
        <v>1645</v>
      </c>
      <c r="BA827" s="154" t="s">
        <v>1649</v>
      </c>
      <c r="BC827" s="90">
        <f t="shared" si="854"/>
        <v>0</v>
      </c>
      <c r="BD827" s="90">
        <f t="shared" si="855"/>
        <v>125</v>
      </c>
      <c r="BE827" s="90">
        <v>0</v>
      </c>
      <c r="BF827" s="90">
        <f t="shared" si="856"/>
        <v>0</v>
      </c>
      <c r="BH827" s="90">
        <f t="shared" si="857"/>
        <v>0</v>
      </c>
      <c r="BI827" s="90">
        <f t="shared" si="858"/>
        <v>0</v>
      </c>
      <c r="BJ827" s="90">
        <f t="shared" si="859"/>
        <v>0</v>
      </c>
    </row>
    <row r="828" spans="1:62" ht="12.75" hidden="1">
      <c r="A828" s="88" t="s">
        <v>2044</v>
      </c>
      <c r="B828" s="88" t="s">
        <v>61</v>
      </c>
      <c r="C828" s="88" t="s">
        <v>339</v>
      </c>
      <c r="D828" s="88" t="s">
        <v>528</v>
      </c>
      <c r="E828" s="88" t="s">
        <v>606</v>
      </c>
      <c r="F828" s="90"/>
      <c r="G828" s="90">
        <v>19025</v>
      </c>
      <c r="H828" s="90">
        <f t="shared" si="834"/>
        <v>0</v>
      </c>
      <c r="I828" s="90">
        <f t="shared" si="835"/>
        <v>0</v>
      </c>
      <c r="J828" s="90">
        <f t="shared" si="836"/>
        <v>0</v>
      </c>
      <c r="K828" s="90">
        <v>0</v>
      </c>
      <c r="L828" s="90">
        <f t="shared" si="837"/>
        <v>0</v>
      </c>
      <c r="M828" s="91" t="s">
        <v>622</v>
      </c>
      <c r="O828" s="90"/>
      <c r="P828" s="90"/>
      <c r="Z828" s="90">
        <f t="shared" si="838"/>
        <v>0</v>
      </c>
      <c r="AB828" s="90">
        <f t="shared" si="839"/>
        <v>0</v>
      </c>
      <c r="AC828" s="90">
        <f t="shared" si="840"/>
        <v>0</v>
      </c>
      <c r="AD828" s="90">
        <f t="shared" si="841"/>
        <v>0</v>
      </c>
      <c r="AE828" s="90">
        <f t="shared" si="842"/>
        <v>0</v>
      </c>
      <c r="AF828" s="90">
        <f t="shared" si="843"/>
        <v>0</v>
      </c>
      <c r="AG828" s="90">
        <f t="shared" si="844"/>
        <v>0</v>
      </c>
      <c r="AH828" s="90">
        <f t="shared" si="845"/>
        <v>0</v>
      </c>
      <c r="AI828" s="154" t="s">
        <v>61</v>
      </c>
      <c r="AJ828" s="90">
        <f t="shared" si="846"/>
        <v>0</v>
      </c>
      <c r="AK828" s="90">
        <f t="shared" si="847"/>
        <v>0</v>
      </c>
      <c r="AL828" s="90">
        <f t="shared" si="848"/>
        <v>0</v>
      </c>
      <c r="AN828" s="90">
        <v>15</v>
      </c>
      <c r="AO828" s="90">
        <f t="shared" si="849"/>
        <v>0</v>
      </c>
      <c r="AP828" s="90">
        <f t="shared" si="850"/>
        <v>19025</v>
      </c>
      <c r="AQ828" s="91" t="s">
        <v>85</v>
      </c>
      <c r="AV828" s="90">
        <f t="shared" si="851"/>
        <v>0</v>
      </c>
      <c r="AW828" s="90">
        <f t="shared" si="852"/>
        <v>0</v>
      </c>
      <c r="AX828" s="90">
        <f t="shared" si="853"/>
        <v>0</v>
      </c>
      <c r="AY828" s="91" t="s">
        <v>645</v>
      </c>
      <c r="AZ828" s="91" t="s">
        <v>1645</v>
      </c>
      <c r="BA828" s="154" t="s">
        <v>1649</v>
      </c>
      <c r="BC828" s="90">
        <f t="shared" si="854"/>
        <v>0</v>
      </c>
      <c r="BD828" s="90">
        <f t="shared" si="855"/>
        <v>19025</v>
      </c>
      <c r="BE828" s="90">
        <v>0</v>
      </c>
      <c r="BF828" s="90">
        <f t="shared" si="856"/>
        <v>0</v>
      </c>
      <c r="BH828" s="90">
        <f t="shared" si="857"/>
        <v>0</v>
      </c>
      <c r="BI828" s="90">
        <f t="shared" si="858"/>
        <v>0</v>
      </c>
      <c r="BJ828" s="90">
        <f t="shared" si="859"/>
        <v>0</v>
      </c>
    </row>
    <row r="829" spans="1:62" ht="12.75" hidden="1">
      <c r="A829" s="88" t="s">
        <v>2045</v>
      </c>
      <c r="B829" s="88" t="s">
        <v>61</v>
      </c>
      <c r="C829" s="88" t="s">
        <v>340</v>
      </c>
      <c r="D829" s="88" t="s">
        <v>530</v>
      </c>
      <c r="E829" s="88" t="s">
        <v>611</v>
      </c>
      <c r="F829" s="90"/>
      <c r="G829" s="90">
        <v>450</v>
      </c>
      <c r="H829" s="90">
        <f t="shared" si="834"/>
        <v>0</v>
      </c>
      <c r="I829" s="90">
        <f t="shared" si="835"/>
        <v>0</v>
      </c>
      <c r="J829" s="90">
        <f t="shared" si="836"/>
        <v>0</v>
      </c>
      <c r="K829" s="90">
        <v>0</v>
      </c>
      <c r="L829" s="90">
        <f t="shared" si="837"/>
        <v>0</v>
      </c>
      <c r="M829" s="91" t="s">
        <v>622</v>
      </c>
      <c r="O829" s="90"/>
      <c r="P829" s="90"/>
      <c r="Z829" s="90">
        <f t="shared" si="838"/>
        <v>0</v>
      </c>
      <c r="AB829" s="90">
        <f t="shared" si="839"/>
        <v>0</v>
      </c>
      <c r="AC829" s="90">
        <f t="shared" si="840"/>
        <v>0</v>
      </c>
      <c r="AD829" s="90">
        <f t="shared" si="841"/>
        <v>0</v>
      </c>
      <c r="AE829" s="90">
        <f t="shared" si="842"/>
        <v>0</v>
      </c>
      <c r="AF829" s="90">
        <f t="shared" si="843"/>
        <v>0</v>
      </c>
      <c r="AG829" s="90">
        <f t="shared" si="844"/>
        <v>0</v>
      </c>
      <c r="AH829" s="90">
        <f t="shared" si="845"/>
        <v>0</v>
      </c>
      <c r="AI829" s="154" t="s">
        <v>61</v>
      </c>
      <c r="AJ829" s="90">
        <f t="shared" si="846"/>
        <v>0</v>
      </c>
      <c r="AK829" s="90">
        <f t="shared" si="847"/>
        <v>0</v>
      </c>
      <c r="AL829" s="90">
        <f t="shared" si="848"/>
        <v>0</v>
      </c>
      <c r="AN829" s="90">
        <v>15</v>
      </c>
      <c r="AO829" s="90">
        <f t="shared" si="849"/>
        <v>0</v>
      </c>
      <c r="AP829" s="90">
        <f t="shared" si="850"/>
        <v>450</v>
      </c>
      <c r="AQ829" s="91" t="s">
        <v>85</v>
      </c>
      <c r="AV829" s="90">
        <f t="shared" si="851"/>
        <v>0</v>
      </c>
      <c r="AW829" s="90">
        <f t="shared" si="852"/>
        <v>0</v>
      </c>
      <c r="AX829" s="90">
        <f t="shared" si="853"/>
        <v>0</v>
      </c>
      <c r="AY829" s="91" t="s">
        <v>645</v>
      </c>
      <c r="AZ829" s="91" t="s">
        <v>1645</v>
      </c>
      <c r="BA829" s="154" t="s">
        <v>1649</v>
      </c>
      <c r="BC829" s="90">
        <f t="shared" si="854"/>
        <v>0</v>
      </c>
      <c r="BD829" s="90">
        <f t="shared" si="855"/>
        <v>450</v>
      </c>
      <c r="BE829" s="90">
        <v>0</v>
      </c>
      <c r="BF829" s="90">
        <f t="shared" si="856"/>
        <v>0</v>
      </c>
      <c r="BH829" s="90">
        <f t="shared" si="857"/>
        <v>0</v>
      </c>
      <c r="BI829" s="90">
        <f t="shared" si="858"/>
        <v>0</v>
      </c>
      <c r="BJ829" s="90">
        <f t="shared" si="859"/>
        <v>0</v>
      </c>
    </row>
    <row r="830" spans="1:62" ht="12.75" hidden="1">
      <c r="A830" s="88" t="s">
        <v>2046</v>
      </c>
      <c r="B830" s="88" t="s">
        <v>61</v>
      </c>
      <c r="C830" s="88" t="s">
        <v>1590</v>
      </c>
      <c r="D830" s="88" t="s">
        <v>531</v>
      </c>
      <c r="E830" s="88" t="s">
        <v>611</v>
      </c>
      <c r="F830" s="90"/>
      <c r="G830" s="90">
        <v>350</v>
      </c>
      <c r="H830" s="90">
        <f t="shared" si="834"/>
        <v>0</v>
      </c>
      <c r="I830" s="90">
        <f t="shared" si="835"/>
        <v>0</v>
      </c>
      <c r="J830" s="90">
        <f t="shared" si="836"/>
        <v>0</v>
      </c>
      <c r="K830" s="90">
        <v>0</v>
      </c>
      <c r="L830" s="90">
        <f t="shared" si="837"/>
        <v>0</v>
      </c>
      <c r="M830" s="91" t="s">
        <v>622</v>
      </c>
      <c r="O830" s="90"/>
      <c r="P830" s="90"/>
      <c r="Z830" s="90">
        <f t="shared" si="838"/>
        <v>0</v>
      </c>
      <c r="AB830" s="90">
        <f t="shared" si="839"/>
        <v>0</v>
      </c>
      <c r="AC830" s="90">
        <f t="shared" si="840"/>
        <v>0</v>
      </c>
      <c r="AD830" s="90">
        <f t="shared" si="841"/>
        <v>0</v>
      </c>
      <c r="AE830" s="90">
        <f t="shared" si="842"/>
        <v>0</v>
      </c>
      <c r="AF830" s="90">
        <f t="shared" si="843"/>
        <v>0</v>
      </c>
      <c r="AG830" s="90">
        <f t="shared" si="844"/>
        <v>0</v>
      </c>
      <c r="AH830" s="90">
        <f t="shared" si="845"/>
        <v>0</v>
      </c>
      <c r="AI830" s="154" t="s">
        <v>61</v>
      </c>
      <c r="AJ830" s="90">
        <f t="shared" si="846"/>
        <v>0</v>
      </c>
      <c r="AK830" s="90">
        <f t="shared" si="847"/>
        <v>0</v>
      </c>
      <c r="AL830" s="90">
        <f t="shared" si="848"/>
        <v>0</v>
      </c>
      <c r="AN830" s="90">
        <v>15</v>
      </c>
      <c r="AO830" s="90">
        <f t="shared" si="849"/>
        <v>0</v>
      </c>
      <c r="AP830" s="90">
        <f t="shared" si="850"/>
        <v>350</v>
      </c>
      <c r="AQ830" s="91" t="s">
        <v>85</v>
      </c>
      <c r="AV830" s="90">
        <f t="shared" si="851"/>
        <v>0</v>
      </c>
      <c r="AW830" s="90">
        <f t="shared" si="852"/>
        <v>0</v>
      </c>
      <c r="AX830" s="90">
        <f t="shared" si="853"/>
        <v>0</v>
      </c>
      <c r="AY830" s="91" t="s">
        <v>645</v>
      </c>
      <c r="AZ830" s="91" t="s">
        <v>1645</v>
      </c>
      <c r="BA830" s="154" t="s">
        <v>1649</v>
      </c>
      <c r="BC830" s="90">
        <f t="shared" si="854"/>
        <v>0</v>
      </c>
      <c r="BD830" s="90">
        <f t="shared" si="855"/>
        <v>350</v>
      </c>
      <c r="BE830" s="90">
        <v>0</v>
      </c>
      <c r="BF830" s="90">
        <f t="shared" si="856"/>
        <v>0</v>
      </c>
      <c r="BH830" s="90">
        <f t="shared" si="857"/>
        <v>0</v>
      </c>
      <c r="BI830" s="90">
        <f t="shared" si="858"/>
        <v>0</v>
      </c>
      <c r="BJ830" s="90">
        <f t="shared" si="859"/>
        <v>0</v>
      </c>
    </row>
    <row r="831" spans="1:62" ht="12.75" hidden="1">
      <c r="A831" s="88" t="s">
        <v>2047</v>
      </c>
      <c r="B831" s="88" t="s">
        <v>61</v>
      </c>
      <c r="C831" s="88" t="s">
        <v>1591</v>
      </c>
      <c r="D831" s="88" t="s">
        <v>532</v>
      </c>
      <c r="E831" s="88" t="s">
        <v>606</v>
      </c>
      <c r="F831" s="90"/>
      <c r="G831" s="90">
        <v>1000</v>
      </c>
      <c r="H831" s="90">
        <f t="shared" si="834"/>
        <v>0</v>
      </c>
      <c r="I831" s="90">
        <f t="shared" si="835"/>
        <v>0</v>
      </c>
      <c r="J831" s="90">
        <f t="shared" si="836"/>
        <v>0</v>
      </c>
      <c r="K831" s="90">
        <v>0</v>
      </c>
      <c r="L831" s="90">
        <f t="shared" si="837"/>
        <v>0</v>
      </c>
      <c r="M831" s="91" t="s">
        <v>622</v>
      </c>
      <c r="O831" s="90"/>
      <c r="P831" s="90"/>
      <c r="Z831" s="90">
        <f t="shared" si="838"/>
        <v>0</v>
      </c>
      <c r="AB831" s="90">
        <f t="shared" si="839"/>
        <v>0</v>
      </c>
      <c r="AC831" s="90">
        <f t="shared" si="840"/>
        <v>0</v>
      </c>
      <c r="AD831" s="90">
        <f t="shared" si="841"/>
        <v>0</v>
      </c>
      <c r="AE831" s="90">
        <f t="shared" si="842"/>
        <v>0</v>
      </c>
      <c r="AF831" s="90">
        <f t="shared" si="843"/>
        <v>0</v>
      </c>
      <c r="AG831" s="90">
        <f t="shared" si="844"/>
        <v>0</v>
      </c>
      <c r="AH831" s="90">
        <f t="shared" si="845"/>
        <v>0</v>
      </c>
      <c r="AI831" s="154" t="s">
        <v>61</v>
      </c>
      <c r="AJ831" s="90">
        <f t="shared" si="846"/>
        <v>0</v>
      </c>
      <c r="AK831" s="90">
        <f t="shared" si="847"/>
        <v>0</v>
      </c>
      <c r="AL831" s="90">
        <f t="shared" si="848"/>
        <v>0</v>
      </c>
      <c r="AN831" s="90">
        <v>15</v>
      </c>
      <c r="AO831" s="90">
        <f t="shared" si="849"/>
        <v>0</v>
      </c>
      <c r="AP831" s="90">
        <f t="shared" si="850"/>
        <v>1000</v>
      </c>
      <c r="AQ831" s="91" t="s">
        <v>85</v>
      </c>
      <c r="AV831" s="90">
        <f t="shared" si="851"/>
        <v>0</v>
      </c>
      <c r="AW831" s="90">
        <f t="shared" si="852"/>
        <v>0</v>
      </c>
      <c r="AX831" s="90">
        <f t="shared" si="853"/>
        <v>0</v>
      </c>
      <c r="AY831" s="91" t="s">
        <v>645</v>
      </c>
      <c r="AZ831" s="91" t="s">
        <v>1645</v>
      </c>
      <c r="BA831" s="154" t="s">
        <v>1649</v>
      </c>
      <c r="BC831" s="90">
        <f t="shared" si="854"/>
        <v>0</v>
      </c>
      <c r="BD831" s="90">
        <f t="shared" si="855"/>
        <v>1000</v>
      </c>
      <c r="BE831" s="90">
        <v>0</v>
      </c>
      <c r="BF831" s="90">
        <f t="shared" si="856"/>
        <v>0</v>
      </c>
      <c r="BH831" s="90">
        <f t="shared" si="857"/>
        <v>0</v>
      </c>
      <c r="BI831" s="90">
        <f t="shared" si="858"/>
        <v>0</v>
      </c>
      <c r="BJ831" s="90">
        <f t="shared" si="859"/>
        <v>0</v>
      </c>
    </row>
    <row r="832" spans="1:62" ht="12.75" hidden="1">
      <c r="A832" s="88" t="s">
        <v>2048</v>
      </c>
      <c r="B832" s="88" t="s">
        <v>61</v>
      </c>
      <c r="C832" s="88" t="s">
        <v>341</v>
      </c>
      <c r="D832" s="88" t="s">
        <v>529</v>
      </c>
      <c r="E832" s="88" t="s">
        <v>609</v>
      </c>
      <c r="F832" s="90"/>
      <c r="G832" s="90">
        <v>80</v>
      </c>
      <c r="H832" s="90">
        <f t="shared" si="834"/>
        <v>0</v>
      </c>
      <c r="I832" s="90">
        <f t="shared" si="835"/>
        <v>0</v>
      </c>
      <c r="J832" s="90">
        <f t="shared" si="836"/>
        <v>0</v>
      </c>
      <c r="K832" s="90">
        <v>0</v>
      </c>
      <c r="L832" s="90">
        <f t="shared" si="837"/>
        <v>0</v>
      </c>
      <c r="M832" s="91" t="s">
        <v>622</v>
      </c>
      <c r="O832" s="90"/>
      <c r="P832" s="90"/>
      <c r="Z832" s="90">
        <f t="shared" si="838"/>
        <v>0</v>
      </c>
      <c r="AB832" s="90">
        <f t="shared" si="839"/>
        <v>0</v>
      </c>
      <c r="AC832" s="90">
        <f t="shared" si="840"/>
        <v>0</v>
      </c>
      <c r="AD832" s="90">
        <f t="shared" si="841"/>
        <v>0</v>
      </c>
      <c r="AE832" s="90">
        <f t="shared" si="842"/>
        <v>0</v>
      </c>
      <c r="AF832" s="90">
        <f t="shared" si="843"/>
        <v>0</v>
      </c>
      <c r="AG832" s="90">
        <f t="shared" si="844"/>
        <v>0</v>
      </c>
      <c r="AH832" s="90">
        <f t="shared" si="845"/>
        <v>0</v>
      </c>
      <c r="AI832" s="154" t="s">
        <v>61</v>
      </c>
      <c r="AJ832" s="90">
        <f t="shared" si="846"/>
        <v>0</v>
      </c>
      <c r="AK832" s="90">
        <f t="shared" si="847"/>
        <v>0</v>
      </c>
      <c r="AL832" s="90">
        <f t="shared" si="848"/>
        <v>0</v>
      </c>
      <c r="AN832" s="90">
        <v>15</v>
      </c>
      <c r="AO832" s="90">
        <f t="shared" si="849"/>
        <v>0</v>
      </c>
      <c r="AP832" s="90">
        <f t="shared" si="850"/>
        <v>80</v>
      </c>
      <c r="AQ832" s="91" t="s">
        <v>85</v>
      </c>
      <c r="AV832" s="90">
        <f t="shared" si="851"/>
        <v>0</v>
      </c>
      <c r="AW832" s="90">
        <f t="shared" si="852"/>
        <v>0</v>
      </c>
      <c r="AX832" s="90">
        <f t="shared" si="853"/>
        <v>0</v>
      </c>
      <c r="AY832" s="91" t="s">
        <v>645</v>
      </c>
      <c r="AZ832" s="91" t="s">
        <v>1645</v>
      </c>
      <c r="BA832" s="154" t="s">
        <v>1649</v>
      </c>
      <c r="BC832" s="90">
        <f t="shared" si="854"/>
        <v>0</v>
      </c>
      <c r="BD832" s="90">
        <f t="shared" si="855"/>
        <v>80</v>
      </c>
      <c r="BE832" s="90">
        <v>0</v>
      </c>
      <c r="BF832" s="90">
        <f t="shared" si="856"/>
        <v>0</v>
      </c>
      <c r="BH832" s="90">
        <f t="shared" si="857"/>
        <v>0</v>
      </c>
      <c r="BI832" s="90">
        <f t="shared" si="858"/>
        <v>0</v>
      </c>
      <c r="BJ832" s="90">
        <f t="shared" si="859"/>
        <v>0</v>
      </c>
    </row>
    <row r="833" spans="1:62" ht="12.75" hidden="1">
      <c r="A833" s="88" t="s">
        <v>2049</v>
      </c>
      <c r="B833" s="88" t="s">
        <v>61</v>
      </c>
      <c r="C833" s="88" t="s">
        <v>344</v>
      </c>
      <c r="D833" s="88" t="s">
        <v>535</v>
      </c>
      <c r="E833" s="88" t="s">
        <v>606</v>
      </c>
      <c r="F833" s="90"/>
      <c r="G833" s="90">
        <v>5000</v>
      </c>
      <c r="H833" s="90">
        <f t="shared" si="834"/>
        <v>0</v>
      </c>
      <c r="I833" s="90">
        <f t="shared" si="835"/>
        <v>0</v>
      </c>
      <c r="J833" s="90">
        <f t="shared" si="836"/>
        <v>0</v>
      </c>
      <c r="K833" s="90">
        <v>0</v>
      </c>
      <c r="L833" s="90">
        <f t="shared" si="837"/>
        <v>0</v>
      </c>
      <c r="M833" s="91" t="s">
        <v>622</v>
      </c>
      <c r="O833" s="90"/>
      <c r="P833" s="90"/>
      <c r="Z833" s="90">
        <f t="shared" si="838"/>
        <v>0</v>
      </c>
      <c r="AB833" s="90">
        <f t="shared" si="839"/>
        <v>0</v>
      </c>
      <c r="AC833" s="90">
        <f t="shared" si="840"/>
        <v>0</v>
      </c>
      <c r="AD833" s="90">
        <f t="shared" si="841"/>
        <v>0</v>
      </c>
      <c r="AE833" s="90">
        <f t="shared" si="842"/>
        <v>0</v>
      </c>
      <c r="AF833" s="90">
        <f t="shared" si="843"/>
        <v>0</v>
      </c>
      <c r="AG833" s="90">
        <f t="shared" si="844"/>
        <v>0</v>
      </c>
      <c r="AH833" s="90">
        <f t="shared" si="845"/>
        <v>0</v>
      </c>
      <c r="AI833" s="154" t="s">
        <v>61</v>
      </c>
      <c r="AJ833" s="90">
        <f t="shared" si="846"/>
        <v>0</v>
      </c>
      <c r="AK833" s="90">
        <f t="shared" si="847"/>
        <v>0</v>
      </c>
      <c r="AL833" s="90">
        <f t="shared" si="848"/>
        <v>0</v>
      </c>
      <c r="AN833" s="90">
        <v>15</v>
      </c>
      <c r="AO833" s="90">
        <f t="shared" si="849"/>
        <v>0</v>
      </c>
      <c r="AP833" s="90">
        <f t="shared" si="850"/>
        <v>5000</v>
      </c>
      <c r="AQ833" s="91" t="s">
        <v>85</v>
      </c>
      <c r="AV833" s="90">
        <f t="shared" si="851"/>
        <v>0</v>
      </c>
      <c r="AW833" s="90">
        <f t="shared" si="852"/>
        <v>0</v>
      </c>
      <c r="AX833" s="90">
        <f t="shared" si="853"/>
        <v>0</v>
      </c>
      <c r="AY833" s="91" t="s">
        <v>645</v>
      </c>
      <c r="AZ833" s="91" t="s">
        <v>1645</v>
      </c>
      <c r="BA833" s="154" t="s">
        <v>1649</v>
      </c>
      <c r="BC833" s="90">
        <f t="shared" si="854"/>
        <v>0</v>
      </c>
      <c r="BD833" s="90">
        <f t="shared" si="855"/>
        <v>5000</v>
      </c>
      <c r="BE833" s="90">
        <v>0</v>
      </c>
      <c r="BF833" s="90">
        <f t="shared" si="856"/>
        <v>0</v>
      </c>
      <c r="BH833" s="90">
        <f t="shared" si="857"/>
        <v>0</v>
      </c>
      <c r="BI833" s="90">
        <f t="shared" si="858"/>
        <v>0</v>
      </c>
      <c r="BJ833" s="90">
        <f t="shared" si="859"/>
        <v>0</v>
      </c>
    </row>
    <row r="834" spans="1:62" ht="12.75" hidden="1">
      <c r="A834" s="88" t="s">
        <v>1100</v>
      </c>
      <c r="B834" s="88" t="s">
        <v>61</v>
      </c>
      <c r="C834" s="88" t="s">
        <v>347</v>
      </c>
      <c r="D834" s="88" t="s">
        <v>536</v>
      </c>
      <c r="E834" s="88" t="s">
        <v>606</v>
      </c>
      <c r="F834" s="90"/>
      <c r="G834" s="90">
        <v>4000</v>
      </c>
      <c r="H834" s="90">
        <f t="shared" si="834"/>
        <v>0</v>
      </c>
      <c r="I834" s="90">
        <f t="shared" si="835"/>
        <v>0</v>
      </c>
      <c r="J834" s="90">
        <f t="shared" si="836"/>
        <v>0</v>
      </c>
      <c r="K834" s="90">
        <v>0</v>
      </c>
      <c r="L834" s="90">
        <f t="shared" si="837"/>
        <v>0</v>
      </c>
      <c r="M834" s="91" t="s">
        <v>622</v>
      </c>
      <c r="O834" s="90"/>
      <c r="P834" s="90"/>
      <c r="Z834" s="90">
        <f t="shared" si="838"/>
        <v>0</v>
      </c>
      <c r="AB834" s="90">
        <f t="shared" si="839"/>
        <v>0</v>
      </c>
      <c r="AC834" s="90">
        <f t="shared" si="840"/>
        <v>0</v>
      </c>
      <c r="AD834" s="90">
        <f t="shared" si="841"/>
        <v>0</v>
      </c>
      <c r="AE834" s="90">
        <f t="shared" si="842"/>
        <v>0</v>
      </c>
      <c r="AF834" s="90">
        <f t="shared" si="843"/>
        <v>0</v>
      </c>
      <c r="AG834" s="90">
        <f t="shared" si="844"/>
        <v>0</v>
      </c>
      <c r="AH834" s="90">
        <f t="shared" si="845"/>
        <v>0</v>
      </c>
      <c r="AI834" s="154" t="s">
        <v>61</v>
      </c>
      <c r="AJ834" s="90">
        <f t="shared" si="846"/>
        <v>0</v>
      </c>
      <c r="AK834" s="90">
        <f t="shared" si="847"/>
        <v>0</v>
      </c>
      <c r="AL834" s="90">
        <f t="shared" si="848"/>
        <v>0</v>
      </c>
      <c r="AN834" s="90">
        <v>15</v>
      </c>
      <c r="AO834" s="90">
        <f t="shared" si="849"/>
        <v>0</v>
      </c>
      <c r="AP834" s="90">
        <f t="shared" si="850"/>
        <v>4000</v>
      </c>
      <c r="AQ834" s="91" t="s">
        <v>85</v>
      </c>
      <c r="AV834" s="90">
        <f t="shared" si="851"/>
        <v>0</v>
      </c>
      <c r="AW834" s="90">
        <f t="shared" si="852"/>
        <v>0</v>
      </c>
      <c r="AX834" s="90">
        <f t="shared" si="853"/>
        <v>0</v>
      </c>
      <c r="AY834" s="91" t="s">
        <v>645</v>
      </c>
      <c r="AZ834" s="91" t="s">
        <v>1645</v>
      </c>
      <c r="BA834" s="154" t="s">
        <v>1649</v>
      </c>
      <c r="BC834" s="90">
        <f t="shared" si="854"/>
        <v>0</v>
      </c>
      <c r="BD834" s="90">
        <f t="shared" si="855"/>
        <v>4000</v>
      </c>
      <c r="BE834" s="90">
        <v>0</v>
      </c>
      <c r="BF834" s="90">
        <f t="shared" si="856"/>
        <v>0</v>
      </c>
      <c r="BH834" s="90">
        <f t="shared" si="857"/>
        <v>0</v>
      </c>
      <c r="BI834" s="90">
        <f t="shared" si="858"/>
        <v>0</v>
      </c>
      <c r="BJ834" s="90">
        <f t="shared" si="859"/>
        <v>0</v>
      </c>
    </row>
    <row r="835" spans="1:62" ht="12.75" hidden="1">
      <c r="A835" s="88" t="s">
        <v>361</v>
      </c>
      <c r="B835" s="88" t="s">
        <v>61</v>
      </c>
      <c r="C835" s="88" t="s">
        <v>348</v>
      </c>
      <c r="D835" s="88" t="s">
        <v>537</v>
      </c>
      <c r="E835" s="88" t="s">
        <v>606</v>
      </c>
      <c r="F835" s="90"/>
      <c r="G835" s="90">
        <v>2500</v>
      </c>
      <c r="H835" s="90">
        <f t="shared" si="834"/>
        <v>0</v>
      </c>
      <c r="I835" s="90">
        <f t="shared" si="835"/>
        <v>0</v>
      </c>
      <c r="J835" s="90">
        <f t="shared" si="836"/>
        <v>0</v>
      </c>
      <c r="K835" s="90">
        <v>0</v>
      </c>
      <c r="L835" s="90">
        <f t="shared" si="837"/>
        <v>0</v>
      </c>
      <c r="M835" s="91" t="s">
        <v>622</v>
      </c>
      <c r="O835" s="90"/>
      <c r="P835" s="90"/>
      <c r="Z835" s="90">
        <f t="shared" si="838"/>
        <v>0</v>
      </c>
      <c r="AB835" s="90">
        <f t="shared" si="839"/>
        <v>0</v>
      </c>
      <c r="AC835" s="90">
        <f t="shared" si="840"/>
        <v>0</v>
      </c>
      <c r="AD835" s="90">
        <f t="shared" si="841"/>
        <v>0</v>
      </c>
      <c r="AE835" s="90">
        <f t="shared" si="842"/>
        <v>0</v>
      </c>
      <c r="AF835" s="90">
        <f t="shared" si="843"/>
        <v>0</v>
      </c>
      <c r="AG835" s="90">
        <f t="shared" si="844"/>
        <v>0</v>
      </c>
      <c r="AH835" s="90">
        <f t="shared" si="845"/>
        <v>0</v>
      </c>
      <c r="AI835" s="154" t="s">
        <v>61</v>
      </c>
      <c r="AJ835" s="90">
        <f t="shared" si="846"/>
        <v>0</v>
      </c>
      <c r="AK835" s="90">
        <f t="shared" si="847"/>
        <v>0</v>
      </c>
      <c r="AL835" s="90">
        <f t="shared" si="848"/>
        <v>0</v>
      </c>
      <c r="AN835" s="90">
        <v>15</v>
      </c>
      <c r="AO835" s="90">
        <f t="shared" si="849"/>
        <v>0</v>
      </c>
      <c r="AP835" s="90">
        <f t="shared" si="850"/>
        <v>2500</v>
      </c>
      <c r="AQ835" s="91" t="s">
        <v>85</v>
      </c>
      <c r="AV835" s="90">
        <f t="shared" si="851"/>
        <v>0</v>
      </c>
      <c r="AW835" s="90">
        <f t="shared" si="852"/>
        <v>0</v>
      </c>
      <c r="AX835" s="90">
        <f t="shared" si="853"/>
        <v>0</v>
      </c>
      <c r="AY835" s="91" t="s">
        <v>645</v>
      </c>
      <c r="AZ835" s="91" t="s">
        <v>1645</v>
      </c>
      <c r="BA835" s="154" t="s">
        <v>1649</v>
      </c>
      <c r="BC835" s="90">
        <f t="shared" si="854"/>
        <v>0</v>
      </c>
      <c r="BD835" s="90">
        <f t="shared" si="855"/>
        <v>2500</v>
      </c>
      <c r="BE835" s="90">
        <v>0</v>
      </c>
      <c r="BF835" s="90">
        <f t="shared" si="856"/>
        <v>0</v>
      </c>
      <c r="BH835" s="90">
        <f t="shared" si="857"/>
        <v>0</v>
      </c>
      <c r="BI835" s="90">
        <f t="shared" si="858"/>
        <v>0</v>
      </c>
      <c r="BJ835" s="90">
        <f t="shared" si="859"/>
        <v>0</v>
      </c>
    </row>
    <row r="836" spans="1:62" ht="12.75" hidden="1">
      <c r="A836" s="88" t="s">
        <v>2050</v>
      </c>
      <c r="B836" s="88" t="s">
        <v>61</v>
      </c>
      <c r="C836" s="88" t="s">
        <v>349</v>
      </c>
      <c r="D836" s="88" t="s">
        <v>538</v>
      </c>
      <c r="E836" s="88" t="s">
        <v>606</v>
      </c>
      <c r="F836" s="90"/>
      <c r="G836" s="90">
        <v>1000</v>
      </c>
      <c r="H836" s="90">
        <f t="shared" si="834"/>
        <v>0</v>
      </c>
      <c r="I836" s="90">
        <f t="shared" si="835"/>
        <v>0</v>
      </c>
      <c r="J836" s="90">
        <f t="shared" si="836"/>
        <v>0</v>
      </c>
      <c r="K836" s="90">
        <v>0</v>
      </c>
      <c r="L836" s="90">
        <f t="shared" si="837"/>
        <v>0</v>
      </c>
      <c r="M836" s="91" t="s">
        <v>622</v>
      </c>
      <c r="O836" s="90"/>
      <c r="P836" s="90"/>
      <c r="Z836" s="90">
        <f t="shared" si="838"/>
        <v>0</v>
      </c>
      <c r="AB836" s="90">
        <f t="shared" si="839"/>
        <v>0</v>
      </c>
      <c r="AC836" s="90">
        <f t="shared" si="840"/>
        <v>0</v>
      </c>
      <c r="AD836" s="90">
        <f t="shared" si="841"/>
        <v>0</v>
      </c>
      <c r="AE836" s="90">
        <f t="shared" si="842"/>
        <v>0</v>
      </c>
      <c r="AF836" s="90">
        <f t="shared" si="843"/>
        <v>0</v>
      </c>
      <c r="AG836" s="90">
        <f t="shared" si="844"/>
        <v>0</v>
      </c>
      <c r="AH836" s="90">
        <f t="shared" si="845"/>
        <v>0</v>
      </c>
      <c r="AI836" s="154" t="s">
        <v>61</v>
      </c>
      <c r="AJ836" s="90">
        <f t="shared" si="846"/>
        <v>0</v>
      </c>
      <c r="AK836" s="90">
        <f t="shared" si="847"/>
        <v>0</v>
      </c>
      <c r="AL836" s="90">
        <f t="shared" si="848"/>
        <v>0</v>
      </c>
      <c r="AN836" s="90">
        <v>15</v>
      </c>
      <c r="AO836" s="90">
        <f t="shared" si="849"/>
        <v>0</v>
      </c>
      <c r="AP836" s="90">
        <f t="shared" si="850"/>
        <v>1000</v>
      </c>
      <c r="AQ836" s="91" t="s">
        <v>85</v>
      </c>
      <c r="AV836" s="90">
        <f t="shared" si="851"/>
        <v>0</v>
      </c>
      <c r="AW836" s="90">
        <f t="shared" si="852"/>
        <v>0</v>
      </c>
      <c r="AX836" s="90">
        <f t="shared" si="853"/>
        <v>0</v>
      </c>
      <c r="AY836" s="91" t="s">
        <v>645</v>
      </c>
      <c r="AZ836" s="91" t="s">
        <v>1645</v>
      </c>
      <c r="BA836" s="154" t="s">
        <v>1649</v>
      </c>
      <c r="BC836" s="90">
        <f t="shared" si="854"/>
        <v>0</v>
      </c>
      <c r="BD836" s="90">
        <f t="shared" si="855"/>
        <v>1000</v>
      </c>
      <c r="BE836" s="90">
        <v>0</v>
      </c>
      <c r="BF836" s="90">
        <f t="shared" si="856"/>
        <v>0</v>
      </c>
      <c r="BH836" s="90">
        <f t="shared" si="857"/>
        <v>0</v>
      </c>
      <c r="BI836" s="90">
        <f t="shared" si="858"/>
        <v>0</v>
      </c>
      <c r="BJ836" s="90">
        <f t="shared" si="859"/>
        <v>0</v>
      </c>
    </row>
    <row r="837" spans="1:62" ht="12.75" hidden="1">
      <c r="A837" s="88" t="s">
        <v>2051</v>
      </c>
      <c r="B837" s="88" t="s">
        <v>61</v>
      </c>
      <c r="C837" s="88" t="s">
        <v>350</v>
      </c>
      <c r="D837" s="88" t="s">
        <v>541</v>
      </c>
      <c r="E837" s="88" t="s">
        <v>606</v>
      </c>
      <c r="F837" s="90"/>
      <c r="G837" s="90">
        <v>150</v>
      </c>
      <c r="H837" s="90">
        <f t="shared" si="834"/>
        <v>0</v>
      </c>
      <c r="I837" s="90">
        <f t="shared" si="835"/>
        <v>0</v>
      </c>
      <c r="J837" s="90">
        <f t="shared" si="836"/>
        <v>0</v>
      </c>
      <c r="K837" s="90">
        <v>0</v>
      </c>
      <c r="L837" s="90">
        <f t="shared" si="837"/>
        <v>0</v>
      </c>
      <c r="M837" s="91" t="s">
        <v>622</v>
      </c>
      <c r="O837" s="90"/>
      <c r="P837" s="90"/>
      <c r="Z837" s="90">
        <f t="shared" si="838"/>
        <v>0</v>
      </c>
      <c r="AB837" s="90">
        <f t="shared" si="839"/>
        <v>0</v>
      </c>
      <c r="AC837" s="90">
        <f t="shared" si="840"/>
        <v>0</v>
      </c>
      <c r="AD837" s="90">
        <f t="shared" si="841"/>
        <v>0</v>
      </c>
      <c r="AE837" s="90">
        <f t="shared" si="842"/>
        <v>0</v>
      </c>
      <c r="AF837" s="90">
        <f t="shared" si="843"/>
        <v>0</v>
      </c>
      <c r="AG837" s="90">
        <f t="shared" si="844"/>
        <v>0</v>
      </c>
      <c r="AH837" s="90">
        <f t="shared" si="845"/>
        <v>0</v>
      </c>
      <c r="AI837" s="154" t="s">
        <v>61</v>
      </c>
      <c r="AJ837" s="90">
        <f t="shared" si="846"/>
        <v>0</v>
      </c>
      <c r="AK837" s="90">
        <f t="shared" si="847"/>
        <v>0</v>
      </c>
      <c r="AL837" s="90">
        <f t="shared" si="848"/>
        <v>0</v>
      </c>
      <c r="AN837" s="90">
        <v>15</v>
      </c>
      <c r="AO837" s="90">
        <f t="shared" si="849"/>
        <v>0</v>
      </c>
      <c r="AP837" s="90">
        <f t="shared" si="850"/>
        <v>150</v>
      </c>
      <c r="AQ837" s="91" t="s">
        <v>85</v>
      </c>
      <c r="AV837" s="90">
        <f t="shared" si="851"/>
        <v>0</v>
      </c>
      <c r="AW837" s="90">
        <f t="shared" si="852"/>
        <v>0</v>
      </c>
      <c r="AX837" s="90">
        <f t="shared" si="853"/>
        <v>0</v>
      </c>
      <c r="AY837" s="91" t="s">
        <v>645</v>
      </c>
      <c r="AZ837" s="91" t="s">
        <v>1645</v>
      </c>
      <c r="BA837" s="154" t="s">
        <v>1649</v>
      </c>
      <c r="BC837" s="90">
        <f t="shared" si="854"/>
        <v>0</v>
      </c>
      <c r="BD837" s="90">
        <f t="shared" si="855"/>
        <v>150</v>
      </c>
      <c r="BE837" s="90">
        <v>0</v>
      </c>
      <c r="BF837" s="90">
        <f t="shared" si="856"/>
        <v>0</v>
      </c>
      <c r="BH837" s="90">
        <f t="shared" si="857"/>
        <v>0</v>
      </c>
      <c r="BI837" s="90">
        <f t="shared" si="858"/>
        <v>0</v>
      </c>
      <c r="BJ837" s="90">
        <f t="shared" si="859"/>
        <v>0</v>
      </c>
    </row>
    <row r="838" spans="1:62" ht="12.75" hidden="1">
      <c r="A838" s="88" t="s">
        <v>2052</v>
      </c>
      <c r="B838" s="88" t="s">
        <v>61</v>
      </c>
      <c r="C838" s="88" t="s">
        <v>351</v>
      </c>
      <c r="D838" s="88" t="s">
        <v>539</v>
      </c>
      <c r="E838" s="88" t="s">
        <v>606</v>
      </c>
      <c r="F838" s="90"/>
      <c r="G838" s="90">
        <v>1500</v>
      </c>
      <c r="H838" s="90">
        <f t="shared" si="834"/>
        <v>0</v>
      </c>
      <c r="I838" s="90">
        <f t="shared" si="835"/>
        <v>0</v>
      </c>
      <c r="J838" s="90">
        <f t="shared" si="836"/>
        <v>0</v>
      </c>
      <c r="K838" s="90">
        <v>0</v>
      </c>
      <c r="L838" s="90">
        <f t="shared" si="837"/>
        <v>0</v>
      </c>
      <c r="M838" s="91" t="s">
        <v>622</v>
      </c>
      <c r="O838" s="90"/>
      <c r="P838" s="90"/>
      <c r="Z838" s="90">
        <f t="shared" si="838"/>
        <v>0</v>
      </c>
      <c r="AB838" s="90">
        <f t="shared" si="839"/>
        <v>0</v>
      </c>
      <c r="AC838" s="90">
        <f t="shared" si="840"/>
        <v>0</v>
      </c>
      <c r="AD838" s="90">
        <f t="shared" si="841"/>
        <v>0</v>
      </c>
      <c r="AE838" s="90">
        <f t="shared" si="842"/>
        <v>0</v>
      </c>
      <c r="AF838" s="90">
        <f t="shared" si="843"/>
        <v>0</v>
      </c>
      <c r="AG838" s="90">
        <f t="shared" si="844"/>
        <v>0</v>
      </c>
      <c r="AH838" s="90">
        <f t="shared" si="845"/>
        <v>0</v>
      </c>
      <c r="AI838" s="154" t="s">
        <v>61</v>
      </c>
      <c r="AJ838" s="90">
        <f t="shared" si="846"/>
        <v>0</v>
      </c>
      <c r="AK838" s="90">
        <f t="shared" si="847"/>
        <v>0</v>
      </c>
      <c r="AL838" s="90">
        <f t="shared" si="848"/>
        <v>0</v>
      </c>
      <c r="AN838" s="90">
        <v>15</v>
      </c>
      <c r="AO838" s="90">
        <f t="shared" si="849"/>
        <v>0</v>
      </c>
      <c r="AP838" s="90">
        <f t="shared" si="850"/>
        <v>1500</v>
      </c>
      <c r="AQ838" s="91" t="s">
        <v>85</v>
      </c>
      <c r="AV838" s="90">
        <f t="shared" si="851"/>
        <v>0</v>
      </c>
      <c r="AW838" s="90">
        <f t="shared" si="852"/>
        <v>0</v>
      </c>
      <c r="AX838" s="90">
        <f t="shared" si="853"/>
        <v>0</v>
      </c>
      <c r="AY838" s="91" t="s">
        <v>645</v>
      </c>
      <c r="AZ838" s="91" t="s">
        <v>1645</v>
      </c>
      <c r="BA838" s="154" t="s">
        <v>1649</v>
      </c>
      <c r="BC838" s="90">
        <f t="shared" si="854"/>
        <v>0</v>
      </c>
      <c r="BD838" s="90">
        <f t="shared" si="855"/>
        <v>1500</v>
      </c>
      <c r="BE838" s="90">
        <v>0</v>
      </c>
      <c r="BF838" s="90">
        <f t="shared" si="856"/>
        <v>0</v>
      </c>
      <c r="BH838" s="90">
        <f t="shared" si="857"/>
        <v>0</v>
      </c>
      <c r="BI838" s="90">
        <f t="shared" si="858"/>
        <v>0</v>
      </c>
      <c r="BJ838" s="90">
        <f t="shared" si="859"/>
        <v>0</v>
      </c>
    </row>
    <row r="839" spans="1:62" ht="12.75" hidden="1">
      <c r="A839" s="88" t="s">
        <v>367</v>
      </c>
      <c r="B839" s="88" t="s">
        <v>61</v>
      </c>
      <c r="C839" s="88" t="s">
        <v>352</v>
      </c>
      <c r="D839" s="88" t="s">
        <v>1399</v>
      </c>
      <c r="E839" s="88" t="s">
        <v>606</v>
      </c>
      <c r="F839" s="90"/>
      <c r="G839" s="90">
        <v>100</v>
      </c>
      <c r="H839" s="90">
        <f t="shared" si="834"/>
        <v>0</v>
      </c>
      <c r="I839" s="90">
        <f t="shared" si="835"/>
        <v>0</v>
      </c>
      <c r="J839" s="90">
        <f t="shared" si="836"/>
        <v>0</v>
      </c>
      <c r="K839" s="90">
        <v>0</v>
      </c>
      <c r="L839" s="90">
        <f t="shared" si="837"/>
        <v>0</v>
      </c>
      <c r="M839" s="91" t="s">
        <v>622</v>
      </c>
      <c r="O839" s="90"/>
      <c r="P839" s="90"/>
      <c r="Z839" s="90">
        <f t="shared" si="838"/>
        <v>0</v>
      </c>
      <c r="AB839" s="90">
        <f t="shared" si="839"/>
        <v>0</v>
      </c>
      <c r="AC839" s="90">
        <f t="shared" si="840"/>
        <v>0</v>
      </c>
      <c r="AD839" s="90">
        <f t="shared" si="841"/>
        <v>0</v>
      </c>
      <c r="AE839" s="90">
        <f t="shared" si="842"/>
        <v>0</v>
      </c>
      <c r="AF839" s="90">
        <f t="shared" si="843"/>
        <v>0</v>
      </c>
      <c r="AG839" s="90">
        <f t="shared" si="844"/>
        <v>0</v>
      </c>
      <c r="AH839" s="90">
        <f t="shared" si="845"/>
        <v>0</v>
      </c>
      <c r="AI839" s="154" t="s">
        <v>61</v>
      </c>
      <c r="AJ839" s="90">
        <f t="shared" si="846"/>
        <v>0</v>
      </c>
      <c r="AK839" s="90">
        <f t="shared" si="847"/>
        <v>0</v>
      </c>
      <c r="AL839" s="90">
        <f t="shared" si="848"/>
        <v>0</v>
      </c>
      <c r="AN839" s="90">
        <v>15</v>
      </c>
      <c r="AO839" s="90">
        <f t="shared" si="849"/>
        <v>0</v>
      </c>
      <c r="AP839" s="90">
        <f t="shared" si="850"/>
        <v>100</v>
      </c>
      <c r="AQ839" s="91" t="s">
        <v>85</v>
      </c>
      <c r="AV839" s="90">
        <f t="shared" si="851"/>
        <v>0</v>
      </c>
      <c r="AW839" s="90">
        <f t="shared" si="852"/>
        <v>0</v>
      </c>
      <c r="AX839" s="90">
        <f t="shared" si="853"/>
        <v>0</v>
      </c>
      <c r="AY839" s="91" t="s">
        <v>645</v>
      </c>
      <c r="AZ839" s="91" t="s">
        <v>1645</v>
      </c>
      <c r="BA839" s="154" t="s">
        <v>1649</v>
      </c>
      <c r="BC839" s="90">
        <f t="shared" si="854"/>
        <v>0</v>
      </c>
      <c r="BD839" s="90">
        <f t="shared" si="855"/>
        <v>100</v>
      </c>
      <c r="BE839" s="90">
        <v>0</v>
      </c>
      <c r="BF839" s="90">
        <f t="shared" si="856"/>
        <v>0</v>
      </c>
      <c r="BH839" s="90">
        <f t="shared" si="857"/>
        <v>0</v>
      </c>
      <c r="BI839" s="90">
        <f t="shared" si="858"/>
        <v>0</v>
      </c>
      <c r="BJ839" s="90">
        <f t="shared" si="859"/>
        <v>0</v>
      </c>
    </row>
    <row r="840" spans="1:62" ht="12.75" hidden="1">
      <c r="A840" s="88" t="s">
        <v>2053</v>
      </c>
      <c r="B840" s="88" t="s">
        <v>61</v>
      </c>
      <c r="C840" s="88" t="s">
        <v>353</v>
      </c>
      <c r="D840" s="88" t="s">
        <v>540</v>
      </c>
      <c r="E840" s="88" t="s">
        <v>606</v>
      </c>
      <c r="F840" s="90"/>
      <c r="G840" s="90">
        <v>1000</v>
      </c>
      <c r="H840" s="90">
        <f t="shared" si="834"/>
        <v>0</v>
      </c>
      <c r="I840" s="90">
        <f t="shared" si="835"/>
        <v>0</v>
      </c>
      <c r="J840" s="90">
        <f t="shared" si="836"/>
        <v>0</v>
      </c>
      <c r="K840" s="90">
        <v>0</v>
      </c>
      <c r="L840" s="90">
        <f t="shared" si="837"/>
        <v>0</v>
      </c>
      <c r="M840" s="91" t="s">
        <v>622</v>
      </c>
      <c r="O840" s="90"/>
      <c r="P840" s="90"/>
      <c r="Z840" s="90">
        <f t="shared" si="838"/>
        <v>0</v>
      </c>
      <c r="AB840" s="90">
        <f t="shared" si="839"/>
        <v>0</v>
      </c>
      <c r="AC840" s="90">
        <f t="shared" si="840"/>
        <v>0</v>
      </c>
      <c r="AD840" s="90">
        <f t="shared" si="841"/>
        <v>0</v>
      </c>
      <c r="AE840" s="90">
        <f t="shared" si="842"/>
        <v>0</v>
      </c>
      <c r="AF840" s="90">
        <f t="shared" si="843"/>
        <v>0</v>
      </c>
      <c r="AG840" s="90">
        <f t="shared" si="844"/>
        <v>0</v>
      </c>
      <c r="AH840" s="90">
        <f t="shared" si="845"/>
        <v>0</v>
      </c>
      <c r="AI840" s="154" t="s">
        <v>61</v>
      </c>
      <c r="AJ840" s="90">
        <f t="shared" si="846"/>
        <v>0</v>
      </c>
      <c r="AK840" s="90">
        <f t="shared" si="847"/>
        <v>0</v>
      </c>
      <c r="AL840" s="90">
        <f t="shared" si="848"/>
        <v>0</v>
      </c>
      <c r="AN840" s="90">
        <v>15</v>
      </c>
      <c r="AO840" s="90">
        <f t="shared" si="849"/>
        <v>0</v>
      </c>
      <c r="AP840" s="90">
        <f t="shared" si="850"/>
        <v>1000</v>
      </c>
      <c r="AQ840" s="91" t="s">
        <v>85</v>
      </c>
      <c r="AV840" s="90">
        <f t="shared" si="851"/>
        <v>0</v>
      </c>
      <c r="AW840" s="90">
        <f t="shared" si="852"/>
        <v>0</v>
      </c>
      <c r="AX840" s="90">
        <f t="shared" si="853"/>
        <v>0</v>
      </c>
      <c r="AY840" s="91" t="s">
        <v>645</v>
      </c>
      <c r="AZ840" s="91" t="s">
        <v>1645</v>
      </c>
      <c r="BA840" s="154" t="s">
        <v>1649</v>
      </c>
      <c r="BC840" s="90">
        <f t="shared" si="854"/>
        <v>0</v>
      </c>
      <c r="BD840" s="90">
        <f t="shared" si="855"/>
        <v>1000</v>
      </c>
      <c r="BE840" s="90">
        <v>0</v>
      </c>
      <c r="BF840" s="90">
        <f t="shared" si="856"/>
        <v>0</v>
      </c>
      <c r="BH840" s="90">
        <f t="shared" si="857"/>
        <v>0</v>
      </c>
      <c r="BI840" s="90">
        <f t="shared" si="858"/>
        <v>0</v>
      </c>
      <c r="BJ840" s="90">
        <f t="shared" si="859"/>
        <v>0</v>
      </c>
    </row>
    <row r="841" spans="1:62" ht="12.75" hidden="1">
      <c r="A841" s="88" t="s">
        <v>2054</v>
      </c>
      <c r="B841" s="88" t="s">
        <v>61</v>
      </c>
      <c r="C841" s="88" t="s">
        <v>354</v>
      </c>
      <c r="D841" s="88" t="s">
        <v>501</v>
      </c>
      <c r="E841" s="88" t="s">
        <v>611</v>
      </c>
      <c r="F841" s="90"/>
      <c r="G841" s="90">
        <v>50</v>
      </c>
      <c r="H841" s="90">
        <f t="shared" si="834"/>
        <v>0</v>
      </c>
      <c r="I841" s="90">
        <f t="shared" si="835"/>
        <v>0</v>
      </c>
      <c r="J841" s="90">
        <f t="shared" si="836"/>
        <v>0</v>
      </c>
      <c r="K841" s="90">
        <v>0</v>
      </c>
      <c r="L841" s="90">
        <f t="shared" si="837"/>
        <v>0</v>
      </c>
      <c r="M841" s="91" t="s">
        <v>622</v>
      </c>
      <c r="O841" s="90"/>
      <c r="P841" s="90"/>
      <c r="Z841" s="90">
        <f t="shared" si="838"/>
        <v>0</v>
      </c>
      <c r="AB841" s="90">
        <f t="shared" si="839"/>
        <v>0</v>
      </c>
      <c r="AC841" s="90">
        <f t="shared" si="840"/>
        <v>0</v>
      </c>
      <c r="AD841" s="90">
        <f t="shared" si="841"/>
        <v>0</v>
      </c>
      <c r="AE841" s="90">
        <f t="shared" si="842"/>
        <v>0</v>
      </c>
      <c r="AF841" s="90">
        <f t="shared" si="843"/>
        <v>0</v>
      </c>
      <c r="AG841" s="90">
        <f t="shared" si="844"/>
        <v>0</v>
      </c>
      <c r="AH841" s="90">
        <f t="shared" si="845"/>
        <v>0</v>
      </c>
      <c r="AI841" s="154" t="s">
        <v>61</v>
      </c>
      <c r="AJ841" s="90">
        <f t="shared" si="846"/>
        <v>0</v>
      </c>
      <c r="AK841" s="90">
        <f t="shared" si="847"/>
        <v>0</v>
      </c>
      <c r="AL841" s="90">
        <f t="shared" si="848"/>
        <v>0</v>
      </c>
      <c r="AN841" s="90">
        <v>15</v>
      </c>
      <c r="AO841" s="90">
        <f t="shared" si="849"/>
        <v>0</v>
      </c>
      <c r="AP841" s="90">
        <f t="shared" si="850"/>
        <v>50</v>
      </c>
      <c r="AQ841" s="91" t="s">
        <v>85</v>
      </c>
      <c r="AV841" s="90">
        <f t="shared" si="851"/>
        <v>0</v>
      </c>
      <c r="AW841" s="90">
        <f t="shared" si="852"/>
        <v>0</v>
      </c>
      <c r="AX841" s="90">
        <f t="shared" si="853"/>
        <v>0</v>
      </c>
      <c r="AY841" s="91" t="s">
        <v>645</v>
      </c>
      <c r="AZ841" s="91" t="s">
        <v>1645</v>
      </c>
      <c r="BA841" s="154" t="s">
        <v>1649</v>
      </c>
      <c r="BC841" s="90">
        <f t="shared" si="854"/>
        <v>0</v>
      </c>
      <c r="BD841" s="90">
        <f t="shared" si="855"/>
        <v>50</v>
      </c>
      <c r="BE841" s="90">
        <v>0</v>
      </c>
      <c r="BF841" s="90">
        <f t="shared" si="856"/>
        <v>0</v>
      </c>
      <c r="BH841" s="90">
        <f t="shared" si="857"/>
        <v>0</v>
      </c>
      <c r="BI841" s="90">
        <f t="shared" si="858"/>
        <v>0</v>
      </c>
      <c r="BJ841" s="90">
        <f t="shared" si="859"/>
        <v>0</v>
      </c>
    </row>
    <row r="842" spans="1:62" ht="12.75" hidden="1">
      <c r="A842" s="88" t="s">
        <v>2055</v>
      </c>
      <c r="B842" s="88" t="s">
        <v>61</v>
      </c>
      <c r="C842" s="88" t="s">
        <v>355</v>
      </c>
      <c r="D842" s="88" t="s">
        <v>502</v>
      </c>
      <c r="E842" s="88" t="s">
        <v>606</v>
      </c>
      <c r="F842" s="90"/>
      <c r="G842" s="90">
        <v>1000</v>
      </c>
      <c r="H842" s="90">
        <f t="shared" si="834"/>
        <v>0</v>
      </c>
      <c r="I842" s="90">
        <f t="shared" si="835"/>
        <v>0</v>
      </c>
      <c r="J842" s="90">
        <f t="shared" si="836"/>
        <v>0</v>
      </c>
      <c r="K842" s="90">
        <v>0</v>
      </c>
      <c r="L842" s="90">
        <f t="shared" si="837"/>
        <v>0</v>
      </c>
      <c r="M842" s="91" t="s">
        <v>622</v>
      </c>
      <c r="O842" s="90"/>
      <c r="P842" s="90"/>
      <c r="Z842" s="90">
        <f t="shared" si="838"/>
        <v>0</v>
      </c>
      <c r="AB842" s="90">
        <f t="shared" si="839"/>
        <v>0</v>
      </c>
      <c r="AC842" s="90">
        <f t="shared" si="840"/>
        <v>0</v>
      </c>
      <c r="AD842" s="90">
        <f t="shared" si="841"/>
        <v>0</v>
      </c>
      <c r="AE842" s="90">
        <f t="shared" si="842"/>
        <v>0</v>
      </c>
      <c r="AF842" s="90">
        <f t="shared" si="843"/>
        <v>0</v>
      </c>
      <c r="AG842" s="90">
        <f t="shared" si="844"/>
        <v>0</v>
      </c>
      <c r="AH842" s="90">
        <f t="shared" si="845"/>
        <v>0</v>
      </c>
      <c r="AI842" s="154" t="s">
        <v>61</v>
      </c>
      <c r="AJ842" s="90">
        <f t="shared" si="846"/>
        <v>0</v>
      </c>
      <c r="AK842" s="90">
        <f t="shared" si="847"/>
        <v>0</v>
      </c>
      <c r="AL842" s="90">
        <f t="shared" si="848"/>
        <v>0</v>
      </c>
      <c r="AN842" s="90">
        <v>15</v>
      </c>
      <c r="AO842" s="90">
        <f t="shared" si="849"/>
        <v>0</v>
      </c>
      <c r="AP842" s="90">
        <f t="shared" si="850"/>
        <v>1000</v>
      </c>
      <c r="AQ842" s="91" t="s">
        <v>85</v>
      </c>
      <c r="AV842" s="90">
        <f t="shared" si="851"/>
        <v>0</v>
      </c>
      <c r="AW842" s="90">
        <f t="shared" si="852"/>
        <v>0</v>
      </c>
      <c r="AX842" s="90">
        <f t="shared" si="853"/>
        <v>0</v>
      </c>
      <c r="AY842" s="91" t="s">
        <v>645</v>
      </c>
      <c r="AZ842" s="91" t="s">
        <v>1645</v>
      </c>
      <c r="BA842" s="154" t="s">
        <v>1649</v>
      </c>
      <c r="BC842" s="90">
        <f t="shared" si="854"/>
        <v>0</v>
      </c>
      <c r="BD842" s="90">
        <f t="shared" si="855"/>
        <v>1000</v>
      </c>
      <c r="BE842" s="90">
        <v>0</v>
      </c>
      <c r="BF842" s="90">
        <f t="shared" si="856"/>
        <v>0</v>
      </c>
      <c r="BH842" s="90">
        <f t="shared" si="857"/>
        <v>0</v>
      </c>
      <c r="BI842" s="90">
        <f t="shared" si="858"/>
        <v>0</v>
      </c>
      <c r="BJ842" s="90">
        <f t="shared" si="859"/>
        <v>0</v>
      </c>
    </row>
    <row r="843" spans="1:62" ht="12.75" hidden="1">
      <c r="A843" s="88" t="s">
        <v>2056</v>
      </c>
      <c r="B843" s="88" t="s">
        <v>61</v>
      </c>
      <c r="C843" s="88" t="s">
        <v>356</v>
      </c>
      <c r="D843" s="88" t="s">
        <v>543</v>
      </c>
      <c r="E843" s="88" t="s">
        <v>606</v>
      </c>
      <c r="F843" s="90"/>
      <c r="G843" s="90">
        <v>500</v>
      </c>
      <c r="H843" s="90">
        <f t="shared" si="834"/>
        <v>0</v>
      </c>
      <c r="I843" s="90">
        <f t="shared" si="835"/>
        <v>0</v>
      </c>
      <c r="J843" s="90">
        <f t="shared" si="836"/>
        <v>0</v>
      </c>
      <c r="K843" s="90">
        <v>0</v>
      </c>
      <c r="L843" s="90">
        <f t="shared" si="837"/>
        <v>0</v>
      </c>
      <c r="M843" s="91" t="s">
        <v>622</v>
      </c>
      <c r="O843" s="90"/>
      <c r="P843" s="90"/>
      <c r="Z843" s="90">
        <f t="shared" si="838"/>
        <v>0</v>
      </c>
      <c r="AB843" s="90">
        <f t="shared" si="839"/>
        <v>0</v>
      </c>
      <c r="AC843" s="90">
        <f t="shared" si="840"/>
        <v>0</v>
      </c>
      <c r="AD843" s="90">
        <f t="shared" si="841"/>
        <v>0</v>
      </c>
      <c r="AE843" s="90">
        <f t="shared" si="842"/>
        <v>0</v>
      </c>
      <c r="AF843" s="90">
        <f t="shared" si="843"/>
        <v>0</v>
      </c>
      <c r="AG843" s="90">
        <f t="shared" si="844"/>
        <v>0</v>
      </c>
      <c r="AH843" s="90">
        <f t="shared" si="845"/>
        <v>0</v>
      </c>
      <c r="AI843" s="154" t="s">
        <v>61</v>
      </c>
      <c r="AJ843" s="90">
        <f t="shared" si="846"/>
        <v>0</v>
      </c>
      <c r="AK843" s="90">
        <f t="shared" si="847"/>
        <v>0</v>
      </c>
      <c r="AL843" s="90">
        <f t="shared" si="848"/>
        <v>0</v>
      </c>
      <c r="AN843" s="90">
        <v>15</v>
      </c>
      <c r="AO843" s="90">
        <f t="shared" si="849"/>
        <v>0</v>
      </c>
      <c r="AP843" s="90">
        <f t="shared" si="850"/>
        <v>500</v>
      </c>
      <c r="AQ843" s="91" t="s">
        <v>85</v>
      </c>
      <c r="AV843" s="90">
        <f t="shared" si="851"/>
        <v>0</v>
      </c>
      <c r="AW843" s="90">
        <f t="shared" si="852"/>
        <v>0</v>
      </c>
      <c r="AX843" s="90">
        <f t="shared" si="853"/>
        <v>0</v>
      </c>
      <c r="AY843" s="91" t="s">
        <v>645</v>
      </c>
      <c r="AZ843" s="91" t="s">
        <v>1645</v>
      </c>
      <c r="BA843" s="154" t="s">
        <v>1649</v>
      </c>
      <c r="BC843" s="90">
        <f t="shared" si="854"/>
        <v>0</v>
      </c>
      <c r="BD843" s="90">
        <f t="shared" si="855"/>
        <v>500</v>
      </c>
      <c r="BE843" s="90">
        <v>0</v>
      </c>
      <c r="BF843" s="90">
        <f t="shared" si="856"/>
        <v>0</v>
      </c>
      <c r="BH843" s="90">
        <f t="shared" si="857"/>
        <v>0</v>
      </c>
      <c r="BI843" s="90">
        <f t="shared" si="858"/>
        <v>0</v>
      </c>
      <c r="BJ843" s="90">
        <f t="shared" si="859"/>
        <v>0</v>
      </c>
    </row>
    <row r="844" spans="1:62" ht="12.75" hidden="1">
      <c r="A844" s="88" t="s">
        <v>1111</v>
      </c>
      <c r="B844" s="88" t="s">
        <v>61</v>
      </c>
      <c r="C844" s="88" t="s">
        <v>357</v>
      </c>
      <c r="D844" s="88" t="s">
        <v>490</v>
      </c>
      <c r="E844" s="88" t="s">
        <v>606</v>
      </c>
      <c r="F844" s="90"/>
      <c r="G844" s="90">
        <v>500</v>
      </c>
      <c r="H844" s="90">
        <f t="shared" si="834"/>
        <v>0</v>
      </c>
      <c r="I844" s="90">
        <f t="shared" si="835"/>
        <v>0</v>
      </c>
      <c r="J844" s="90">
        <f t="shared" si="836"/>
        <v>0</v>
      </c>
      <c r="K844" s="90">
        <v>0</v>
      </c>
      <c r="L844" s="90">
        <f t="shared" si="837"/>
        <v>0</v>
      </c>
      <c r="M844" s="91" t="s">
        <v>622</v>
      </c>
      <c r="O844" s="90"/>
      <c r="P844" s="90"/>
      <c r="Z844" s="90">
        <f t="shared" si="838"/>
        <v>0</v>
      </c>
      <c r="AB844" s="90">
        <f t="shared" si="839"/>
        <v>0</v>
      </c>
      <c r="AC844" s="90">
        <f t="shared" si="840"/>
        <v>0</v>
      </c>
      <c r="AD844" s="90">
        <f t="shared" si="841"/>
        <v>0</v>
      </c>
      <c r="AE844" s="90">
        <f t="shared" si="842"/>
        <v>0</v>
      </c>
      <c r="AF844" s="90">
        <f t="shared" si="843"/>
        <v>0</v>
      </c>
      <c r="AG844" s="90">
        <f t="shared" si="844"/>
        <v>0</v>
      </c>
      <c r="AH844" s="90">
        <f t="shared" si="845"/>
        <v>0</v>
      </c>
      <c r="AI844" s="154" t="s">
        <v>61</v>
      </c>
      <c r="AJ844" s="90">
        <f t="shared" si="846"/>
        <v>0</v>
      </c>
      <c r="AK844" s="90">
        <f t="shared" si="847"/>
        <v>0</v>
      </c>
      <c r="AL844" s="90">
        <f t="shared" si="848"/>
        <v>0</v>
      </c>
      <c r="AN844" s="90">
        <v>15</v>
      </c>
      <c r="AO844" s="90">
        <f t="shared" si="849"/>
        <v>0</v>
      </c>
      <c r="AP844" s="90">
        <f t="shared" si="850"/>
        <v>500</v>
      </c>
      <c r="AQ844" s="91" t="s">
        <v>85</v>
      </c>
      <c r="AV844" s="90">
        <f t="shared" si="851"/>
        <v>0</v>
      </c>
      <c r="AW844" s="90">
        <f t="shared" si="852"/>
        <v>0</v>
      </c>
      <c r="AX844" s="90">
        <f t="shared" si="853"/>
        <v>0</v>
      </c>
      <c r="AY844" s="91" t="s">
        <v>645</v>
      </c>
      <c r="AZ844" s="91" t="s">
        <v>1645</v>
      </c>
      <c r="BA844" s="154" t="s">
        <v>1649</v>
      </c>
      <c r="BC844" s="90">
        <f t="shared" si="854"/>
        <v>0</v>
      </c>
      <c r="BD844" s="90">
        <f t="shared" si="855"/>
        <v>500</v>
      </c>
      <c r="BE844" s="90">
        <v>0</v>
      </c>
      <c r="BF844" s="90">
        <f t="shared" si="856"/>
        <v>0</v>
      </c>
      <c r="BH844" s="90">
        <f t="shared" si="857"/>
        <v>0</v>
      </c>
      <c r="BI844" s="90">
        <f t="shared" si="858"/>
        <v>0</v>
      </c>
      <c r="BJ844" s="90">
        <f t="shared" si="859"/>
        <v>0</v>
      </c>
    </row>
    <row r="845" spans="1:62" ht="12.75" hidden="1">
      <c r="A845" s="88" t="s">
        <v>2057</v>
      </c>
      <c r="B845" s="88" t="s">
        <v>61</v>
      </c>
      <c r="C845" s="88" t="s">
        <v>358</v>
      </c>
      <c r="D845" s="88" t="s">
        <v>489</v>
      </c>
      <c r="E845" s="88" t="s">
        <v>606</v>
      </c>
      <c r="F845" s="90"/>
      <c r="G845" s="90">
        <v>1000</v>
      </c>
      <c r="H845" s="90">
        <f t="shared" si="834"/>
        <v>0</v>
      </c>
      <c r="I845" s="90">
        <f t="shared" si="835"/>
        <v>0</v>
      </c>
      <c r="J845" s="90">
        <f t="shared" si="836"/>
        <v>0</v>
      </c>
      <c r="K845" s="90">
        <v>0</v>
      </c>
      <c r="L845" s="90">
        <f t="shared" si="837"/>
        <v>0</v>
      </c>
      <c r="M845" s="91" t="s">
        <v>622</v>
      </c>
      <c r="O845" s="90"/>
      <c r="P845" s="90"/>
      <c r="Z845" s="90">
        <f t="shared" si="838"/>
        <v>0</v>
      </c>
      <c r="AB845" s="90">
        <f t="shared" si="839"/>
        <v>0</v>
      </c>
      <c r="AC845" s="90">
        <f t="shared" si="840"/>
        <v>0</v>
      </c>
      <c r="AD845" s="90">
        <f t="shared" si="841"/>
        <v>0</v>
      </c>
      <c r="AE845" s="90">
        <f t="shared" si="842"/>
        <v>0</v>
      </c>
      <c r="AF845" s="90">
        <f t="shared" si="843"/>
        <v>0</v>
      </c>
      <c r="AG845" s="90">
        <f t="shared" si="844"/>
        <v>0</v>
      </c>
      <c r="AH845" s="90">
        <f t="shared" si="845"/>
        <v>0</v>
      </c>
      <c r="AI845" s="154" t="s">
        <v>61</v>
      </c>
      <c r="AJ845" s="90">
        <f t="shared" si="846"/>
        <v>0</v>
      </c>
      <c r="AK845" s="90">
        <f t="shared" si="847"/>
        <v>0</v>
      </c>
      <c r="AL845" s="90">
        <f t="shared" si="848"/>
        <v>0</v>
      </c>
      <c r="AN845" s="90">
        <v>15</v>
      </c>
      <c r="AO845" s="90">
        <f t="shared" si="849"/>
        <v>0</v>
      </c>
      <c r="AP845" s="90">
        <f t="shared" si="850"/>
        <v>1000</v>
      </c>
      <c r="AQ845" s="91" t="s">
        <v>85</v>
      </c>
      <c r="AV845" s="90">
        <f t="shared" si="851"/>
        <v>0</v>
      </c>
      <c r="AW845" s="90">
        <f t="shared" si="852"/>
        <v>0</v>
      </c>
      <c r="AX845" s="90">
        <f t="shared" si="853"/>
        <v>0</v>
      </c>
      <c r="AY845" s="91" t="s">
        <v>645</v>
      </c>
      <c r="AZ845" s="91" t="s">
        <v>1645</v>
      </c>
      <c r="BA845" s="154" t="s">
        <v>1649</v>
      </c>
      <c r="BC845" s="90">
        <f t="shared" si="854"/>
        <v>0</v>
      </c>
      <c r="BD845" s="90">
        <f t="shared" si="855"/>
        <v>1000</v>
      </c>
      <c r="BE845" s="90">
        <v>0</v>
      </c>
      <c r="BF845" s="90">
        <f t="shared" si="856"/>
        <v>0</v>
      </c>
      <c r="BH845" s="90">
        <f t="shared" si="857"/>
        <v>0</v>
      </c>
      <c r="BI845" s="90">
        <f t="shared" si="858"/>
        <v>0</v>
      </c>
      <c r="BJ845" s="90">
        <f t="shared" si="859"/>
        <v>0</v>
      </c>
    </row>
    <row r="846" spans="1:62" ht="12.75" hidden="1">
      <c r="A846" s="88" t="s">
        <v>2058</v>
      </c>
      <c r="B846" s="88" t="s">
        <v>61</v>
      </c>
      <c r="C846" s="88" t="s">
        <v>359</v>
      </c>
      <c r="D846" s="88" t="s">
        <v>492</v>
      </c>
      <c r="E846" s="88" t="s">
        <v>606</v>
      </c>
      <c r="F846" s="90"/>
      <c r="G846" s="90">
        <v>500</v>
      </c>
      <c r="H846" s="90">
        <f t="shared" si="834"/>
        <v>0</v>
      </c>
      <c r="I846" s="90">
        <f t="shared" si="835"/>
        <v>0</v>
      </c>
      <c r="J846" s="90">
        <f t="shared" si="836"/>
        <v>0</v>
      </c>
      <c r="K846" s="90">
        <v>0</v>
      </c>
      <c r="L846" s="90">
        <f t="shared" si="837"/>
        <v>0</v>
      </c>
      <c r="M846" s="91" t="s">
        <v>622</v>
      </c>
      <c r="O846" s="90"/>
      <c r="P846" s="90"/>
      <c r="Z846" s="90">
        <f t="shared" si="838"/>
        <v>0</v>
      </c>
      <c r="AB846" s="90">
        <f t="shared" si="839"/>
        <v>0</v>
      </c>
      <c r="AC846" s="90">
        <f t="shared" si="840"/>
        <v>0</v>
      </c>
      <c r="AD846" s="90">
        <f t="shared" si="841"/>
        <v>0</v>
      </c>
      <c r="AE846" s="90">
        <f t="shared" si="842"/>
        <v>0</v>
      </c>
      <c r="AF846" s="90">
        <f t="shared" si="843"/>
        <v>0</v>
      </c>
      <c r="AG846" s="90">
        <f t="shared" si="844"/>
        <v>0</v>
      </c>
      <c r="AH846" s="90">
        <f t="shared" si="845"/>
        <v>0</v>
      </c>
      <c r="AI846" s="154" t="s">
        <v>61</v>
      </c>
      <c r="AJ846" s="90">
        <f t="shared" si="846"/>
        <v>0</v>
      </c>
      <c r="AK846" s="90">
        <f t="shared" si="847"/>
        <v>0</v>
      </c>
      <c r="AL846" s="90">
        <f t="shared" si="848"/>
        <v>0</v>
      </c>
      <c r="AN846" s="90">
        <v>15</v>
      </c>
      <c r="AO846" s="90">
        <f t="shared" si="849"/>
        <v>0</v>
      </c>
      <c r="AP846" s="90">
        <f t="shared" si="850"/>
        <v>500</v>
      </c>
      <c r="AQ846" s="91" t="s">
        <v>85</v>
      </c>
      <c r="AV846" s="90">
        <f t="shared" si="851"/>
        <v>0</v>
      </c>
      <c r="AW846" s="90">
        <f t="shared" si="852"/>
        <v>0</v>
      </c>
      <c r="AX846" s="90">
        <f t="shared" si="853"/>
        <v>0</v>
      </c>
      <c r="AY846" s="91" t="s">
        <v>645</v>
      </c>
      <c r="AZ846" s="91" t="s">
        <v>1645</v>
      </c>
      <c r="BA846" s="154" t="s">
        <v>1649</v>
      </c>
      <c r="BC846" s="90">
        <f t="shared" si="854"/>
        <v>0</v>
      </c>
      <c r="BD846" s="90">
        <f t="shared" si="855"/>
        <v>500</v>
      </c>
      <c r="BE846" s="90">
        <v>0</v>
      </c>
      <c r="BF846" s="90">
        <f t="shared" si="856"/>
        <v>0</v>
      </c>
      <c r="BH846" s="90">
        <f t="shared" si="857"/>
        <v>0</v>
      </c>
      <c r="BI846" s="90">
        <f t="shared" si="858"/>
        <v>0</v>
      </c>
      <c r="BJ846" s="90">
        <f t="shared" si="859"/>
        <v>0</v>
      </c>
    </row>
    <row r="847" spans="1:62" ht="12.75" hidden="1">
      <c r="A847" s="88" t="s">
        <v>2059</v>
      </c>
      <c r="B847" s="88" t="s">
        <v>61</v>
      </c>
      <c r="C847" s="88" t="s">
        <v>360</v>
      </c>
      <c r="D847" s="88" t="s">
        <v>493</v>
      </c>
      <c r="E847" s="88" t="s">
        <v>606</v>
      </c>
      <c r="F847" s="90"/>
      <c r="G847" s="90">
        <v>1000</v>
      </c>
      <c r="H847" s="90">
        <f t="shared" si="834"/>
        <v>0</v>
      </c>
      <c r="I847" s="90">
        <f t="shared" si="835"/>
        <v>0</v>
      </c>
      <c r="J847" s="90">
        <f t="shared" si="836"/>
        <v>0</v>
      </c>
      <c r="K847" s="90">
        <v>0</v>
      </c>
      <c r="L847" s="90">
        <f t="shared" si="837"/>
        <v>0</v>
      </c>
      <c r="M847" s="91" t="s">
        <v>622</v>
      </c>
      <c r="O847" s="90"/>
      <c r="P847" s="90"/>
      <c r="Z847" s="90">
        <f t="shared" si="838"/>
        <v>0</v>
      </c>
      <c r="AB847" s="90">
        <f t="shared" si="839"/>
        <v>0</v>
      </c>
      <c r="AC847" s="90">
        <f t="shared" si="840"/>
        <v>0</v>
      </c>
      <c r="AD847" s="90">
        <f t="shared" si="841"/>
        <v>0</v>
      </c>
      <c r="AE847" s="90">
        <f t="shared" si="842"/>
        <v>0</v>
      </c>
      <c r="AF847" s="90">
        <f t="shared" si="843"/>
        <v>0</v>
      </c>
      <c r="AG847" s="90">
        <f t="shared" si="844"/>
        <v>0</v>
      </c>
      <c r="AH847" s="90">
        <f t="shared" si="845"/>
        <v>0</v>
      </c>
      <c r="AI847" s="154" t="s">
        <v>61</v>
      </c>
      <c r="AJ847" s="90">
        <f t="shared" si="846"/>
        <v>0</v>
      </c>
      <c r="AK847" s="90">
        <f t="shared" si="847"/>
        <v>0</v>
      </c>
      <c r="AL847" s="90">
        <f t="shared" si="848"/>
        <v>0</v>
      </c>
      <c r="AN847" s="90">
        <v>15</v>
      </c>
      <c r="AO847" s="90">
        <f t="shared" si="849"/>
        <v>0</v>
      </c>
      <c r="AP847" s="90">
        <f t="shared" si="850"/>
        <v>1000</v>
      </c>
      <c r="AQ847" s="91" t="s">
        <v>85</v>
      </c>
      <c r="AV847" s="90">
        <f t="shared" si="851"/>
        <v>0</v>
      </c>
      <c r="AW847" s="90">
        <f t="shared" si="852"/>
        <v>0</v>
      </c>
      <c r="AX847" s="90">
        <f t="shared" si="853"/>
        <v>0</v>
      </c>
      <c r="AY847" s="91" t="s">
        <v>645</v>
      </c>
      <c r="AZ847" s="91" t="s">
        <v>1645</v>
      </c>
      <c r="BA847" s="154" t="s">
        <v>1649</v>
      </c>
      <c r="BC847" s="90">
        <f t="shared" si="854"/>
        <v>0</v>
      </c>
      <c r="BD847" s="90">
        <f t="shared" si="855"/>
        <v>1000</v>
      </c>
      <c r="BE847" s="90">
        <v>0</v>
      </c>
      <c r="BF847" s="90">
        <f t="shared" si="856"/>
        <v>0</v>
      </c>
      <c r="BH847" s="90">
        <f t="shared" si="857"/>
        <v>0</v>
      </c>
      <c r="BI847" s="90">
        <f t="shared" si="858"/>
        <v>0</v>
      </c>
      <c r="BJ847" s="90">
        <f t="shared" si="859"/>
        <v>0</v>
      </c>
    </row>
    <row r="848" spans="1:47" ht="12.75" hidden="1">
      <c r="A848" s="159"/>
      <c r="B848" s="160" t="s">
        <v>61</v>
      </c>
      <c r="C848" s="160" t="s">
        <v>1100</v>
      </c>
      <c r="D848" s="160" t="s">
        <v>1400</v>
      </c>
      <c r="E848" s="159" t="s">
        <v>57</v>
      </c>
      <c r="F848" s="159"/>
      <c r="G848" s="159" t="s">
        <v>57</v>
      </c>
      <c r="H848" s="161">
        <f>SUM(H849:H851)</f>
        <v>0</v>
      </c>
      <c r="I848" s="161">
        <f>SUM(I849:I851)</f>
        <v>0</v>
      </c>
      <c r="J848" s="161">
        <f>SUM(J849:J851)</f>
        <v>0</v>
      </c>
      <c r="K848" s="154"/>
      <c r="L848" s="161">
        <f>SUM(L849:L851)</f>
        <v>0</v>
      </c>
      <c r="M848" s="154"/>
      <c r="O848" s="159"/>
      <c r="P848" s="159"/>
      <c r="AI848" s="154" t="s">
        <v>61</v>
      </c>
      <c r="AS848" s="161">
        <f>SUM(AJ849:AJ851)</f>
        <v>0</v>
      </c>
      <c r="AT848" s="161">
        <f>SUM(AK849:AK851)</f>
        <v>0</v>
      </c>
      <c r="AU848" s="161">
        <f>SUM(AL849:AL851)</f>
        <v>0</v>
      </c>
    </row>
    <row r="849" spans="1:62" ht="12.75" hidden="1">
      <c r="A849" s="88" t="s">
        <v>2060</v>
      </c>
      <c r="B849" s="88" t="s">
        <v>61</v>
      </c>
      <c r="C849" s="88" t="s">
        <v>1102</v>
      </c>
      <c r="D849" s="88" t="s">
        <v>1403</v>
      </c>
      <c r="E849" s="88" t="s">
        <v>606</v>
      </c>
      <c r="F849" s="90"/>
      <c r="G849" s="90">
        <v>8800</v>
      </c>
      <c r="H849" s="90">
        <f>F849*AO849</f>
        <v>0</v>
      </c>
      <c r="I849" s="90">
        <f>F849*AP849</f>
        <v>0</v>
      </c>
      <c r="J849" s="90">
        <f>F849*G849</f>
        <v>0</v>
      </c>
      <c r="K849" s="90">
        <v>0.06</v>
      </c>
      <c r="L849" s="90">
        <f>F849*K849</f>
        <v>0</v>
      </c>
      <c r="M849" s="91" t="s">
        <v>622</v>
      </c>
      <c r="O849" s="90"/>
      <c r="P849" s="90"/>
      <c r="Z849" s="90">
        <f>IF(AQ849="5",BJ849,0)</f>
        <v>0</v>
      </c>
      <c r="AB849" s="90">
        <f>IF(AQ849="1",BH849,0)</f>
        <v>0</v>
      </c>
      <c r="AC849" s="90">
        <f>IF(AQ849="1",BI849,0)</f>
        <v>0</v>
      </c>
      <c r="AD849" s="90">
        <f>IF(AQ849="7",BH849,0)</f>
        <v>0</v>
      </c>
      <c r="AE849" s="90">
        <f>IF(AQ849="7",BI849,0)</f>
        <v>0</v>
      </c>
      <c r="AF849" s="90">
        <f>IF(AQ849="2",BH849,0)</f>
        <v>0</v>
      </c>
      <c r="AG849" s="90">
        <f>IF(AQ849="2",BI849,0)</f>
        <v>0</v>
      </c>
      <c r="AH849" s="90">
        <f>IF(AQ849="0",BJ849,0)</f>
        <v>0</v>
      </c>
      <c r="AI849" s="154" t="s">
        <v>61</v>
      </c>
      <c r="AJ849" s="90">
        <f>IF(AN849=0,J849,0)</f>
        <v>0</v>
      </c>
      <c r="AK849" s="90">
        <f>IF(AN849=15,J849,0)</f>
        <v>0</v>
      </c>
      <c r="AL849" s="90">
        <f>IF(AN849=21,J849,0)</f>
        <v>0</v>
      </c>
      <c r="AN849" s="90">
        <v>15</v>
      </c>
      <c r="AO849" s="90">
        <f>G849*0</f>
        <v>0</v>
      </c>
      <c r="AP849" s="90">
        <f>G849*(1-0)</f>
        <v>8800</v>
      </c>
      <c r="AQ849" s="91" t="s">
        <v>85</v>
      </c>
      <c r="AV849" s="90">
        <f>AW849+AX849</f>
        <v>0</v>
      </c>
      <c r="AW849" s="90">
        <f>F849*AO849</f>
        <v>0</v>
      </c>
      <c r="AX849" s="90">
        <f>F849*AP849</f>
        <v>0</v>
      </c>
      <c r="AY849" s="91" t="s">
        <v>1530</v>
      </c>
      <c r="AZ849" s="91" t="s">
        <v>1646</v>
      </c>
      <c r="BA849" s="154" t="s">
        <v>1649</v>
      </c>
      <c r="BC849" s="90">
        <f>AW849+AX849</f>
        <v>0</v>
      </c>
      <c r="BD849" s="90">
        <f>G849/(100-BE849)*100</f>
        <v>8800</v>
      </c>
      <c r="BE849" s="90">
        <v>0</v>
      </c>
      <c r="BF849" s="90">
        <f>L849</f>
        <v>0</v>
      </c>
      <c r="BH849" s="90">
        <f>F849*AO849</f>
        <v>0</v>
      </c>
      <c r="BI849" s="90">
        <f>F849*AP849</f>
        <v>0</v>
      </c>
      <c r="BJ849" s="90">
        <f>F849*G849</f>
        <v>0</v>
      </c>
    </row>
    <row r="850" spans="1:62" ht="12.75" hidden="1">
      <c r="A850" s="88" t="s">
        <v>1120</v>
      </c>
      <c r="B850" s="88" t="s">
        <v>61</v>
      </c>
      <c r="C850" s="88" t="s">
        <v>1103</v>
      </c>
      <c r="D850" s="88" t="s">
        <v>1405</v>
      </c>
      <c r="E850" s="88" t="s">
        <v>606</v>
      </c>
      <c r="F850" s="90"/>
      <c r="G850" s="90">
        <v>9100</v>
      </c>
      <c r="H850" s="90">
        <f>F850*AO850</f>
        <v>0</v>
      </c>
      <c r="I850" s="90">
        <f>F850*AP850</f>
        <v>0</v>
      </c>
      <c r="J850" s="90">
        <f>F850*G850</f>
        <v>0</v>
      </c>
      <c r="K850" s="90">
        <v>0.065</v>
      </c>
      <c r="L850" s="90">
        <f>F850*K850</f>
        <v>0</v>
      </c>
      <c r="M850" s="91" t="s">
        <v>622</v>
      </c>
      <c r="O850" s="90"/>
      <c r="P850" s="90"/>
      <c r="Z850" s="90">
        <f>IF(AQ850="5",BJ850,0)</f>
        <v>0</v>
      </c>
      <c r="AB850" s="90">
        <f>IF(AQ850="1",BH850,0)</f>
        <v>0</v>
      </c>
      <c r="AC850" s="90">
        <f>IF(AQ850="1",BI850,0)</f>
        <v>0</v>
      </c>
      <c r="AD850" s="90">
        <f>IF(AQ850="7",BH850,0)</f>
        <v>0</v>
      </c>
      <c r="AE850" s="90">
        <f>IF(AQ850="7",BI850,0)</f>
        <v>0</v>
      </c>
      <c r="AF850" s="90">
        <f>IF(AQ850="2",BH850,0)</f>
        <v>0</v>
      </c>
      <c r="AG850" s="90">
        <f>IF(AQ850="2",BI850,0)</f>
        <v>0</v>
      </c>
      <c r="AH850" s="90">
        <f>IF(AQ850="0",BJ850,0)</f>
        <v>0</v>
      </c>
      <c r="AI850" s="154" t="s">
        <v>61</v>
      </c>
      <c r="AJ850" s="90">
        <f>IF(AN850=0,J850,0)</f>
        <v>0</v>
      </c>
      <c r="AK850" s="90">
        <f>IF(AN850=15,J850,0)</f>
        <v>0</v>
      </c>
      <c r="AL850" s="90">
        <f>IF(AN850=21,J850,0)</f>
        <v>0</v>
      </c>
      <c r="AN850" s="90">
        <v>15</v>
      </c>
      <c r="AO850" s="90">
        <f>G850*0</f>
        <v>0</v>
      </c>
      <c r="AP850" s="90">
        <f>G850*(1-0)</f>
        <v>9100</v>
      </c>
      <c r="AQ850" s="91" t="s">
        <v>85</v>
      </c>
      <c r="AV850" s="90">
        <f>AW850+AX850</f>
        <v>0</v>
      </c>
      <c r="AW850" s="90">
        <f>F850*AO850</f>
        <v>0</v>
      </c>
      <c r="AX850" s="90">
        <f>F850*AP850</f>
        <v>0</v>
      </c>
      <c r="AY850" s="91" t="s">
        <v>1530</v>
      </c>
      <c r="AZ850" s="91" t="s">
        <v>1646</v>
      </c>
      <c r="BA850" s="154" t="s">
        <v>1649</v>
      </c>
      <c r="BC850" s="90">
        <f>AW850+AX850</f>
        <v>0</v>
      </c>
      <c r="BD850" s="90">
        <f>G850/(100-BE850)*100</f>
        <v>9100</v>
      </c>
      <c r="BE850" s="90">
        <v>0</v>
      </c>
      <c r="BF850" s="90">
        <f>L850</f>
        <v>0</v>
      </c>
      <c r="BH850" s="90">
        <f>F850*AO850</f>
        <v>0</v>
      </c>
      <c r="BI850" s="90">
        <f>F850*AP850</f>
        <v>0</v>
      </c>
      <c r="BJ850" s="90">
        <f>F850*G850</f>
        <v>0</v>
      </c>
    </row>
    <row r="851" spans="1:62" ht="12.75" hidden="1">
      <c r="A851" s="88" t="s">
        <v>2061</v>
      </c>
      <c r="B851" s="88" t="s">
        <v>61</v>
      </c>
      <c r="C851" s="88" t="s">
        <v>1107</v>
      </c>
      <c r="D851" s="88" t="s">
        <v>1410</v>
      </c>
      <c r="E851" s="88" t="s">
        <v>612</v>
      </c>
      <c r="F851" s="90"/>
      <c r="G851" s="90">
        <v>661</v>
      </c>
      <c r="H851" s="90">
        <f>F851*AO851</f>
        <v>0</v>
      </c>
      <c r="I851" s="90">
        <f>F851*AP851</f>
        <v>0</v>
      </c>
      <c r="J851" s="90">
        <f>F851*G851</f>
        <v>0</v>
      </c>
      <c r="K851" s="90">
        <v>0</v>
      </c>
      <c r="L851" s="90">
        <f>F851*K851</f>
        <v>0</v>
      </c>
      <c r="M851" s="91" t="s">
        <v>622</v>
      </c>
      <c r="O851" s="90"/>
      <c r="P851" s="90"/>
      <c r="Z851" s="90">
        <f>IF(AQ851="5",BJ851,0)</f>
        <v>0</v>
      </c>
      <c r="AB851" s="90">
        <f>IF(AQ851="1",BH851,0)</f>
        <v>0</v>
      </c>
      <c r="AC851" s="90">
        <f>IF(AQ851="1",BI851,0)</f>
        <v>0</v>
      </c>
      <c r="AD851" s="90">
        <f>IF(AQ851="7",BH851,0)</f>
        <v>0</v>
      </c>
      <c r="AE851" s="90">
        <f>IF(AQ851="7",BI851,0)</f>
        <v>0</v>
      </c>
      <c r="AF851" s="90">
        <f>IF(AQ851="2",BH851,0)</f>
        <v>0</v>
      </c>
      <c r="AG851" s="90">
        <f>IF(AQ851="2",BI851,0)</f>
        <v>0</v>
      </c>
      <c r="AH851" s="90">
        <f>IF(AQ851="0",BJ851,0)</f>
        <v>0</v>
      </c>
      <c r="AI851" s="154" t="s">
        <v>61</v>
      </c>
      <c r="AJ851" s="90">
        <f>IF(AN851=0,J851,0)</f>
        <v>0</v>
      </c>
      <c r="AK851" s="90">
        <f>IF(AN851=15,J851,0)</f>
        <v>0</v>
      </c>
      <c r="AL851" s="90">
        <f>IF(AN851=21,J851,0)</f>
        <v>0</v>
      </c>
      <c r="AN851" s="90">
        <v>15</v>
      </c>
      <c r="AO851" s="90">
        <f>G851*0</f>
        <v>0</v>
      </c>
      <c r="AP851" s="90">
        <f>G851*(1-0)</f>
        <v>661</v>
      </c>
      <c r="AQ851" s="91" t="s">
        <v>83</v>
      </c>
      <c r="AV851" s="90">
        <f>AW851+AX851</f>
        <v>0</v>
      </c>
      <c r="AW851" s="90">
        <f>F851*AO851</f>
        <v>0</v>
      </c>
      <c r="AX851" s="90">
        <f>F851*AP851</f>
        <v>0</v>
      </c>
      <c r="AY851" s="91" t="s">
        <v>1530</v>
      </c>
      <c r="AZ851" s="91" t="s">
        <v>1646</v>
      </c>
      <c r="BA851" s="154" t="s">
        <v>1649</v>
      </c>
      <c r="BC851" s="90">
        <f>AW851+AX851</f>
        <v>0</v>
      </c>
      <c r="BD851" s="90">
        <f>G851/(100-BE851)*100</f>
        <v>661</v>
      </c>
      <c r="BE851" s="90">
        <v>0</v>
      </c>
      <c r="BF851" s="90">
        <f>L851</f>
        <v>0</v>
      </c>
      <c r="BH851" s="90">
        <f>F851*AO851</f>
        <v>0</v>
      </c>
      <c r="BI851" s="90">
        <f>F851*AP851</f>
        <v>0</v>
      </c>
      <c r="BJ851" s="90">
        <f>F851*G851</f>
        <v>0</v>
      </c>
    </row>
    <row r="852" spans="1:47" ht="12.75" hidden="1">
      <c r="A852" s="159"/>
      <c r="B852" s="160" t="s">
        <v>61</v>
      </c>
      <c r="C852" s="160" t="s">
        <v>361</v>
      </c>
      <c r="D852" s="160" t="s">
        <v>544</v>
      </c>
      <c r="E852" s="159" t="s">
        <v>57</v>
      </c>
      <c r="F852" s="159"/>
      <c r="G852" s="159" t="s">
        <v>57</v>
      </c>
      <c r="H852" s="161">
        <f>SUM(H853:H855)</f>
        <v>0</v>
      </c>
      <c r="I852" s="161">
        <f>SUM(I853:I855)</f>
        <v>0</v>
      </c>
      <c r="J852" s="161">
        <f>SUM(J853:J855)</f>
        <v>0</v>
      </c>
      <c r="K852" s="154"/>
      <c r="L852" s="161">
        <f>SUM(L853:L855)</f>
        <v>0</v>
      </c>
      <c r="M852" s="154"/>
      <c r="O852" s="159"/>
      <c r="P852" s="159"/>
      <c r="AI852" s="154" t="s">
        <v>61</v>
      </c>
      <c r="AS852" s="161">
        <f>SUM(AJ853:AJ855)</f>
        <v>0</v>
      </c>
      <c r="AT852" s="161">
        <f>SUM(AK853:AK855)</f>
        <v>0</v>
      </c>
      <c r="AU852" s="161">
        <f>SUM(AL853:AL855)</f>
        <v>0</v>
      </c>
    </row>
    <row r="853" spans="1:62" ht="12.75" hidden="1">
      <c r="A853" s="88" t="s">
        <v>2062</v>
      </c>
      <c r="B853" s="88" t="s">
        <v>61</v>
      </c>
      <c r="C853" s="88" t="s">
        <v>362</v>
      </c>
      <c r="D853" s="88" t="s">
        <v>545</v>
      </c>
      <c r="E853" s="88" t="s">
        <v>606</v>
      </c>
      <c r="F853" s="90"/>
      <c r="G853" s="90">
        <v>12500</v>
      </c>
      <c r="H853" s="90">
        <f>F853*AO853</f>
        <v>0</v>
      </c>
      <c r="I853" s="90">
        <f>F853*AP853</f>
        <v>0</v>
      </c>
      <c r="J853" s="90">
        <f>F853*G853</f>
        <v>0</v>
      </c>
      <c r="K853" s="90">
        <v>0.075</v>
      </c>
      <c r="L853" s="90">
        <f>F853*K853</f>
        <v>0</v>
      </c>
      <c r="M853" s="91" t="s">
        <v>622</v>
      </c>
      <c r="O853" s="90"/>
      <c r="P853" s="90"/>
      <c r="Z853" s="90">
        <f>IF(AQ853="5",BJ853,0)</f>
        <v>0</v>
      </c>
      <c r="AB853" s="90">
        <f>IF(AQ853="1",BH853,0)</f>
        <v>0</v>
      </c>
      <c r="AC853" s="90">
        <f>IF(AQ853="1",BI853,0)</f>
        <v>0</v>
      </c>
      <c r="AD853" s="90">
        <f>IF(AQ853="7",BH853,0)</f>
        <v>0</v>
      </c>
      <c r="AE853" s="90">
        <f>IF(AQ853="7",BI853,0)</f>
        <v>0</v>
      </c>
      <c r="AF853" s="90">
        <f>IF(AQ853="2",BH853,0)</f>
        <v>0</v>
      </c>
      <c r="AG853" s="90">
        <f>IF(AQ853="2",BI853,0)</f>
        <v>0</v>
      </c>
      <c r="AH853" s="90">
        <f>IF(AQ853="0",BJ853,0)</f>
        <v>0</v>
      </c>
      <c r="AI853" s="154" t="s">
        <v>61</v>
      </c>
      <c r="AJ853" s="90">
        <f>IF(AN853=0,J853,0)</f>
        <v>0</v>
      </c>
      <c r="AK853" s="90">
        <f>IF(AN853=15,J853,0)</f>
        <v>0</v>
      </c>
      <c r="AL853" s="90">
        <f>IF(AN853=21,J853,0)</f>
        <v>0</v>
      </c>
      <c r="AN853" s="90">
        <v>15</v>
      </c>
      <c r="AO853" s="90">
        <f>G853*0.0336344</f>
        <v>420.43</v>
      </c>
      <c r="AP853" s="90">
        <f>G853*(1-0.0336344)</f>
        <v>12079.57</v>
      </c>
      <c r="AQ853" s="91" t="s">
        <v>85</v>
      </c>
      <c r="AV853" s="90">
        <f>AW853+AX853</f>
        <v>0</v>
      </c>
      <c r="AW853" s="90">
        <f>F853*AO853</f>
        <v>0</v>
      </c>
      <c r="AX853" s="90">
        <f>F853*AP853</f>
        <v>0</v>
      </c>
      <c r="AY853" s="91" t="s">
        <v>646</v>
      </c>
      <c r="AZ853" s="91" t="s">
        <v>1646</v>
      </c>
      <c r="BA853" s="154" t="s">
        <v>1649</v>
      </c>
      <c r="BC853" s="90">
        <f>AW853+AX853</f>
        <v>0</v>
      </c>
      <c r="BD853" s="90">
        <f>G853/(100-BE853)*100</f>
        <v>12500</v>
      </c>
      <c r="BE853" s="90">
        <v>0</v>
      </c>
      <c r="BF853" s="90">
        <f>L853</f>
        <v>0</v>
      </c>
      <c r="BH853" s="90">
        <f>F853*AO853</f>
        <v>0</v>
      </c>
      <c r="BI853" s="90">
        <f>F853*AP853</f>
        <v>0</v>
      </c>
      <c r="BJ853" s="90">
        <f>F853*G853</f>
        <v>0</v>
      </c>
    </row>
    <row r="854" spans="1:62" ht="12.75" hidden="1">
      <c r="A854" s="88" t="s">
        <v>378</v>
      </c>
      <c r="B854" s="88" t="s">
        <v>61</v>
      </c>
      <c r="C854" s="88" t="s">
        <v>363</v>
      </c>
      <c r="D854" s="88" t="s">
        <v>547</v>
      </c>
      <c r="E854" s="88" t="s">
        <v>606</v>
      </c>
      <c r="F854" s="90"/>
      <c r="G854" s="90">
        <v>12800</v>
      </c>
      <c r="H854" s="90">
        <f>F854*AO854</f>
        <v>0</v>
      </c>
      <c r="I854" s="90">
        <f>F854*AP854</f>
        <v>0</v>
      </c>
      <c r="J854" s="90">
        <f>F854*G854</f>
        <v>0</v>
      </c>
      <c r="K854" s="90">
        <v>0.085</v>
      </c>
      <c r="L854" s="90">
        <f>F854*K854</f>
        <v>0</v>
      </c>
      <c r="M854" s="91" t="s">
        <v>622</v>
      </c>
      <c r="O854" s="90"/>
      <c r="P854" s="90"/>
      <c r="Z854" s="90">
        <f>IF(AQ854="5",BJ854,0)</f>
        <v>0</v>
      </c>
      <c r="AB854" s="90">
        <f>IF(AQ854="1",BH854,0)</f>
        <v>0</v>
      </c>
      <c r="AC854" s="90">
        <f>IF(AQ854="1",BI854,0)</f>
        <v>0</v>
      </c>
      <c r="AD854" s="90">
        <f>IF(AQ854="7",BH854,0)</f>
        <v>0</v>
      </c>
      <c r="AE854" s="90">
        <f>IF(AQ854="7",BI854,0)</f>
        <v>0</v>
      </c>
      <c r="AF854" s="90">
        <f>IF(AQ854="2",BH854,0)</f>
        <v>0</v>
      </c>
      <c r="AG854" s="90">
        <f>IF(AQ854="2",BI854,0)</f>
        <v>0</v>
      </c>
      <c r="AH854" s="90">
        <f>IF(AQ854="0",BJ854,0)</f>
        <v>0</v>
      </c>
      <c r="AI854" s="154" t="s">
        <v>61</v>
      </c>
      <c r="AJ854" s="90">
        <f>IF(AN854=0,J854,0)</f>
        <v>0</v>
      </c>
      <c r="AK854" s="90">
        <f>IF(AN854=15,J854,0)</f>
        <v>0</v>
      </c>
      <c r="AL854" s="90">
        <f>IF(AN854=21,J854,0)</f>
        <v>0</v>
      </c>
      <c r="AN854" s="90">
        <v>15</v>
      </c>
      <c r="AO854" s="90">
        <f>G854*0.033634375</f>
        <v>430.52000000000004</v>
      </c>
      <c r="AP854" s="90">
        <f>G854*(1-0.033634375)</f>
        <v>12369.48</v>
      </c>
      <c r="AQ854" s="91" t="s">
        <v>85</v>
      </c>
      <c r="AV854" s="90">
        <f>AW854+AX854</f>
        <v>0</v>
      </c>
      <c r="AW854" s="90">
        <f>F854*AO854</f>
        <v>0</v>
      </c>
      <c r="AX854" s="90">
        <f>F854*AP854</f>
        <v>0</v>
      </c>
      <c r="AY854" s="91" t="s">
        <v>646</v>
      </c>
      <c r="AZ854" s="91" t="s">
        <v>1646</v>
      </c>
      <c r="BA854" s="154" t="s">
        <v>1649</v>
      </c>
      <c r="BC854" s="90">
        <f>AW854+AX854</f>
        <v>0</v>
      </c>
      <c r="BD854" s="90">
        <f>G854/(100-BE854)*100</f>
        <v>12800</v>
      </c>
      <c r="BE854" s="90">
        <v>0</v>
      </c>
      <c r="BF854" s="90">
        <f>L854</f>
        <v>0</v>
      </c>
      <c r="BH854" s="90">
        <f>F854*AO854</f>
        <v>0</v>
      </c>
      <c r="BI854" s="90">
        <f>F854*AP854</f>
        <v>0</v>
      </c>
      <c r="BJ854" s="90">
        <f>F854*G854</f>
        <v>0</v>
      </c>
    </row>
    <row r="855" spans="1:62" ht="12.75" hidden="1">
      <c r="A855" s="88" t="s">
        <v>2063</v>
      </c>
      <c r="B855" s="88" t="s">
        <v>61</v>
      </c>
      <c r="C855" s="88" t="s">
        <v>366</v>
      </c>
      <c r="D855" s="88" t="s">
        <v>551</v>
      </c>
      <c r="E855" s="88" t="s">
        <v>612</v>
      </c>
      <c r="F855" s="90"/>
      <c r="G855" s="90">
        <v>991</v>
      </c>
      <c r="H855" s="90">
        <f>F855*AO855</f>
        <v>0</v>
      </c>
      <c r="I855" s="90">
        <f>F855*AP855</f>
        <v>0</v>
      </c>
      <c r="J855" s="90">
        <f>F855*G855</f>
        <v>0</v>
      </c>
      <c r="K855" s="90">
        <v>0</v>
      </c>
      <c r="L855" s="90">
        <f>F855*K855</f>
        <v>0</v>
      </c>
      <c r="M855" s="91" t="s">
        <v>622</v>
      </c>
      <c r="O855" s="90"/>
      <c r="P855" s="90"/>
      <c r="Z855" s="90">
        <f>IF(AQ855="5",BJ855,0)</f>
        <v>0</v>
      </c>
      <c r="AB855" s="90">
        <f>IF(AQ855="1",BH855,0)</f>
        <v>0</v>
      </c>
      <c r="AC855" s="90">
        <f>IF(AQ855="1",BI855,0)</f>
        <v>0</v>
      </c>
      <c r="AD855" s="90">
        <f>IF(AQ855="7",BH855,0)</f>
        <v>0</v>
      </c>
      <c r="AE855" s="90">
        <f>IF(AQ855="7",BI855,0)</f>
        <v>0</v>
      </c>
      <c r="AF855" s="90">
        <f>IF(AQ855="2",BH855,0)</f>
        <v>0</v>
      </c>
      <c r="AG855" s="90">
        <f>IF(AQ855="2",BI855,0)</f>
        <v>0</v>
      </c>
      <c r="AH855" s="90">
        <f>IF(AQ855="0",BJ855,0)</f>
        <v>0</v>
      </c>
      <c r="AI855" s="154" t="s">
        <v>61</v>
      </c>
      <c r="AJ855" s="90">
        <f>IF(AN855=0,J855,0)</f>
        <v>0</v>
      </c>
      <c r="AK855" s="90">
        <f>IF(AN855=15,J855,0)</f>
        <v>0</v>
      </c>
      <c r="AL855" s="90">
        <f>IF(AN855=21,J855,0)</f>
        <v>0</v>
      </c>
      <c r="AN855" s="90">
        <v>15</v>
      </c>
      <c r="AO855" s="90">
        <f>G855*0</f>
        <v>0</v>
      </c>
      <c r="AP855" s="90">
        <f>G855*(1-0)</f>
        <v>991</v>
      </c>
      <c r="AQ855" s="91" t="s">
        <v>83</v>
      </c>
      <c r="AV855" s="90">
        <f>AW855+AX855</f>
        <v>0</v>
      </c>
      <c r="AW855" s="90">
        <f>F855*AO855</f>
        <v>0</v>
      </c>
      <c r="AX855" s="90">
        <f>F855*AP855</f>
        <v>0</v>
      </c>
      <c r="AY855" s="91" t="s">
        <v>646</v>
      </c>
      <c r="AZ855" s="91" t="s">
        <v>1646</v>
      </c>
      <c r="BA855" s="154" t="s">
        <v>1649</v>
      </c>
      <c r="BC855" s="90">
        <f>AW855+AX855</f>
        <v>0</v>
      </c>
      <c r="BD855" s="90">
        <f>G855/(100-BE855)*100</f>
        <v>991</v>
      </c>
      <c r="BE855" s="90">
        <v>0</v>
      </c>
      <c r="BF855" s="90">
        <f>L855</f>
        <v>0</v>
      </c>
      <c r="BH855" s="90">
        <f>F855*AO855</f>
        <v>0</v>
      </c>
      <c r="BI855" s="90">
        <f>F855*AP855</f>
        <v>0</v>
      </c>
      <c r="BJ855" s="90">
        <f>F855*G855</f>
        <v>0</v>
      </c>
    </row>
    <row r="856" spans="1:47" ht="12.75" hidden="1">
      <c r="A856" s="159"/>
      <c r="B856" s="160" t="s">
        <v>61</v>
      </c>
      <c r="C856" s="160" t="s">
        <v>367</v>
      </c>
      <c r="D856" s="160" t="s">
        <v>552</v>
      </c>
      <c r="E856" s="159" t="s">
        <v>57</v>
      </c>
      <c r="F856" s="159"/>
      <c r="G856" s="159" t="s">
        <v>57</v>
      </c>
      <c r="H856" s="161">
        <f>SUM(H857:H867)</f>
        <v>0</v>
      </c>
      <c r="I856" s="161">
        <f>SUM(I857:I867)</f>
        <v>0</v>
      </c>
      <c r="J856" s="161">
        <f>SUM(J857:J867)</f>
        <v>0</v>
      </c>
      <c r="K856" s="154"/>
      <c r="L856" s="161">
        <f>SUM(L857:L867)</f>
        <v>0</v>
      </c>
      <c r="M856" s="154"/>
      <c r="O856" s="159"/>
      <c r="P856" s="159"/>
      <c r="AI856" s="154" t="s">
        <v>61</v>
      </c>
      <c r="AS856" s="161">
        <f>SUM(AJ857:AJ867)</f>
        <v>0</v>
      </c>
      <c r="AT856" s="161">
        <f>SUM(AK857:AK867)</f>
        <v>0</v>
      </c>
      <c r="AU856" s="161">
        <f>SUM(AL857:AL867)</f>
        <v>0</v>
      </c>
    </row>
    <row r="857" spans="1:62" ht="12.75" hidden="1">
      <c r="A857" s="88" t="s">
        <v>2064</v>
      </c>
      <c r="B857" s="88" t="s">
        <v>61</v>
      </c>
      <c r="C857" s="88" t="s">
        <v>368</v>
      </c>
      <c r="D857" s="88" t="s">
        <v>553</v>
      </c>
      <c r="E857" s="88" t="s">
        <v>608</v>
      </c>
      <c r="F857" s="90"/>
      <c r="G857" s="90">
        <v>91.9</v>
      </c>
      <c r="H857" s="90">
        <f aca="true" t="shared" si="860" ref="H857:H867">F857*AO857</f>
        <v>0</v>
      </c>
      <c r="I857" s="90">
        <f aca="true" t="shared" si="861" ref="I857:I867">F857*AP857</f>
        <v>0</v>
      </c>
      <c r="J857" s="90">
        <f aca="true" t="shared" si="862" ref="J857:J867">F857*G857</f>
        <v>0</v>
      </c>
      <c r="K857" s="90">
        <v>0.003</v>
      </c>
      <c r="L857" s="90">
        <f aca="true" t="shared" si="863" ref="L857:L867">F857*K857</f>
        <v>0</v>
      </c>
      <c r="M857" s="91" t="s">
        <v>622</v>
      </c>
      <c r="O857" s="90"/>
      <c r="P857" s="90"/>
      <c r="Z857" s="90">
        <f aca="true" t="shared" si="864" ref="Z857:Z867">IF(AQ857="5",BJ857,0)</f>
        <v>0</v>
      </c>
      <c r="AB857" s="90">
        <f aca="true" t="shared" si="865" ref="AB857:AB867">IF(AQ857="1",BH857,0)</f>
        <v>0</v>
      </c>
      <c r="AC857" s="90">
        <f aca="true" t="shared" si="866" ref="AC857:AC867">IF(AQ857="1",BI857,0)</f>
        <v>0</v>
      </c>
      <c r="AD857" s="90">
        <f aca="true" t="shared" si="867" ref="AD857:AD867">IF(AQ857="7",BH857,0)</f>
        <v>0</v>
      </c>
      <c r="AE857" s="90">
        <f aca="true" t="shared" si="868" ref="AE857:AE867">IF(AQ857="7",BI857,0)</f>
        <v>0</v>
      </c>
      <c r="AF857" s="90">
        <f aca="true" t="shared" si="869" ref="AF857:AF867">IF(AQ857="2",BH857,0)</f>
        <v>0</v>
      </c>
      <c r="AG857" s="90">
        <f aca="true" t="shared" si="870" ref="AG857:AG867">IF(AQ857="2",BI857,0)</f>
        <v>0</v>
      </c>
      <c r="AH857" s="90">
        <f aca="true" t="shared" si="871" ref="AH857:AH867">IF(AQ857="0",BJ857,0)</f>
        <v>0</v>
      </c>
      <c r="AI857" s="154" t="s">
        <v>61</v>
      </c>
      <c r="AJ857" s="90">
        <f aca="true" t="shared" si="872" ref="AJ857:AJ867">IF(AN857=0,J857,0)</f>
        <v>0</v>
      </c>
      <c r="AK857" s="90">
        <f aca="true" t="shared" si="873" ref="AK857:AK867">IF(AN857=15,J857,0)</f>
        <v>0</v>
      </c>
      <c r="AL857" s="90">
        <f aca="true" t="shared" si="874" ref="AL857:AL867">IF(AN857=21,J857,0)</f>
        <v>0</v>
      </c>
      <c r="AN857" s="90">
        <v>15</v>
      </c>
      <c r="AO857" s="90">
        <f>G857*0</f>
        <v>0</v>
      </c>
      <c r="AP857" s="90">
        <f>G857*(1-0)</f>
        <v>91.9</v>
      </c>
      <c r="AQ857" s="91" t="s">
        <v>85</v>
      </c>
      <c r="AV857" s="90">
        <f aca="true" t="shared" si="875" ref="AV857:AV867">AW857+AX857</f>
        <v>0</v>
      </c>
      <c r="AW857" s="90">
        <f aca="true" t="shared" si="876" ref="AW857:AW867">F857*AO857</f>
        <v>0</v>
      </c>
      <c r="AX857" s="90">
        <f aca="true" t="shared" si="877" ref="AX857:AX867">F857*AP857</f>
        <v>0</v>
      </c>
      <c r="AY857" s="91" t="s">
        <v>647</v>
      </c>
      <c r="AZ857" s="91" t="s">
        <v>1647</v>
      </c>
      <c r="BA857" s="154" t="s">
        <v>1649</v>
      </c>
      <c r="BC857" s="90">
        <f aca="true" t="shared" si="878" ref="BC857:BC867">AW857+AX857</f>
        <v>0</v>
      </c>
      <c r="BD857" s="90">
        <f aca="true" t="shared" si="879" ref="BD857:BD867">G857/(100-BE857)*100</f>
        <v>91.9</v>
      </c>
      <c r="BE857" s="90">
        <v>0</v>
      </c>
      <c r="BF857" s="90">
        <f aca="true" t="shared" si="880" ref="BF857:BF867">L857</f>
        <v>0</v>
      </c>
      <c r="BH857" s="90">
        <f aca="true" t="shared" si="881" ref="BH857:BH867">F857*AO857</f>
        <v>0</v>
      </c>
      <c r="BI857" s="90">
        <f aca="true" t="shared" si="882" ref="BI857:BI867">F857*AP857</f>
        <v>0</v>
      </c>
      <c r="BJ857" s="90">
        <f aca="true" t="shared" si="883" ref="BJ857:BJ867">F857*G857</f>
        <v>0</v>
      </c>
    </row>
    <row r="858" spans="1:62" ht="12.75" hidden="1">
      <c r="A858" s="88" t="s">
        <v>2065</v>
      </c>
      <c r="B858" s="88" t="s">
        <v>61</v>
      </c>
      <c r="C858" s="88" t="s">
        <v>369</v>
      </c>
      <c r="D858" s="88" t="s">
        <v>1635</v>
      </c>
      <c r="E858" s="88" t="s">
        <v>608</v>
      </c>
      <c r="F858" s="90"/>
      <c r="G858" s="90">
        <v>267</v>
      </c>
      <c r="H858" s="90">
        <f t="shared" si="860"/>
        <v>0</v>
      </c>
      <c r="I858" s="90">
        <f t="shared" si="861"/>
        <v>0</v>
      </c>
      <c r="J858" s="90">
        <f t="shared" si="862"/>
        <v>0</v>
      </c>
      <c r="K858" s="90">
        <v>0</v>
      </c>
      <c r="L858" s="90">
        <f t="shared" si="863"/>
        <v>0</v>
      </c>
      <c r="M858" s="91" t="s">
        <v>622</v>
      </c>
      <c r="O858" s="90"/>
      <c r="P858" s="90"/>
      <c r="Z858" s="90">
        <f t="shared" si="864"/>
        <v>0</v>
      </c>
      <c r="AB858" s="90">
        <f t="shared" si="865"/>
        <v>0</v>
      </c>
      <c r="AC858" s="90">
        <f t="shared" si="866"/>
        <v>0</v>
      </c>
      <c r="AD858" s="90">
        <f t="shared" si="867"/>
        <v>0</v>
      </c>
      <c r="AE858" s="90">
        <f t="shared" si="868"/>
        <v>0</v>
      </c>
      <c r="AF858" s="90">
        <f t="shared" si="869"/>
        <v>0</v>
      </c>
      <c r="AG858" s="90">
        <f t="shared" si="870"/>
        <v>0</v>
      </c>
      <c r="AH858" s="90">
        <f t="shared" si="871"/>
        <v>0</v>
      </c>
      <c r="AI858" s="154" t="s">
        <v>61</v>
      </c>
      <c r="AJ858" s="90">
        <f t="shared" si="872"/>
        <v>0</v>
      </c>
      <c r="AK858" s="90">
        <f t="shared" si="873"/>
        <v>0</v>
      </c>
      <c r="AL858" s="90">
        <f t="shared" si="874"/>
        <v>0</v>
      </c>
      <c r="AN858" s="90">
        <v>15</v>
      </c>
      <c r="AO858" s="90">
        <f>G858*0</f>
        <v>0</v>
      </c>
      <c r="AP858" s="90">
        <f>G858*(1-0)</f>
        <v>267</v>
      </c>
      <c r="AQ858" s="91" t="s">
        <v>85</v>
      </c>
      <c r="AV858" s="90">
        <f t="shared" si="875"/>
        <v>0</v>
      </c>
      <c r="AW858" s="90">
        <f t="shared" si="876"/>
        <v>0</v>
      </c>
      <c r="AX858" s="90">
        <f t="shared" si="877"/>
        <v>0</v>
      </c>
      <c r="AY858" s="91" t="s">
        <v>647</v>
      </c>
      <c r="AZ858" s="91" t="s">
        <v>1647</v>
      </c>
      <c r="BA858" s="154" t="s">
        <v>1649</v>
      </c>
      <c r="BC858" s="90">
        <f t="shared" si="878"/>
        <v>0</v>
      </c>
      <c r="BD858" s="90">
        <f t="shared" si="879"/>
        <v>267</v>
      </c>
      <c r="BE858" s="90">
        <v>0</v>
      </c>
      <c r="BF858" s="90">
        <f t="shared" si="880"/>
        <v>0</v>
      </c>
      <c r="BH858" s="90">
        <f t="shared" si="881"/>
        <v>0</v>
      </c>
      <c r="BI858" s="90">
        <f t="shared" si="882"/>
        <v>0</v>
      </c>
      <c r="BJ858" s="90">
        <f t="shared" si="883"/>
        <v>0</v>
      </c>
    </row>
    <row r="859" spans="1:62" ht="12.75" hidden="1">
      <c r="A859" s="88" t="s">
        <v>2066</v>
      </c>
      <c r="B859" s="88" t="s">
        <v>61</v>
      </c>
      <c r="C859" s="88" t="s">
        <v>370</v>
      </c>
      <c r="D859" s="88" t="s">
        <v>1636</v>
      </c>
      <c r="E859" s="88" t="s">
        <v>608</v>
      </c>
      <c r="F859" s="90"/>
      <c r="G859" s="90">
        <v>296</v>
      </c>
      <c r="H859" s="90">
        <f t="shared" si="860"/>
        <v>0</v>
      </c>
      <c r="I859" s="90">
        <f t="shared" si="861"/>
        <v>0</v>
      </c>
      <c r="J859" s="90">
        <f t="shared" si="862"/>
        <v>0</v>
      </c>
      <c r="K859" s="90">
        <v>0</v>
      </c>
      <c r="L859" s="90">
        <f t="shared" si="863"/>
        <v>0</v>
      </c>
      <c r="M859" s="91" t="s">
        <v>622</v>
      </c>
      <c r="O859" s="90"/>
      <c r="P859" s="90"/>
      <c r="Z859" s="90">
        <f t="shared" si="864"/>
        <v>0</v>
      </c>
      <c r="AB859" s="90">
        <f t="shared" si="865"/>
        <v>0</v>
      </c>
      <c r="AC859" s="90">
        <f t="shared" si="866"/>
        <v>0</v>
      </c>
      <c r="AD859" s="90">
        <f t="shared" si="867"/>
        <v>0</v>
      </c>
      <c r="AE859" s="90">
        <f t="shared" si="868"/>
        <v>0</v>
      </c>
      <c r="AF859" s="90">
        <f t="shared" si="869"/>
        <v>0</v>
      </c>
      <c r="AG859" s="90">
        <f t="shared" si="870"/>
        <v>0</v>
      </c>
      <c r="AH859" s="90">
        <f t="shared" si="871"/>
        <v>0</v>
      </c>
      <c r="AI859" s="154" t="s">
        <v>61</v>
      </c>
      <c r="AJ859" s="90">
        <f t="shared" si="872"/>
        <v>0</v>
      </c>
      <c r="AK859" s="90">
        <f t="shared" si="873"/>
        <v>0</v>
      </c>
      <c r="AL859" s="90">
        <f t="shared" si="874"/>
        <v>0</v>
      </c>
      <c r="AN859" s="90">
        <v>15</v>
      </c>
      <c r="AO859" s="90">
        <f>G859*0</f>
        <v>0</v>
      </c>
      <c r="AP859" s="90">
        <f>G859*(1-0)</f>
        <v>296</v>
      </c>
      <c r="AQ859" s="91" t="s">
        <v>85</v>
      </c>
      <c r="AV859" s="90">
        <f t="shared" si="875"/>
        <v>0</v>
      </c>
      <c r="AW859" s="90">
        <f t="shared" si="876"/>
        <v>0</v>
      </c>
      <c r="AX859" s="90">
        <f t="shared" si="877"/>
        <v>0</v>
      </c>
      <c r="AY859" s="91" t="s">
        <v>647</v>
      </c>
      <c r="AZ859" s="91" t="s">
        <v>1647</v>
      </c>
      <c r="BA859" s="154" t="s">
        <v>1649</v>
      </c>
      <c r="BC859" s="90">
        <f t="shared" si="878"/>
        <v>0</v>
      </c>
      <c r="BD859" s="90">
        <f t="shared" si="879"/>
        <v>296</v>
      </c>
      <c r="BE859" s="90">
        <v>0</v>
      </c>
      <c r="BF859" s="90">
        <f t="shared" si="880"/>
        <v>0</v>
      </c>
      <c r="BH859" s="90">
        <f t="shared" si="881"/>
        <v>0</v>
      </c>
      <c r="BI859" s="90">
        <f t="shared" si="882"/>
        <v>0</v>
      </c>
      <c r="BJ859" s="90">
        <f t="shared" si="883"/>
        <v>0</v>
      </c>
    </row>
    <row r="860" spans="1:62" ht="12.75" hidden="1">
      <c r="A860" s="88" t="s">
        <v>2067</v>
      </c>
      <c r="B860" s="88" t="s">
        <v>61</v>
      </c>
      <c r="C860" s="88" t="s">
        <v>372</v>
      </c>
      <c r="D860" s="88" t="s">
        <v>557</v>
      </c>
      <c r="E860" s="88" t="s">
        <v>608</v>
      </c>
      <c r="F860" s="90"/>
      <c r="G860" s="90">
        <v>38.6</v>
      </c>
      <c r="H860" s="90">
        <f t="shared" si="860"/>
        <v>0</v>
      </c>
      <c r="I860" s="90">
        <f t="shared" si="861"/>
        <v>0</v>
      </c>
      <c r="J860" s="90">
        <f t="shared" si="862"/>
        <v>0</v>
      </c>
      <c r="K860" s="90">
        <v>0.00021</v>
      </c>
      <c r="L860" s="90">
        <f t="shared" si="863"/>
        <v>0</v>
      </c>
      <c r="M860" s="91" t="s">
        <v>622</v>
      </c>
      <c r="O860" s="90"/>
      <c r="P860" s="90"/>
      <c r="Z860" s="90">
        <f t="shared" si="864"/>
        <v>0</v>
      </c>
      <c r="AB860" s="90">
        <f t="shared" si="865"/>
        <v>0</v>
      </c>
      <c r="AC860" s="90">
        <f t="shared" si="866"/>
        <v>0</v>
      </c>
      <c r="AD860" s="90">
        <f t="shared" si="867"/>
        <v>0</v>
      </c>
      <c r="AE860" s="90">
        <f t="shared" si="868"/>
        <v>0</v>
      </c>
      <c r="AF860" s="90">
        <f t="shared" si="869"/>
        <v>0</v>
      </c>
      <c r="AG860" s="90">
        <f t="shared" si="870"/>
        <v>0</v>
      </c>
      <c r="AH860" s="90">
        <f t="shared" si="871"/>
        <v>0</v>
      </c>
      <c r="AI860" s="154" t="s">
        <v>61</v>
      </c>
      <c r="AJ860" s="90">
        <f t="shared" si="872"/>
        <v>0</v>
      </c>
      <c r="AK860" s="90">
        <f t="shared" si="873"/>
        <v>0</v>
      </c>
      <c r="AL860" s="90">
        <f t="shared" si="874"/>
        <v>0</v>
      </c>
      <c r="AN860" s="90">
        <v>15</v>
      </c>
      <c r="AO860" s="90">
        <f>G860*0.533419689119171</f>
        <v>20.590000000000003</v>
      </c>
      <c r="AP860" s="90">
        <f>G860*(1-0.533419689119171)</f>
        <v>18.009999999999998</v>
      </c>
      <c r="AQ860" s="91" t="s">
        <v>85</v>
      </c>
      <c r="AV860" s="90">
        <f t="shared" si="875"/>
        <v>0</v>
      </c>
      <c r="AW860" s="90">
        <f t="shared" si="876"/>
        <v>0</v>
      </c>
      <c r="AX860" s="90">
        <f t="shared" si="877"/>
        <v>0</v>
      </c>
      <c r="AY860" s="91" t="s">
        <v>647</v>
      </c>
      <c r="AZ860" s="91" t="s">
        <v>1647</v>
      </c>
      <c r="BA860" s="154" t="s">
        <v>1649</v>
      </c>
      <c r="BC860" s="90">
        <f t="shared" si="878"/>
        <v>0</v>
      </c>
      <c r="BD860" s="90">
        <f t="shared" si="879"/>
        <v>38.6</v>
      </c>
      <c r="BE860" s="90">
        <v>0</v>
      </c>
      <c r="BF860" s="90">
        <f t="shared" si="880"/>
        <v>0</v>
      </c>
      <c r="BH860" s="90">
        <f t="shared" si="881"/>
        <v>0</v>
      </c>
      <c r="BI860" s="90">
        <f t="shared" si="882"/>
        <v>0</v>
      </c>
      <c r="BJ860" s="90">
        <f t="shared" si="883"/>
        <v>0</v>
      </c>
    </row>
    <row r="861" spans="1:62" ht="12.75" hidden="1">
      <c r="A861" s="88" t="s">
        <v>2068</v>
      </c>
      <c r="B861" s="88" t="s">
        <v>61</v>
      </c>
      <c r="C861" s="88" t="s">
        <v>371</v>
      </c>
      <c r="D861" s="88" t="s">
        <v>556</v>
      </c>
      <c r="E861" s="88" t="s">
        <v>609</v>
      </c>
      <c r="F861" s="90"/>
      <c r="G861" s="90">
        <v>57.3</v>
      </c>
      <c r="H861" s="90">
        <f t="shared" si="860"/>
        <v>0</v>
      </c>
      <c r="I861" s="90">
        <f t="shared" si="861"/>
        <v>0</v>
      </c>
      <c r="J861" s="90">
        <f t="shared" si="862"/>
        <v>0</v>
      </c>
      <c r="K861" s="90">
        <v>0</v>
      </c>
      <c r="L861" s="90">
        <f t="shared" si="863"/>
        <v>0</v>
      </c>
      <c r="M861" s="91" t="s">
        <v>622</v>
      </c>
      <c r="O861" s="90"/>
      <c r="P861" s="90"/>
      <c r="Z861" s="90">
        <f t="shared" si="864"/>
        <v>0</v>
      </c>
      <c r="AB861" s="90">
        <f t="shared" si="865"/>
        <v>0</v>
      </c>
      <c r="AC861" s="90">
        <f t="shared" si="866"/>
        <v>0</v>
      </c>
      <c r="AD861" s="90">
        <f t="shared" si="867"/>
        <v>0</v>
      </c>
      <c r="AE861" s="90">
        <f t="shared" si="868"/>
        <v>0</v>
      </c>
      <c r="AF861" s="90">
        <f t="shared" si="869"/>
        <v>0</v>
      </c>
      <c r="AG861" s="90">
        <f t="shared" si="870"/>
        <v>0</v>
      </c>
      <c r="AH861" s="90">
        <f t="shared" si="871"/>
        <v>0</v>
      </c>
      <c r="AI861" s="154" t="s">
        <v>61</v>
      </c>
      <c r="AJ861" s="90">
        <f t="shared" si="872"/>
        <v>0</v>
      </c>
      <c r="AK861" s="90">
        <f t="shared" si="873"/>
        <v>0</v>
      </c>
      <c r="AL861" s="90">
        <f t="shared" si="874"/>
        <v>0</v>
      </c>
      <c r="AN861" s="90">
        <v>15</v>
      </c>
      <c r="AO861" s="90">
        <f>G861*0</f>
        <v>0</v>
      </c>
      <c r="AP861" s="90">
        <f>G861*(1-0)</f>
        <v>57.3</v>
      </c>
      <c r="AQ861" s="91" t="s">
        <v>85</v>
      </c>
      <c r="AV861" s="90">
        <f t="shared" si="875"/>
        <v>0</v>
      </c>
      <c r="AW861" s="90">
        <f t="shared" si="876"/>
        <v>0</v>
      </c>
      <c r="AX861" s="90">
        <f t="shared" si="877"/>
        <v>0</v>
      </c>
      <c r="AY861" s="91" t="s">
        <v>647</v>
      </c>
      <c r="AZ861" s="91" t="s">
        <v>1647</v>
      </c>
      <c r="BA861" s="154" t="s">
        <v>1649</v>
      </c>
      <c r="BC861" s="90">
        <f t="shared" si="878"/>
        <v>0</v>
      </c>
      <c r="BD861" s="90">
        <f t="shared" si="879"/>
        <v>57.3</v>
      </c>
      <c r="BE861" s="90">
        <v>0</v>
      </c>
      <c r="BF861" s="90">
        <f t="shared" si="880"/>
        <v>0</v>
      </c>
      <c r="BH861" s="90">
        <f t="shared" si="881"/>
        <v>0</v>
      </c>
      <c r="BI861" s="90">
        <f t="shared" si="882"/>
        <v>0</v>
      </c>
      <c r="BJ861" s="90">
        <f t="shared" si="883"/>
        <v>0</v>
      </c>
    </row>
    <row r="862" spans="1:62" ht="12.75" hidden="1">
      <c r="A862" s="88" t="s">
        <v>2069</v>
      </c>
      <c r="B862" s="88" t="s">
        <v>61</v>
      </c>
      <c r="C862" s="88" t="s">
        <v>373</v>
      </c>
      <c r="D862" s="88" t="s">
        <v>1637</v>
      </c>
      <c r="E862" s="88" t="s">
        <v>609</v>
      </c>
      <c r="F862" s="90"/>
      <c r="G862" s="90">
        <v>93</v>
      </c>
      <c r="H862" s="90">
        <f t="shared" si="860"/>
        <v>0</v>
      </c>
      <c r="I862" s="90">
        <f t="shared" si="861"/>
        <v>0</v>
      </c>
      <c r="J862" s="90">
        <f t="shared" si="862"/>
        <v>0</v>
      </c>
      <c r="K862" s="90">
        <v>0.00032</v>
      </c>
      <c r="L862" s="90">
        <f t="shared" si="863"/>
        <v>0</v>
      </c>
      <c r="M862" s="91" t="s">
        <v>622</v>
      </c>
      <c r="O862" s="90"/>
      <c r="P862" s="90"/>
      <c r="Z862" s="90">
        <f t="shared" si="864"/>
        <v>0</v>
      </c>
      <c r="AB862" s="90">
        <f t="shared" si="865"/>
        <v>0</v>
      </c>
      <c r="AC862" s="90">
        <f t="shared" si="866"/>
        <v>0</v>
      </c>
      <c r="AD862" s="90">
        <f t="shared" si="867"/>
        <v>0</v>
      </c>
      <c r="AE862" s="90">
        <f t="shared" si="868"/>
        <v>0</v>
      </c>
      <c r="AF862" s="90">
        <f t="shared" si="869"/>
        <v>0</v>
      </c>
      <c r="AG862" s="90">
        <f t="shared" si="870"/>
        <v>0</v>
      </c>
      <c r="AH862" s="90">
        <f t="shared" si="871"/>
        <v>0</v>
      </c>
      <c r="AI862" s="154" t="s">
        <v>61</v>
      </c>
      <c r="AJ862" s="90">
        <f t="shared" si="872"/>
        <v>0</v>
      </c>
      <c r="AK862" s="90">
        <f t="shared" si="873"/>
        <v>0</v>
      </c>
      <c r="AL862" s="90">
        <f t="shared" si="874"/>
        <v>0</v>
      </c>
      <c r="AN862" s="90">
        <v>15</v>
      </c>
      <c r="AO862" s="90">
        <f>G862*0.0855913978494624</f>
        <v>7.9600000000000035</v>
      </c>
      <c r="AP862" s="90">
        <f>G862*(1-0.0855913978494624)</f>
        <v>85.03999999999999</v>
      </c>
      <c r="AQ862" s="91" t="s">
        <v>85</v>
      </c>
      <c r="AV862" s="90">
        <f t="shared" si="875"/>
        <v>0</v>
      </c>
      <c r="AW862" s="90">
        <f t="shared" si="876"/>
        <v>0</v>
      </c>
      <c r="AX862" s="90">
        <f t="shared" si="877"/>
        <v>0</v>
      </c>
      <c r="AY862" s="91" t="s">
        <v>647</v>
      </c>
      <c r="AZ862" s="91" t="s">
        <v>1647</v>
      </c>
      <c r="BA862" s="154" t="s">
        <v>1649</v>
      </c>
      <c r="BC862" s="90">
        <f t="shared" si="878"/>
        <v>0</v>
      </c>
      <c r="BD862" s="90">
        <f t="shared" si="879"/>
        <v>93</v>
      </c>
      <c r="BE862" s="90">
        <v>0</v>
      </c>
      <c r="BF862" s="90">
        <f t="shared" si="880"/>
        <v>0</v>
      </c>
      <c r="BH862" s="90">
        <f t="shared" si="881"/>
        <v>0</v>
      </c>
      <c r="BI862" s="90">
        <f t="shared" si="882"/>
        <v>0</v>
      </c>
      <c r="BJ862" s="90">
        <f t="shared" si="883"/>
        <v>0</v>
      </c>
    </row>
    <row r="863" spans="1:62" ht="12.75" hidden="1">
      <c r="A863" s="88" t="s">
        <v>2070</v>
      </c>
      <c r="B863" s="88" t="s">
        <v>61</v>
      </c>
      <c r="C863" s="88" t="s">
        <v>374</v>
      </c>
      <c r="D863" s="88" t="s">
        <v>559</v>
      </c>
      <c r="E863" s="88" t="s">
        <v>608</v>
      </c>
      <c r="F863" s="90"/>
      <c r="G863" s="90">
        <v>360</v>
      </c>
      <c r="H863" s="90">
        <f t="shared" si="860"/>
        <v>0</v>
      </c>
      <c r="I863" s="90">
        <f t="shared" si="861"/>
        <v>0</v>
      </c>
      <c r="J863" s="90">
        <f t="shared" si="862"/>
        <v>0</v>
      </c>
      <c r="K863" s="90">
        <v>0.0192</v>
      </c>
      <c r="L863" s="90">
        <f t="shared" si="863"/>
        <v>0</v>
      </c>
      <c r="M863" s="91" t="s">
        <v>622</v>
      </c>
      <c r="O863" s="90"/>
      <c r="P863" s="90"/>
      <c r="Z863" s="90">
        <f t="shared" si="864"/>
        <v>0</v>
      </c>
      <c r="AB863" s="90">
        <f t="shared" si="865"/>
        <v>0</v>
      </c>
      <c r="AC863" s="90">
        <f t="shared" si="866"/>
        <v>0</v>
      </c>
      <c r="AD863" s="90">
        <f t="shared" si="867"/>
        <v>0</v>
      </c>
      <c r="AE863" s="90">
        <f t="shared" si="868"/>
        <v>0</v>
      </c>
      <c r="AF863" s="90">
        <f t="shared" si="869"/>
        <v>0</v>
      </c>
      <c r="AG863" s="90">
        <f t="shared" si="870"/>
        <v>0</v>
      </c>
      <c r="AH863" s="90">
        <f t="shared" si="871"/>
        <v>0</v>
      </c>
      <c r="AI863" s="154" t="s">
        <v>61</v>
      </c>
      <c r="AJ863" s="90">
        <f t="shared" si="872"/>
        <v>0</v>
      </c>
      <c r="AK863" s="90">
        <f t="shared" si="873"/>
        <v>0</v>
      </c>
      <c r="AL863" s="90">
        <f t="shared" si="874"/>
        <v>0</v>
      </c>
      <c r="AN863" s="90">
        <v>15</v>
      </c>
      <c r="AO863" s="90">
        <f>G863*1</f>
        <v>360</v>
      </c>
      <c r="AP863" s="90">
        <f>G863*(1-1)</f>
        <v>0</v>
      </c>
      <c r="AQ863" s="91" t="s">
        <v>85</v>
      </c>
      <c r="AV863" s="90">
        <f t="shared" si="875"/>
        <v>0</v>
      </c>
      <c r="AW863" s="90">
        <f t="shared" si="876"/>
        <v>0</v>
      </c>
      <c r="AX863" s="90">
        <f t="shared" si="877"/>
        <v>0</v>
      </c>
      <c r="AY863" s="91" t="s">
        <v>647</v>
      </c>
      <c r="AZ863" s="91" t="s">
        <v>1647</v>
      </c>
      <c r="BA863" s="154" t="s">
        <v>1649</v>
      </c>
      <c r="BC863" s="90">
        <f t="shared" si="878"/>
        <v>0</v>
      </c>
      <c r="BD863" s="90">
        <f t="shared" si="879"/>
        <v>360</v>
      </c>
      <c r="BE863" s="90">
        <v>0</v>
      </c>
      <c r="BF863" s="90">
        <f t="shared" si="880"/>
        <v>0</v>
      </c>
      <c r="BH863" s="90">
        <f t="shared" si="881"/>
        <v>0</v>
      </c>
      <c r="BI863" s="90">
        <f t="shared" si="882"/>
        <v>0</v>
      </c>
      <c r="BJ863" s="90">
        <f t="shared" si="883"/>
        <v>0</v>
      </c>
    </row>
    <row r="864" spans="1:62" ht="12.75" hidden="1">
      <c r="A864" s="88" t="s">
        <v>2071</v>
      </c>
      <c r="B864" s="88" t="s">
        <v>61</v>
      </c>
      <c r="C864" s="88" t="s">
        <v>375</v>
      </c>
      <c r="D864" s="88" t="s">
        <v>560</v>
      </c>
      <c r="E864" s="88" t="s">
        <v>609</v>
      </c>
      <c r="F864" s="90"/>
      <c r="G864" s="90">
        <v>72.9</v>
      </c>
      <c r="H864" s="90">
        <f t="shared" si="860"/>
        <v>0</v>
      </c>
      <c r="I864" s="90">
        <f t="shared" si="861"/>
        <v>0</v>
      </c>
      <c r="J864" s="90">
        <f t="shared" si="862"/>
        <v>0</v>
      </c>
      <c r="K864" s="90">
        <v>0</v>
      </c>
      <c r="L864" s="90">
        <f t="shared" si="863"/>
        <v>0</v>
      </c>
      <c r="M864" s="91" t="s">
        <v>622</v>
      </c>
      <c r="O864" s="90"/>
      <c r="P864" s="90"/>
      <c r="Z864" s="90">
        <f t="shared" si="864"/>
        <v>0</v>
      </c>
      <c r="AB864" s="90">
        <f t="shared" si="865"/>
        <v>0</v>
      </c>
      <c r="AC864" s="90">
        <f t="shared" si="866"/>
        <v>0</v>
      </c>
      <c r="AD864" s="90">
        <f t="shared" si="867"/>
        <v>0</v>
      </c>
      <c r="AE864" s="90">
        <f t="shared" si="868"/>
        <v>0</v>
      </c>
      <c r="AF864" s="90">
        <f t="shared" si="869"/>
        <v>0</v>
      </c>
      <c r="AG864" s="90">
        <f t="shared" si="870"/>
        <v>0</v>
      </c>
      <c r="AH864" s="90">
        <f t="shared" si="871"/>
        <v>0</v>
      </c>
      <c r="AI864" s="154" t="s">
        <v>61</v>
      </c>
      <c r="AJ864" s="90">
        <f t="shared" si="872"/>
        <v>0</v>
      </c>
      <c r="AK864" s="90">
        <f t="shared" si="873"/>
        <v>0</v>
      </c>
      <c r="AL864" s="90">
        <f t="shared" si="874"/>
        <v>0</v>
      </c>
      <c r="AN864" s="90">
        <v>15</v>
      </c>
      <c r="AO864" s="90">
        <f>G864*0.0743484633485307</f>
        <v>5.420002978107888</v>
      </c>
      <c r="AP864" s="90">
        <f>G864*(1-0.0743484633485307)</f>
        <v>67.47999702189212</v>
      </c>
      <c r="AQ864" s="91" t="s">
        <v>85</v>
      </c>
      <c r="AV864" s="90">
        <f t="shared" si="875"/>
        <v>0</v>
      </c>
      <c r="AW864" s="90">
        <f t="shared" si="876"/>
        <v>0</v>
      </c>
      <c r="AX864" s="90">
        <f t="shared" si="877"/>
        <v>0</v>
      </c>
      <c r="AY864" s="91" t="s">
        <v>647</v>
      </c>
      <c r="AZ864" s="91" t="s">
        <v>1647</v>
      </c>
      <c r="BA864" s="154" t="s">
        <v>1649</v>
      </c>
      <c r="BC864" s="90">
        <f t="shared" si="878"/>
        <v>0</v>
      </c>
      <c r="BD864" s="90">
        <f t="shared" si="879"/>
        <v>72.9</v>
      </c>
      <c r="BE864" s="90">
        <v>0</v>
      </c>
      <c r="BF864" s="90">
        <f t="shared" si="880"/>
        <v>0</v>
      </c>
      <c r="BH864" s="90">
        <f t="shared" si="881"/>
        <v>0</v>
      </c>
      <c r="BI864" s="90">
        <f t="shared" si="882"/>
        <v>0</v>
      </c>
      <c r="BJ864" s="90">
        <f t="shared" si="883"/>
        <v>0</v>
      </c>
    </row>
    <row r="865" spans="1:62" ht="12.75" hidden="1">
      <c r="A865" s="88" t="s">
        <v>2072</v>
      </c>
      <c r="B865" s="88" t="s">
        <v>61</v>
      </c>
      <c r="C865" s="88" t="s">
        <v>376</v>
      </c>
      <c r="D865" s="88" t="s">
        <v>1638</v>
      </c>
      <c r="E865" s="88" t="s">
        <v>608</v>
      </c>
      <c r="F865" s="90"/>
      <c r="G865" s="90">
        <v>437</v>
      </c>
      <c r="H865" s="90">
        <f t="shared" si="860"/>
        <v>0</v>
      </c>
      <c r="I865" s="90">
        <f t="shared" si="861"/>
        <v>0</v>
      </c>
      <c r="J865" s="90">
        <f t="shared" si="862"/>
        <v>0</v>
      </c>
      <c r="K865" s="90">
        <v>0.00504</v>
      </c>
      <c r="L865" s="90">
        <f t="shared" si="863"/>
        <v>0</v>
      </c>
      <c r="M865" s="91" t="s">
        <v>622</v>
      </c>
      <c r="O865" s="90"/>
      <c r="P865" s="90"/>
      <c r="Z865" s="90">
        <f t="shared" si="864"/>
        <v>0</v>
      </c>
      <c r="AB865" s="90">
        <f t="shared" si="865"/>
        <v>0</v>
      </c>
      <c r="AC865" s="90">
        <f t="shared" si="866"/>
        <v>0</v>
      </c>
      <c r="AD865" s="90">
        <f t="shared" si="867"/>
        <v>0</v>
      </c>
      <c r="AE865" s="90">
        <f t="shared" si="868"/>
        <v>0</v>
      </c>
      <c r="AF865" s="90">
        <f t="shared" si="869"/>
        <v>0</v>
      </c>
      <c r="AG865" s="90">
        <f t="shared" si="870"/>
        <v>0</v>
      </c>
      <c r="AH865" s="90">
        <f t="shared" si="871"/>
        <v>0</v>
      </c>
      <c r="AI865" s="154" t="s">
        <v>61</v>
      </c>
      <c r="AJ865" s="90">
        <f t="shared" si="872"/>
        <v>0</v>
      </c>
      <c r="AK865" s="90">
        <f t="shared" si="873"/>
        <v>0</v>
      </c>
      <c r="AL865" s="90">
        <f t="shared" si="874"/>
        <v>0</v>
      </c>
      <c r="AN865" s="90">
        <v>15</v>
      </c>
      <c r="AO865" s="90">
        <f>G865*0.1941647597254</f>
        <v>84.84999999999981</v>
      </c>
      <c r="AP865" s="90">
        <f>G865*(1-0.1941647597254)</f>
        <v>352.1500000000002</v>
      </c>
      <c r="AQ865" s="91" t="s">
        <v>85</v>
      </c>
      <c r="AV865" s="90">
        <f t="shared" si="875"/>
        <v>0</v>
      </c>
      <c r="AW865" s="90">
        <f t="shared" si="876"/>
        <v>0</v>
      </c>
      <c r="AX865" s="90">
        <f t="shared" si="877"/>
        <v>0</v>
      </c>
      <c r="AY865" s="91" t="s">
        <v>647</v>
      </c>
      <c r="AZ865" s="91" t="s">
        <v>1647</v>
      </c>
      <c r="BA865" s="154" t="s">
        <v>1649</v>
      </c>
      <c r="BC865" s="90">
        <f t="shared" si="878"/>
        <v>0</v>
      </c>
      <c r="BD865" s="90">
        <f t="shared" si="879"/>
        <v>437</v>
      </c>
      <c r="BE865" s="90">
        <v>0</v>
      </c>
      <c r="BF865" s="90">
        <f t="shared" si="880"/>
        <v>0</v>
      </c>
      <c r="BH865" s="90">
        <f t="shared" si="881"/>
        <v>0</v>
      </c>
      <c r="BI865" s="90">
        <f t="shared" si="882"/>
        <v>0</v>
      </c>
      <c r="BJ865" s="90">
        <f t="shared" si="883"/>
        <v>0</v>
      </c>
    </row>
    <row r="866" spans="1:62" ht="12.75" hidden="1">
      <c r="A866" s="88" t="s">
        <v>2073</v>
      </c>
      <c r="B866" s="88" t="s">
        <v>61</v>
      </c>
      <c r="C866" s="88" t="s">
        <v>374</v>
      </c>
      <c r="D866" s="88" t="s">
        <v>559</v>
      </c>
      <c r="E866" s="88" t="s">
        <v>608</v>
      </c>
      <c r="F866" s="90"/>
      <c r="G866" s="90">
        <v>360</v>
      </c>
      <c r="H866" s="90">
        <f t="shared" si="860"/>
        <v>0</v>
      </c>
      <c r="I866" s="90">
        <f t="shared" si="861"/>
        <v>0</v>
      </c>
      <c r="J866" s="90">
        <f t="shared" si="862"/>
        <v>0</v>
      </c>
      <c r="K866" s="90">
        <v>0.0192</v>
      </c>
      <c r="L866" s="90">
        <f t="shared" si="863"/>
        <v>0</v>
      </c>
      <c r="M866" s="91" t="s">
        <v>622</v>
      </c>
      <c r="O866" s="90"/>
      <c r="P866" s="90"/>
      <c r="Z866" s="90">
        <f t="shared" si="864"/>
        <v>0</v>
      </c>
      <c r="AB866" s="90">
        <f t="shared" si="865"/>
        <v>0</v>
      </c>
      <c r="AC866" s="90">
        <f t="shared" si="866"/>
        <v>0</v>
      </c>
      <c r="AD866" s="90">
        <f t="shared" si="867"/>
        <v>0</v>
      </c>
      <c r="AE866" s="90">
        <f t="shared" si="868"/>
        <v>0</v>
      </c>
      <c r="AF866" s="90">
        <f t="shared" si="869"/>
        <v>0</v>
      </c>
      <c r="AG866" s="90">
        <f t="shared" si="870"/>
        <v>0</v>
      </c>
      <c r="AH866" s="90">
        <f t="shared" si="871"/>
        <v>0</v>
      </c>
      <c r="AI866" s="154" t="s">
        <v>61</v>
      </c>
      <c r="AJ866" s="90">
        <f t="shared" si="872"/>
        <v>0</v>
      </c>
      <c r="AK866" s="90">
        <f t="shared" si="873"/>
        <v>0</v>
      </c>
      <c r="AL866" s="90">
        <f t="shared" si="874"/>
        <v>0</v>
      </c>
      <c r="AN866" s="90">
        <v>15</v>
      </c>
      <c r="AO866" s="90">
        <f>G866*1</f>
        <v>360</v>
      </c>
      <c r="AP866" s="90">
        <f>G866*(1-1)</f>
        <v>0</v>
      </c>
      <c r="AQ866" s="91" t="s">
        <v>85</v>
      </c>
      <c r="AV866" s="90">
        <f t="shared" si="875"/>
        <v>0</v>
      </c>
      <c r="AW866" s="90">
        <f t="shared" si="876"/>
        <v>0</v>
      </c>
      <c r="AX866" s="90">
        <f t="shared" si="877"/>
        <v>0</v>
      </c>
      <c r="AY866" s="91" t="s">
        <v>647</v>
      </c>
      <c r="AZ866" s="91" t="s">
        <v>1647</v>
      </c>
      <c r="BA866" s="154" t="s">
        <v>1649</v>
      </c>
      <c r="BC866" s="90">
        <f t="shared" si="878"/>
        <v>0</v>
      </c>
      <c r="BD866" s="90">
        <f t="shared" si="879"/>
        <v>360</v>
      </c>
      <c r="BE866" s="90">
        <v>0</v>
      </c>
      <c r="BF866" s="90">
        <f t="shared" si="880"/>
        <v>0</v>
      </c>
      <c r="BH866" s="90">
        <f t="shared" si="881"/>
        <v>0</v>
      </c>
      <c r="BI866" s="90">
        <f t="shared" si="882"/>
        <v>0</v>
      </c>
      <c r="BJ866" s="90">
        <f t="shared" si="883"/>
        <v>0</v>
      </c>
    </row>
    <row r="867" spans="1:62" ht="12.75" hidden="1">
      <c r="A867" s="88" t="s">
        <v>2074</v>
      </c>
      <c r="B867" s="88" t="s">
        <v>61</v>
      </c>
      <c r="C867" s="88" t="s">
        <v>377</v>
      </c>
      <c r="D867" s="88" t="s">
        <v>563</v>
      </c>
      <c r="E867" s="88" t="s">
        <v>612</v>
      </c>
      <c r="F867" s="90"/>
      <c r="G867" s="90">
        <v>455.01</v>
      </c>
      <c r="H867" s="90">
        <f t="shared" si="860"/>
        <v>0</v>
      </c>
      <c r="I867" s="90">
        <f t="shared" si="861"/>
        <v>0</v>
      </c>
      <c r="J867" s="90">
        <f t="shared" si="862"/>
        <v>0</v>
      </c>
      <c r="K867" s="90">
        <v>0</v>
      </c>
      <c r="L867" s="90">
        <f t="shared" si="863"/>
        <v>0</v>
      </c>
      <c r="M867" s="91" t="s">
        <v>622</v>
      </c>
      <c r="O867" s="90"/>
      <c r="P867" s="90"/>
      <c r="Z867" s="90">
        <f t="shared" si="864"/>
        <v>0</v>
      </c>
      <c r="AB867" s="90">
        <f t="shared" si="865"/>
        <v>0</v>
      </c>
      <c r="AC867" s="90">
        <f t="shared" si="866"/>
        <v>0</v>
      </c>
      <c r="AD867" s="90">
        <f t="shared" si="867"/>
        <v>0</v>
      </c>
      <c r="AE867" s="90">
        <f t="shared" si="868"/>
        <v>0</v>
      </c>
      <c r="AF867" s="90">
        <f t="shared" si="869"/>
        <v>0</v>
      </c>
      <c r="AG867" s="90">
        <f t="shared" si="870"/>
        <v>0</v>
      </c>
      <c r="AH867" s="90">
        <f t="shared" si="871"/>
        <v>0</v>
      </c>
      <c r="AI867" s="154" t="s">
        <v>61</v>
      </c>
      <c r="AJ867" s="90">
        <f t="shared" si="872"/>
        <v>0</v>
      </c>
      <c r="AK867" s="90">
        <f t="shared" si="873"/>
        <v>0</v>
      </c>
      <c r="AL867" s="90">
        <f t="shared" si="874"/>
        <v>0</v>
      </c>
      <c r="AN867" s="90">
        <v>15</v>
      </c>
      <c r="AO867" s="90">
        <f>G867*0</f>
        <v>0</v>
      </c>
      <c r="AP867" s="90">
        <f>G867*(1-0)</f>
        <v>455.01</v>
      </c>
      <c r="AQ867" s="91" t="s">
        <v>83</v>
      </c>
      <c r="AV867" s="90">
        <f t="shared" si="875"/>
        <v>0</v>
      </c>
      <c r="AW867" s="90">
        <f t="shared" si="876"/>
        <v>0</v>
      </c>
      <c r="AX867" s="90">
        <f t="shared" si="877"/>
        <v>0</v>
      </c>
      <c r="AY867" s="91" t="s">
        <v>647</v>
      </c>
      <c r="AZ867" s="91" t="s">
        <v>1647</v>
      </c>
      <c r="BA867" s="154" t="s">
        <v>1649</v>
      </c>
      <c r="BC867" s="90">
        <f t="shared" si="878"/>
        <v>0</v>
      </c>
      <c r="BD867" s="90">
        <f t="shared" si="879"/>
        <v>455.00999999999993</v>
      </c>
      <c r="BE867" s="90">
        <v>0</v>
      </c>
      <c r="BF867" s="90">
        <f t="shared" si="880"/>
        <v>0</v>
      </c>
      <c r="BH867" s="90">
        <f t="shared" si="881"/>
        <v>0</v>
      </c>
      <c r="BI867" s="90">
        <f t="shared" si="882"/>
        <v>0</v>
      </c>
      <c r="BJ867" s="90">
        <f t="shared" si="883"/>
        <v>0</v>
      </c>
    </row>
    <row r="868" spans="1:47" ht="12.75" hidden="1">
      <c r="A868" s="159"/>
      <c r="B868" s="160" t="s">
        <v>61</v>
      </c>
      <c r="C868" s="160" t="s">
        <v>1120</v>
      </c>
      <c r="D868" s="160" t="s">
        <v>1427</v>
      </c>
      <c r="E868" s="159" t="s">
        <v>57</v>
      </c>
      <c r="F868" s="159"/>
      <c r="G868" s="159" t="s">
        <v>57</v>
      </c>
      <c r="H868" s="161">
        <f>SUM(H869:H884)</f>
        <v>0</v>
      </c>
      <c r="I868" s="161">
        <f>SUM(I869:I884)</f>
        <v>0</v>
      </c>
      <c r="J868" s="161">
        <f>SUM(J869:J884)</f>
        <v>0</v>
      </c>
      <c r="K868" s="154"/>
      <c r="L868" s="161">
        <f>SUM(L869:L884)</f>
        <v>0</v>
      </c>
      <c r="M868" s="154"/>
      <c r="O868" s="159"/>
      <c r="P868" s="159"/>
      <c r="AI868" s="154" t="s">
        <v>61</v>
      </c>
      <c r="AS868" s="161">
        <f>SUM(AJ869:AJ884)</f>
        <v>0</v>
      </c>
      <c r="AT868" s="161">
        <f>SUM(AK869:AK884)</f>
        <v>0</v>
      </c>
      <c r="AU868" s="161">
        <f>SUM(AL869:AL884)</f>
        <v>0</v>
      </c>
    </row>
    <row r="869" spans="1:62" ht="12.75" hidden="1">
      <c r="A869" s="88" t="s">
        <v>2075</v>
      </c>
      <c r="B869" s="88" t="s">
        <v>61</v>
      </c>
      <c r="C869" s="88" t="s">
        <v>1121</v>
      </c>
      <c r="D869" s="88" t="s">
        <v>1428</v>
      </c>
      <c r="E869" s="88" t="s">
        <v>608</v>
      </c>
      <c r="F869" s="90"/>
      <c r="G869" s="90">
        <v>38.6</v>
      </c>
      <c r="H869" s="90">
        <f aca="true" t="shared" si="884" ref="H869:H884">F869*AO869</f>
        <v>0</v>
      </c>
      <c r="I869" s="90">
        <f aca="true" t="shared" si="885" ref="I869:I884">F869*AP869</f>
        <v>0</v>
      </c>
      <c r="J869" s="90">
        <f aca="true" t="shared" si="886" ref="J869:J884">F869*G869</f>
        <v>0</v>
      </c>
      <c r="K869" s="90">
        <v>0.00021</v>
      </c>
      <c r="L869" s="90">
        <f aca="true" t="shared" si="887" ref="L869:L884">F869*K869</f>
        <v>0</v>
      </c>
      <c r="M869" s="91" t="s">
        <v>622</v>
      </c>
      <c r="O869" s="90"/>
      <c r="P869" s="90"/>
      <c r="Z869" s="90">
        <f aca="true" t="shared" si="888" ref="Z869:Z884">IF(AQ869="5",BJ869,0)</f>
        <v>0</v>
      </c>
      <c r="AB869" s="90">
        <f aca="true" t="shared" si="889" ref="AB869:AB884">IF(AQ869="1",BH869,0)</f>
        <v>0</v>
      </c>
      <c r="AC869" s="90">
        <f aca="true" t="shared" si="890" ref="AC869:AC884">IF(AQ869="1",BI869,0)</f>
        <v>0</v>
      </c>
      <c r="AD869" s="90">
        <f aca="true" t="shared" si="891" ref="AD869:AD884">IF(AQ869="7",BH869,0)</f>
        <v>0</v>
      </c>
      <c r="AE869" s="90">
        <f aca="true" t="shared" si="892" ref="AE869:AE884">IF(AQ869="7",BI869,0)</f>
        <v>0</v>
      </c>
      <c r="AF869" s="90">
        <f aca="true" t="shared" si="893" ref="AF869:AF884">IF(AQ869="2",BH869,0)</f>
        <v>0</v>
      </c>
      <c r="AG869" s="90">
        <f aca="true" t="shared" si="894" ref="AG869:AG884">IF(AQ869="2",BI869,0)</f>
        <v>0</v>
      </c>
      <c r="AH869" s="90">
        <f aca="true" t="shared" si="895" ref="AH869:AH884">IF(AQ869="0",BJ869,0)</f>
        <v>0</v>
      </c>
      <c r="AI869" s="154" t="s">
        <v>61</v>
      </c>
      <c r="AJ869" s="90">
        <f aca="true" t="shared" si="896" ref="AJ869:AJ884">IF(AN869=0,J869,0)</f>
        <v>0</v>
      </c>
      <c r="AK869" s="90">
        <f aca="true" t="shared" si="897" ref="AK869:AK884">IF(AN869=15,J869,0)</f>
        <v>0</v>
      </c>
      <c r="AL869" s="90">
        <f aca="true" t="shared" si="898" ref="AL869:AL884">IF(AN869=21,J869,0)</f>
        <v>0</v>
      </c>
      <c r="AN869" s="90">
        <v>15</v>
      </c>
      <c r="AO869" s="90">
        <f>G869*0.533406240151276</f>
        <v>20.589480869839257</v>
      </c>
      <c r="AP869" s="90">
        <f>G869*(1-0.533406240151276)</f>
        <v>18.010519130160745</v>
      </c>
      <c r="AQ869" s="91" t="s">
        <v>85</v>
      </c>
      <c r="AV869" s="90">
        <f aca="true" t="shared" si="899" ref="AV869:AV884">AW869+AX869</f>
        <v>0</v>
      </c>
      <c r="AW869" s="90">
        <f aca="true" t="shared" si="900" ref="AW869:AW884">F869*AO869</f>
        <v>0</v>
      </c>
      <c r="AX869" s="90">
        <f aca="true" t="shared" si="901" ref="AX869:AX884">F869*AP869</f>
        <v>0</v>
      </c>
      <c r="AY869" s="91" t="s">
        <v>1532</v>
      </c>
      <c r="AZ869" s="91" t="s">
        <v>1648</v>
      </c>
      <c r="BA869" s="154" t="s">
        <v>1649</v>
      </c>
      <c r="BC869" s="90">
        <f aca="true" t="shared" si="902" ref="BC869:BC884">AW869+AX869</f>
        <v>0</v>
      </c>
      <c r="BD869" s="90">
        <f aca="true" t="shared" si="903" ref="BD869:BD884">G869/(100-BE869)*100</f>
        <v>38.6</v>
      </c>
      <c r="BE869" s="90">
        <v>0</v>
      </c>
      <c r="BF869" s="90">
        <f aca="true" t="shared" si="904" ref="BF869:BF884">L869</f>
        <v>0</v>
      </c>
      <c r="BH869" s="90">
        <f aca="true" t="shared" si="905" ref="BH869:BH884">F869*AO869</f>
        <v>0</v>
      </c>
      <c r="BI869" s="90">
        <f aca="true" t="shared" si="906" ref="BI869:BI884">F869*AP869</f>
        <v>0</v>
      </c>
      <c r="BJ869" s="90">
        <f aca="true" t="shared" si="907" ref="BJ869:BJ884">F869*G869</f>
        <v>0</v>
      </c>
    </row>
    <row r="870" spans="1:62" ht="12.75" hidden="1">
      <c r="A870" s="88" t="s">
        <v>2076</v>
      </c>
      <c r="B870" s="88" t="s">
        <v>61</v>
      </c>
      <c r="C870" s="88" t="s">
        <v>1122</v>
      </c>
      <c r="D870" s="88" t="s">
        <v>1429</v>
      </c>
      <c r="E870" s="88" t="s">
        <v>609</v>
      </c>
      <c r="F870" s="90"/>
      <c r="G870" s="90">
        <v>72.9</v>
      </c>
      <c r="H870" s="90">
        <f t="shared" si="884"/>
        <v>0</v>
      </c>
      <c r="I870" s="90">
        <f t="shared" si="885"/>
        <v>0</v>
      </c>
      <c r="J870" s="90">
        <f t="shared" si="886"/>
        <v>0</v>
      </c>
      <c r="K870" s="90">
        <v>0</v>
      </c>
      <c r="L870" s="90">
        <f t="shared" si="887"/>
        <v>0</v>
      </c>
      <c r="M870" s="91" t="s">
        <v>622</v>
      </c>
      <c r="O870" s="90"/>
      <c r="P870" s="90"/>
      <c r="Z870" s="90">
        <f t="shared" si="888"/>
        <v>0</v>
      </c>
      <c r="AB870" s="90">
        <f t="shared" si="889"/>
        <v>0</v>
      </c>
      <c r="AC870" s="90">
        <f t="shared" si="890"/>
        <v>0</v>
      </c>
      <c r="AD870" s="90">
        <f t="shared" si="891"/>
        <v>0</v>
      </c>
      <c r="AE870" s="90">
        <f t="shared" si="892"/>
        <v>0</v>
      </c>
      <c r="AF870" s="90">
        <f t="shared" si="893"/>
        <v>0</v>
      </c>
      <c r="AG870" s="90">
        <f t="shared" si="894"/>
        <v>0</v>
      </c>
      <c r="AH870" s="90">
        <f t="shared" si="895"/>
        <v>0</v>
      </c>
      <c r="AI870" s="154" t="s">
        <v>61</v>
      </c>
      <c r="AJ870" s="90">
        <f t="shared" si="896"/>
        <v>0</v>
      </c>
      <c r="AK870" s="90">
        <f t="shared" si="897"/>
        <v>0</v>
      </c>
      <c r="AL870" s="90">
        <f t="shared" si="898"/>
        <v>0</v>
      </c>
      <c r="AN870" s="90">
        <v>15</v>
      </c>
      <c r="AO870" s="90">
        <f>G870*0.0743484224965706</f>
        <v>5.419999999999997</v>
      </c>
      <c r="AP870" s="90">
        <f>G870*(1-0.0743484224965706)</f>
        <v>67.48</v>
      </c>
      <c r="AQ870" s="91" t="s">
        <v>85</v>
      </c>
      <c r="AV870" s="90">
        <f t="shared" si="899"/>
        <v>0</v>
      </c>
      <c r="AW870" s="90">
        <f t="shared" si="900"/>
        <v>0</v>
      </c>
      <c r="AX870" s="90">
        <f t="shared" si="901"/>
        <v>0</v>
      </c>
      <c r="AY870" s="91" t="s">
        <v>1532</v>
      </c>
      <c r="AZ870" s="91" t="s">
        <v>1648</v>
      </c>
      <c r="BA870" s="154" t="s">
        <v>1649</v>
      </c>
      <c r="BC870" s="90">
        <f t="shared" si="902"/>
        <v>0</v>
      </c>
      <c r="BD870" s="90">
        <f t="shared" si="903"/>
        <v>72.9</v>
      </c>
      <c r="BE870" s="90">
        <v>0</v>
      </c>
      <c r="BF870" s="90">
        <f t="shared" si="904"/>
        <v>0</v>
      </c>
      <c r="BH870" s="90">
        <f t="shared" si="905"/>
        <v>0</v>
      </c>
      <c r="BI870" s="90">
        <f t="shared" si="906"/>
        <v>0</v>
      </c>
      <c r="BJ870" s="90">
        <f t="shared" si="907"/>
        <v>0</v>
      </c>
    </row>
    <row r="871" spans="1:62" ht="12.75" hidden="1">
      <c r="A871" s="88" t="s">
        <v>2077</v>
      </c>
      <c r="B871" s="88" t="s">
        <v>61</v>
      </c>
      <c r="C871" s="88" t="s">
        <v>1123</v>
      </c>
      <c r="D871" s="88" t="s">
        <v>1430</v>
      </c>
      <c r="E871" s="88" t="s">
        <v>606</v>
      </c>
      <c r="F871" s="90"/>
      <c r="G871" s="90">
        <v>37</v>
      </c>
      <c r="H871" s="90">
        <f t="shared" si="884"/>
        <v>0</v>
      </c>
      <c r="I871" s="90">
        <f t="shared" si="885"/>
        <v>0</v>
      </c>
      <c r="J871" s="90">
        <f t="shared" si="886"/>
        <v>0</v>
      </c>
      <c r="K871" s="90">
        <v>0</v>
      </c>
      <c r="L871" s="90">
        <f t="shared" si="887"/>
        <v>0</v>
      </c>
      <c r="M871" s="91" t="s">
        <v>622</v>
      </c>
      <c r="O871" s="90"/>
      <c r="P871" s="90"/>
      <c r="Z871" s="90">
        <f t="shared" si="888"/>
        <v>0</v>
      </c>
      <c r="AB871" s="90">
        <f t="shared" si="889"/>
        <v>0</v>
      </c>
      <c r="AC871" s="90">
        <f t="shared" si="890"/>
        <v>0</v>
      </c>
      <c r="AD871" s="90">
        <f t="shared" si="891"/>
        <v>0</v>
      </c>
      <c r="AE871" s="90">
        <f t="shared" si="892"/>
        <v>0</v>
      </c>
      <c r="AF871" s="90">
        <f t="shared" si="893"/>
        <v>0</v>
      </c>
      <c r="AG871" s="90">
        <f t="shared" si="894"/>
        <v>0</v>
      </c>
      <c r="AH871" s="90">
        <f t="shared" si="895"/>
        <v>0</v>
      </c>
      <c r="AI871" s="154" t="s">
        <v>61</v>
      </c>
      <c r="AJ871" s="90">
        <f t="shared" si="896"/>
        <v>0</v>
      </c>
      <c r="AK871" s="90">
        <f t="shared" si="897"/>
        <v>0</v>
      </c>
      <c r="AL871" s="90">
        <f t="shared" si="898"/>
        <v>0</v>
      </c>
      <c r="AN871" s="90">
        <v>15</v>
      </c>
      <c r="AO871" s="90">
        <f>G871*0.0272972972972973</f>
        <v>1.01</v>
      </c>
      <c r="AP871" s="90">
        <f>G871*(1-0.0272972972972973)</f>
        <v>35.989999999999995</v>
      </c>
      <c r="AQ871" s="91" t="s">
        <v>85</v>
      </c>
      <c r="AV871" s="90">
        <f t="shared" si="899"/>
        <v>0</v>
      </c>
      <c r="AW871" s="90">
        <f t="shared" si="900"/>
        <v>0</v>
      </c>
      <c r="AX871" s="90">
        <f t="shared" si="901"/>
        <v>0</v>
      </c>
      <c r="AY871" s="91" t="s">
        <v>1532</v>
      </c>
      <c r="AZ871" s="91" t="s">
        <v>1648</v>
      </c>
      <c r="BA871" s="154" t="s">
        <v>1649</v>
      </c>
      <c r="BC871" s="90">
        <f t="shared" si="902"/>
        <v>0</v>
      </c>
      <c r="BD871" s="90">
        <f t="shared" si="903"/>
        <v>37</v>
      </c>
      <c r="BE871" s="90">
        <v>0</v>
      </c>
      <c r="BF871" s="90">
        <f t="shared" si="904"/>
        <v>0</v>
      </c>
      <c r="BH871" s="90">
        <f t="shared" si="905"/>
        <v>0</v>
      </c>
      <c r="BI871" s="90">
        <f t="shared" si="906"/>
        <v>0</v>
      </c>
      <c r="BJ871" s="90">
        <f t="shared" si="907"/>
        <v>0</v>
      </c>
    </row>
    <row r="872" spans="1:62" ht="12.75" hidden="1">
      <c r="A872" s="88" t="s">
        <v>2078</v>
      </c>
      <c r="B872" s="88" t="s">
        <v>61</v>
      </c>
      <c r="C872" s="88" t="s">
        <v>1124</v>
      </c>
      <c r="D872" s="88" t="s">
        <v>1431</v>
      </c>
      <c r="E872" s="88" t="s">
        <v>606</v>
      </c>
      <c r="F872" s="90"/>
      <c r="G872" s="90">
        <v>43.49</v>
      </c>
      <c r="H872" s="90">
        <f t="shared" si="884"/>
        <v>0</v>
      </c>
      <c r="I872" s="90">
        <f t="shared" si="885"/>
        <v>0</v>
      </c>
      <c r="J872" s="90">
        <f t="shared" si="886"/>
        <v>0</v>
      </c>
      <c r="K872" s="90">
        <v>0</v>
      </c>
      <c r="L872" s="90">
        <f t="shared" si="887"/>
        <v>0</v>
      </c>
      <c r="M872" s="91" t="s">
        <v>622</v>
      </c>
      <c r="O872" s="90"/>
      <c r="P872" s="90"/>
      <c r="Z872" s="90">
        <f t="shared" si="888"/>
        <v>0</v>
      </c>
      <c r="AB872" s="90">
        <f t="shared" si="889"/>
        <v>0</v>
      </c>
      <c r="AC872" s="90">
        <f t="shared" si="890"/>
        <v>0</v>
      </c>
      <c r="AD872" s="90">
        <f t="shared" si="891"/>
        <v>0</v>
      </c>
      <c r="AE872" s="90">
        <f t="shared" si="892"/>
        <v>0</v>
      </c>
      <c r="AF872" s="90">
        <f t="shared" si="893"/>
        <v>0</v>
      </c>
      <c r="AG872" s="90">
        <f t="shared" si="894"/>
        <v>0</v>
      </c>
      <c r="AH872" s="90">
        <f t="shared" si="895"/>
        <v>0</v>
      </c>
      <c r="AI872" s="154" t="s">
        <v>61</v>
      </c>
      <c r="AJ872" s="90">
        <f t="shared" si="896"/>
        <v>0</v>
      </c>
      <c r="AK872" s="90">
        <f t="shared" si="897"/>
        <v>0</v>
      </c>
      <c r="AL872" s="90">
        <f t="shared" si="898"/>
        <v>0</v>
      </c>
      <c r="AN872" s="90">
        <v>15</v>
      </c>
      <c r="AO872" s="90">
        <f>G872*0.0878362842032651</f>
        <v>3.8199999999999994</v>
      </c>
      <c r="AP872" s="90">
        <f>G872*(1-0.0878362842032651)</f>
        <v>39.67</v>
      </c>
      <c r="AQ872" s="91" t="s">
        <v>85</v>
      </c>
      <c r="AV872" s="90">
        <f t="shared" si="899"/>
        <v>0</v>
      </c>
      <c r="AW872" s="90">
        <f t="shared" si="900"/>
        <v>0</v>
      </c>
      <c r="AX872" s="90">
        <f t="shared" si="901"/>
        <v>0</v>
      </c>
      <c r="AY872" s="91" t="s">
        <v>1532</v>
      </c>
      <c r="AZ872" s="91" t="s">
        <v>1648</v>
      </c>
      <c r="BA872" s="154" t="s">
        <v>1649</v>
      </c>
      <c r="BC872" s="90">
        <f t="shared" si="902"/>
        <v>0</v>
      </c>
      <c r="BD872" s="90">
        <f t="shared" si="903"/>
        <v>43.49</v>
      </c>
      <c r="BE872" s="90">
        <v>0</v>
      </c>
      <c r="BF872" s="90">
        <f t="shared" si="904"/>
        <v>0</v>
      </c>
      <c r="BH872" s="90">
        <f t="shared" si="905"/>
        <v>0</v>
      </c>
      <c r="BI872" s="90">
        <f t="shared" si="906"/>
        <v>0</v>
      </c>
      <c r="BJ872" s="90">
        <f t="shared" si="907"/>
        <v>0</v>
      </c>
    </row>
    <row r="873" spans="1:62" ht="12.75" hidden="1">
      <c r="A873" s="88" t="s">
        <v>2079</v>
      </c>
      <c r="B873" s="88" t="s">
        <v>61</v>
      </c>
      <c r="C873" s="88" t="s">
        <v>1125</v>
      </c>
      <c r="D873" s="88" t="s">
        <v>1432</v>
      </c>
      <c r="E873" s="88" t="s">
        <v>609</v>
      </c>
      <c r="F873" s="90"/>
      <c r="G873" s="90">
        <v>46.81</v>
      </c>
      <c r="H873" s="90">
        <f t="shared" si="884"/>
        <v>0</v>
      </c>
      <c r="I873" s="90">
        <f t="shared" si="885"/>
        <v>0</v>
      </c>
      <c r="J873" s="90">
        <f t="shared" si="886"/>
        <v>0</v>
      </c>
      <c r="K873" s="90">
        <v>0</v>
      </c>
      <c r="L873" s="90">
        <f t="shared" si="887"/>
        <v>0</v>
      </c>
      <c r="M873" s="91" t="s">
        <v>622</v>
      </c>
      <c r="O873" s="90"/>
      <c r="P873" s="90"/>
      <c r="Z873" s="90">
        <f t="shared" si="888"/>
        <v>0</v>
      </c>
      <c r="AB873" s="90">
        <f t="shared" si="889"/>
        <v>0</v>
      </c>
      <c r="AC873" s="90">
        <f t="shared" si="890"/>
        <v>0</v>
      </c>
      <c r="AD873" s="90">
        <f t="shared" si="891"/>
        <v>0</v>
      </c>
      <c r="AE873" s="90">
        <f t="shared" si="892"/>
        <v>0</v>
      </c>
      <c r="AF873" s="90">
        <f t="shared" si="893"/>
        <v>0</v>
      </c>
      <c r="AG873" s="90">
        <f t="shared" si="894"/>
        <v>0</v>
      </c>
      <c r="AH873" s="90">
        <f t="shared" si="895"/>
        <v>0</v>
      </c>
      <c r="AI873" s="154" t="s">
        <v>61</v>
      </c>
      <c r="AJ873" s="90">
        <f t="shared" si="896"/>
        <v>0</v>
      </c>
      <c r="AK873" s="90">
        <f t="shared" si="897"/>
        <v>0</v>
      </c>
      <c r="AL873" s="90">
        <f t="shared" si="898"/>
        <v>0</v>
      </c>
      <c r="AN873" s="90">
        <v>15</v>
      </c>
      <c r="AO873" s="90">
        <f>G873*0</f>
        <v>0</v>
      </c>
      <c r="AP873" s="90">
        <f>G873*(1-0)</f>
        <v>46.81</v>
      </c>
      <c r="AQ873" s="91" t="s">
        <v>85</v>
      </c>
      <c r="AV873" s="90">
        <f t="shared" si="899"/>
        <v>0</v>
      </c>
      <c r="AW873" s="90">
        <f t="shared" si="900"/>
        <v>0</v>
      </c>
      <c r="AX873" s="90">
        <f t="shared" si="901"/>
        <v>0</v>
      </c>
      <c r="AY873" s="91" t="s">
        <v>1532</v>
      </c>
      <c r="AZ873" s="91" t="s">
        <v>1648</v>
      </c>
      <c r="BA873" s="154" t="s">
        <v>1649</v>
      </c>
      <c r="BC873" s="90">
        <f t="shared" si="902"/>
        <v>0</v>
      </c>
      <c r="BD873" s="90">
        <f t="shared" si="903"/>
        <v>46.81</v>
      </c>
      <c r="BE873" s="90">
        <v>0</v>
      </c>
      <c r="BF873" s="90">
        <f t="shared" si="904"/>
        <v>0</v>
      </c>
      <c r="BH873" s="90">
        <f t="shared" si="905"/>
        <v>0</v>
      </c>
      <c r="BI873" s="90">
        <f t="shared" si="906"/>
        <v>0</v>
      </c>
      <c r="BJ873" s="90">
        <f t="shared" si="907"/>
        <v>0</v>
      </c>
    </row>
    <row r="874" spans="1:62" ht="12.75" hidden="1">
      <c r="A874" s="88" t="s">
        <v>2080</v>
      </c>
      <c r="B874" s="88" t="s">
        <v>61</v>
      </c>
      <c r="C874" s="88" t="s">
        <v>1127</v>
      </c>
      <c r="D874" s="88" t="s">
        <v>1639</v>
      </c>
      <c r="E874" s="88" t="s">
        <v>609</v>
      </c>
      <c r="F874" s="90"/>
      <c r="G874" s="90">
        <v>176.5</v>
      </c>
      <c r="H874" s="90">
        <f t="shared" si="884"/>
        <v>0</v>
      </c>
      <c r="I874" s="90">
        <f t="shared" si="885"/>
        <v>0</v>
      </c>
      <c r="J874" s="90">
        <f t="shared" si="886"/>
        <v>0</v>
      </c>
      <c r="K874" s="90">
        <v>0</v>
      </c>
      <c r="L874" s="90">
        <f t="shared" si="887"/>
        <v>0</v>
      </c>
      <c r="M874" s="91" t="s">
        <v>622</v>
      </c>
      <c r="O874" s="90"/>
      <c r="P874" s="90"/>
      <c r="Z874" s="90">
        <f t="shared" si="888"/>
        <v>0</v>
      </c>
      <c r="AB874" s="90">
        <f t="shared" si="889"/>
        <v>0</v>
      </c>
      <c r="AC874" s="90">
        <f t="shared" si="890"/>
        <v>0</v>
      </c>
      <c r="AD874" s="90">
        <f t="shared" si="891"/>
        <v>0</v>
      </c>
      <c r="AE874" s="90">
        <f t="shared" si="892"/>
        <v>0</v>
      </c>
      <c r="AF874" s="90">
        <f t="shared" si="893"/>
        <v>0</v>
      </c>
      <c r="AG874" s="90">
        <f t="shared" si="894"/>
        <v>0</v>
      </c>
      <c r="AH874" s="90">
        <f t="shared" si="895"/>
        <v>0</v>
      </c>
      <c r="AI874" s="154" t="s">
        <v>61</v>
      </c>
      <c r="AJ874" s="90">
        <f t="shared" si="896"/>
        <v>0</v>
      </c>
      <c r="AK874" s="90">
        <f t="shared" si="897"/>
        <v>0</v>
      </c>
      <c r="AL874" s="90">
        <f t="shared" si="898"/>
        <v>0</v>
      </c>
      <c r="AN874" s="90">
        <v>15</v>
      </c>
      <c r="AO874" s="90">
        <f>G874*0</f>
        <v>0</v>
      </c>
      <c r="AP874" s="90">
        <f>G874*(1-0)</f>
        <v>176.5</v>
      </c>
      <c r="AQ874" s="91" t="s">
        <v>85</v>
      </c>
      <c r="AV874" s="90">
        <f t="shared" si="899"/>
        <v>0</v>
      </c>
      <c r="AW874" s="90">
        <f t="shared" si="900"/>
        <v>0</v>
      </c>
      <c r="AX874" s="90">
        <f t="shared" si="901"/>
        <v>0</v>
      </c>
      <c r="AY874" s="91" t="s">
        <v>1532</v>
      </c>
      <c r="AZ874" s="91" t="s">
        <v>1648</v>
      </c>
      <c r="BA874" s="154" t="s">
        <v>1649</v>
      </c>
      <c r="BC874" s="90">
        <f t="shared" si="902"/>
        <v>0</v>
      </c>
      <c r="BD874" s="90">
        <f t="shared" si="903"/>
        <v>176.5</v>
      </c>
      <c r="BE874" s="90">
        <v>0</v>
      </c>
      <c r="BF874" s="90">
        <f t="shared" si="904"/>
        <v>0</v>
      </c>
      <c r="BH874" s="90">
        <f t="shared" si="905"/>
        <v>0</v>
      </c>
      <c r="BI874" s="90">
        <f t="shared" si="906"/>
        <v>0</v>
      </c>
      <c r="BJ874" s="90">
        <f t="shared" si="907"/>
        <v>0</v>
      </c>
    </row>
    <row r="875" spans="1:62" ht="12.75" hidden="1">
      <c r="A875" s="88" t="s">
        <v>2081</v>
      </c>
      <c r="B875" s="88" t="s">
        <v>61</v>
      </c>
      <c r="C875" s="88" t="s">
        <v>1128</v>
      </c>
      <c r="D875" s="88" t="s">
        <v>1435</v>
      </c>
      <c r="E875" s="88" t="s">
        <v>608</v>
      </c>
      <c r="F875" s="90"/>
      <c r="G875" s="90">
        <v>290</v>
      </c>
      <c r="H875" s="90">
        <f t="shared" si="884"/>
        <v>0</v>
      </c>
      <c r="I875" s="90">
        <f t="shared" si="885"/>
        <v>0</v>
      </c>
      <c r="J875" s="90">
        <f t="shared" si="886"/>
        <v>0</v>
      </c>
      <c r="K875" s="90">
        <v>0.0122</v>
      </c>
      <c r="L875" s="90">
        <f t="shared" si="887"/>
        <v>0</v>
      </c>
      <c r="M875" s="91" t="s">
        <v>622</v>
      </c>
      <c r="O875" s="90"/>
      <c r="P875" s="90"/>
      <c r="Z875" s="90">
        <f t="shared" si="888"/>
        <v>0</v>
      </c>
      <c r="AB875" s="90">
        <f t="shared" si="889"/>
        <v>0</v>
      </c>
      <c r="AC875" s="90">
        <f t="shared" si="890"/>
        <v>0</v>
      </c>
      <c r="AD875" s="90">
        <f t="shared" si="891"/>
        <v>0</v>
      </c>
      <c r="AE875" s="90">
        <f t="shared" si="892"/>
        <v>0</v>
      </c>
      <c r="AF875" s="90">
        <f t="shared" si="893"/>
        <v>0</v>
      </c>
      <c r="AG875" s="90">
        <f t="shared" si="894"/>
        <v>0</v>
      </c>
      <c r="AH875" s="90">
        <f t="shared" si="895"/>
        <v>0</v>
      </c>
      <c r="AI875" s="154" t="s">
        <v>61</v>
      </c>
      <c r="AJ875" s="90">
        <f t="shared" si="896"/>
        <v>0</v>
      </c>
      <c r="AK875" s="90">
        <f t="shared" si="897"/>
        <v>0</v>
      </c>
      <c r="AL875" s="90">
        <f t="shared" si="898"/>
        <v>0</v>
      </c>
      <c r="AN875" s="90">
        <v>15</v>
      </c>
      <c r="AO875" s="90">
        <f>G875*1</f>
        <v>290</v>
      </c>
      <c r="AP875" s="90">
        <f>G875*(1-1)</f>
        <v>0</v>
      </c>
      <c r="AQ875" s="91" t="s">
        <v>85</v>
      </c>
      <c r="AV875" s="90">
        <f t="shared" si="899"/>
        <v>0</v>
      </c>
      <c r="AW875" s="90">
        <f t="shared" si="900"/>
        <v>0</v>
      </c>
      <c r="AX875" s="90">
        <f t="shared" si="901"/>
        <v>0</v>
      </c>
      <c r="AY875" s="91" t="s">
        <v>1532</v>
      </c>
      <c r="AZ875" s="91" t="s">
        <v>1648</v>
      </c>
      <c r="BA875" s="154" t="s">
        <v>1649</v>
      </c>
      <c r="BC875" s="90">
        <f t="shared" si="902"/>
        <v>0</v>
      </c>
      <c r="BD875" s="90">
        <f t="shared" si="903"/>
        <v>290</v>
      </c>
      <c r="BE875" s="90">
        <v>0</v>
      </c>
      <c r="BF875" s="90">
        <f t="shared" si="904"/>
        <v>0</v>
      </c>
      <c r="BH875" s="90">
        <f t="shared" si="905"/>
        <v>0</v>
      </c>
      <c r="BI875" s="90">
        <f t="shared" si="906"/>
        <v>0</v>
      </c>
      <c r="BJ875" s="90">
        <f t="shared" si="907"/>
        <v>0</v>
      </c>
    </row>
    <row r="876" spans="1:62" ht="12.75" hidden="1">
      <c r="A876" s="88" t="s">
        <v>2082</v>
      </c>
      <c r="B876" s="88" t="s">
        <v>61</v>
      </c>
      <c r="C876" s="88" t="s">
        <v>1130</v>
      </c>
      <c r="D876" s="88" t="s">
        <v>1437</v>
      </c>
      <c r="E876" s="88" t="s">
        <v>608</v>
      </c>
      <c r="F876" s="90"/>
      <c r="G876" s="90">
        <v>477.99</v>
      </c>
      <c r="H876" s="90">
        <f t="shared" si="884"/>
        <v>0</v>
      </c>
      <c r="I876" s="90">
        <f t="shared" si="885"/>
        <v>0</v>
      </c>
      <c r="J876" s="90">
        <f t="shared" si="886"/>
        <v>0</v>
      </c>
      <c r="K876" s="90">
        <v>0.00487</v>
      </c>
      <c r="L876" s="90">
        <f t="shared" si="887"/>
        <v>0</v>
      </c>
      <c r="M876" s="91" t="s">
        <v>622</v>
      </c>
      <c r="O876" s="90"/>
      <c r="P876" s="90"/>
      <c r="Z876" s="90">
        <f t="shared" si="888"/>
        <v>0</v>
      </c>
      <c r="AB876" s="90">
        <f t="shared" si="889"/>
        <v>0</v>
      </c>
      <c r="AC876" s="90">
        <f t="shared" si="890"/>
        <v>0</v>
      </c>
      <c r="AD876" s="90">
        <f t="shared" si="891"/>
        <v>0</v>
      </c>
      <c r="AE876" s="90">
        <f t="shared" si="892"/>
        <v>0</v>
      </c>
      <c r="AF876" s="90">
        <f t="shared" si="893"/>
        <v>0</v>
      </c>
      <c r="AG876" s="90">
        <f t="shared" si="894"/>
        <v>0</v>
      </c>
      <c r="AH876" s="90">
        <f t="shared" si="895"/>
        <v>0</v>
      </c>
      <c r="AI876" s="154" t="s">
        <v>61</v>
      </c>
      <c r="AJ876" s="90">
        <f t="shared" si="896"/>
        <v>0</v>
      </c>
      <c r="AK876" s="90">
        <f t="shared" si="897"/>
        <v>0</v>
      </c>
      <c r="AL876" s="90">
        <f t="shared" si="898"/>
        <v>0</v>
      </c>
      <c r="AN876" s="90">
        <v>15</v>
      </c>
      <c r="AO876" s="90">
        <f>G876*0.143831380374032</f>
        <v>68.74996150498356</v>
      </c>
      <c r="AP876" s="90">
        <f>G876*(1-0.143831380374032)</f>
        <v>409.24003849501645</v>
      </c>
      <c r="AQ876" s="91" t="s">
        <v>85</v>
      </c>
      <c r="AV876" s="90">
        <f t="shared" si="899"/>
        <v>0</v>
      </c>
      <c r="AW876" s="90">
        <f t="shared" si="900"/>
        <v>0</v>
      </c>
      <c r="AX876" s="90">
        <f t="shared" si="901"/>
        <v>0</v>
      </c>
      <c r="AY876" s="91" t="s">
        <v>1532</v>
      </c>
      <c r="AZ876" s="91" t="s">
        <v>1648</v>
      </c>
      <c r="BA876" s="154" t="s">
        <v>1649</v>
      </c>
      <c r="BC876" s="90">
        <f t="shared" si="902"/>
        <v>0</v>
      </c>
      <c r="BD876" s="90">
        <f t="shared" si="903"/>
        <v>477.99000000000007</v>
      </c>
      <c r="BE876" s="90">
        <v>0</v>
      </c>
      <c r="BF876" s="90">
        <f t="shared" si="904"/>
        <v>0</v>
      </c>
      <c r="BH876" s="90">
        <f t="shared" si="905"/>
        <v>0</v>
      </c>
      <c r="BI876" s="90">
        <f t="shared" si="906"/>
        <v>0</v>
      </c>
      <c r="BJ876" s="90">
        <f t="shared" si="907"/>
        <v>0</v>
      </c>
    </row>
    <row r="877" spans="1:62" ht="12.75" hidden="1">
      <c r="A877" s="88" t="s">
        <v>2083</v>
      </c>
      <c r="B877" s="88" t="s">
        <v>61</v>
      </c>
      <c r="C877" s="88" t="s">
        <v>1128</v>
      </c>
      <c r="D877" s="88" t="s">
        <v>1435</v>
      </c>
      <c r="E877" s="88" t="s">
        <v>608</v>
      </c>
      <c r="F877" s="90"/>
      <c r="G877" s="90">
        <v>290</v>
      </c>
      <c r="H877" s="90">
        <f t="shared" si="884"/>
        <v>0</v>
      </c>
      <c r="I877" s="90">
        <f t="shared" si="885"/>
        <v>0</v>
      </c>
      <c r="J877" s="90">
        <f t="shared" si="886"/>
        <v>0</v>
      </c>
      <c r="K877" s="90">
        <v>0.0122</v>
      </c>
      <c r="L877" s="90">
        <f t="shared" si="887"/>
        <v>0</v>
      </c>
      <c r="M877" s="91" t="s">
        <v>622</v>
      </c>
      <c r="O877" s="90"/>
      <c r="P877" s="90"/>
      <c r="Z877" s="90">
        <f t="shared" si="888"/>
        <v>0</v>
      </c>
      <c r="AB877" s="90">
        <f t="shared" si="889"/>
        <v>0</v>
      </c>
      <c r="AC877" s="90">
        <f t="shared" si="890"/>
        <v>0</v>
      </c>
      <c r="AD877" s="90">
        <f t="shared" si="891"/>
        <v>0</v>
      </c>
      <c r="AE877" s="90">
        <f t="shared" si="892"/>
        <v>0</v>
      </c>
      <c r="AF877" s="90">
        <f t="shared" si="893"/>
        <v>0</v>
      </c>
      <c r="AG877" s="90">
        <f t="shared" si="894"/>
        <v>0</v>
      </c>
      <c r="AH877" s="90">
        <f t="shared" si="895"/>
        <v>0</v>
      </c>
      <c r="AI877" s="154" t="s">
        <v>61</v>
      </c>
      <c r="AJ877" s="90">
        <f t="shared" si="896"/>
        <v>0</v>
      </c>
      <c r="AK877" s="90">
        <f t="shared" si="897"/>
        <v>0</v>
      </c>
      <c r="AL877" s="90">
        <f t="shared" si="898"/>
        <v>0</v>
      </c>
      <c r="AN877" s="90">
        <v>15</v>
      </c>
      <c r="AO877" s="90">
        <f>G877*1</f>
        <v>290</v>
      </c>
      <c r="AP877" s="90">
        <f>G877*(1-1)</f>
        <v>0</v>
      </c>
      <c r="AQ877" s="91" t="s">
        <v>85</v>
      </c>
      <c r="AV877" s="90">
        <f t="shared" si="899"/>
        <v>0</v>
      </c>
      <c r="AW877" s="90">
        <f t="shared" si="900"/>
        <v>0</v>
      </c>
      <c r="AX877" s="90">
        <f t="shared" si="901"/>
        <v>0</v>
      </c>
      <c r="AY877" s="91" t="s">
        <v>1532</v>
      </c>
      <c r="AZ877" s="91" t="s">
        <v>1648</v>
      </c>
      <c r="BA877" s="154" t="s">
        <v>1649</v>
      </c>
      <c r="BC877" s="90">
        <f t="shared" si="902"/>
        <v>0</v>
      </c>
      <c r="BD877" s="90">
        <f t="shared" si="903"/>
        <v>290</v>
      </c>
      <c r="BE877" s="90">
        <v>0</v>
      </c>
      <c r="BF877" s="90">
        <f t="shared" si="904"/>
        <v>0</v>
      </c>
      <c r="BH877" s="90">
        <f t="shared" si="905"/>
        <v>0</v>
      </c>
      <c r="BI877" s="90">
        <f t="shared" si="906"/>
        <v>0</v>
      </c>
      <c r="BJ877" s="90">
        <f t="shared" si="907"/>
        <v>0</v>
      </c>
    </row>
    <row r="878" spans="1:62" ht="12.75" hidden="1">
      <c r="A878" s="88" t="s">
        <v>2084</v>
      </c>
      <c r="B878" s="88" t="s">
        <v>61</v>
      </c>
      <c r="C878" s="88" t="s">
        <v>1131</v>
      </c>
      <c r="D878" s="88" t="s">
        <v>1438</v>
      </c>
      <c r="E878" s="88" t="s">
        <v>608</v>
      </c>
      <c r="F878" s="90"/>
      <c r="G878" s="90">
        <v>28.6</v>
      </c>
      <c r="H878" s="90">
        <f t="shared" si="884"/>
        <v>0</v>
      </c>
      <c r="I878" s="90">
        <f t="shared" si="885"/>
        <v>0</v>
      </c>
      <c r="J878" s="90">
        <f t="shared" si="886"/>
        <v>0</v>
      </c>
      <c r="K878" s="90">
        <v>0.00011</v>
      </c>
      <c r="L878" s="90">
        <f t="shared" si="887"/>
        <v>0</v>
      </c>
      <c r="M878" s="91" t="s">
        <v>622</v>
      </c>
      <c r="O878" s="90"/>
      <c r="P878" s="90"/>
      <c r="Z878" s="90">
        <f t="shared" si="888"/>
        <v>0</v>
      </c>
      <c r="AB878" s="90">
        <f t="shared" si="889"/>
        <v>0</v>
      </c>
      <c r="AC878" s="90">
        <f t="shared" si="890"/>
        <v>0</v>
      </c>
      <c r="AD878" s="90">
        <f t="shared" si="891"/>
        <v>0</v>
      </c>
      <c r="AE878" s="90">
        <f t="shared" si="892"/>
        <v>0</v>
      </c>
      <c r="AF878" s="90">
        <f t="shared" si="893"/>
        <v>0</v>
      </c>
      <c r="AG878" s="90">
        <f t="shared" si="894"/>
        <v>0</v>
      </c>
      <c r="AH878" s="90">
        <f t="shared" si="895"/>
        <v>0</v>
      </c>
      <c r="AI878" s="154" t="s">
        <v>61</v>
      </c>
      <c r="AJ878" s="90">
        <f t="shared" si="896"/>
        <v>0</v>
      </c>
      <c r="AK878" s="90">
        <f t="shared" si="897"/>
        <v>0</v>
      </c>
      <c r="AL878" s="90">
        <f t="shared" si="898"/>
        <v>0</v>
      </c>
      <c r="AN878" s="90">
        <v>15</v>
      </c>
      <c r="AO878" s="90">
        <f>G878*0.99996597192684</f>
        <v>28.599026797107626</v>
      </c>
      <c r="AP878" s="90">
        <f>G878*(1-0.99996597192684)</f>
        <v>0.000973202892375924</v>
      </c>
      <c r="AQ878" s="91" t="s">
        <v>85</v>
      </c>
      <c r="AV878" s="90">
        <f t="shared" si="899"/>
        <v>0</v>
      </c>
      <c r="AW878" s="90">
        <f t="shared" si="900"/>
        <v>0</v>
      </c>
      <c r="AX878" s="90">
        <f t="shared" si="901"/>
        <v>0</v>
      </c>
      <c r="AY878" s="91" t="s">
        <v>1532</v>
      </c>
      <c r="AZ878" s="91" t="s">
        <v>1648</v>
      </c>
      <c r="BA878" s="154" t="s">
        <v>1649</v>
      </c>
      <c r="BC878" s="90">
        <f t="shared" si="902"/>
        <v>0</v>
      </c>
      <c r="BD878" s="90">
        <f t="shared" si="903"/>
        <v>28.6</v>
      </c>
      <c r="BE878" s="90">
        <v>0</v>
      </c>
      <c r="BF878" s="90">
        <f t="shared" si="904"/>
        <v>0</v>
      </c>
      <c r="BH878" s="90">
        <f t="shared" si="905"/>
        <v>0</v>
      </c>
      <c r="BI878" s="90">
        <f t="shared" si="906"/>
        <v>0</v>
      </c>
      <c r="BJ878" s="90">
        <f t="shared" si="907"/>
        <v>0</v>
      </c>
    </row>
    <row r="879" spans="1:62" ht="12.75" hidden="1">
      <c r="A879" s="88" t="s">
        <v>2085</v>
      </c>
      <c r="B879" s="88" t="s">
        <v>61</v>
      </c>
      <c r="C879" s="88" t="s">
        <v>1132</v>
      </c>
      <c r="D879" s="88" t="s">
        <v>1439</v>
      </c>
      <c r="E879" s="88" t="s">
        <v>608</v>
      </c>
      <c r="F879" s="90"/>
      <c r="G879" s="90">
        <v>36</v>
      </c>
      <c r="H879" s="90">
        <f t="shared" si="884"/>
        <v>0</v>
      </c>
      <c r="I879" s="90">
        <f t="shared" si="885"/>
        <v>0</v>
      </c>
      <c r="J879" s="90">
        <f t="shared" si="886"/>
        <v>0</v>
      </c>
      <c r="K879" s="90">
        <v>0</v>
      </c>
      <c r="L879" s="90">
        <f t="shared" si="887"/>
        <v>0</v>
      </c>
      <c r="M879" s="91" t="s">
        <v>622</v>
      </c>
      <c r="O879" s="90"/>
      <c r="P879" s="90"/>
      <c r="Z879" s="90">
        <f t="shared" si="888"/>
        <v>0</v>
      </c>
      <c r="AB879" s="90">
        <f t="shared" si="889"/>
        <v>0</v>
      </c>
      <c r="AC879" s="90">
        <f t="shared" si="890"/>
        <v>0</v>
      </c>
      <c r="AD879" s="90">
        <f t="shared" si="891"/>
        <v>0</v>
      </c>
      <c r="AE879" s="90">
        <f t="shared" si="892"/>
        <v>0</v>
      </c>
      <c r="AF879" s="90">
        <f t="shared" si="893"/>
        <v>0</v>
      </c>
      <c r="AG879" s="90">
        <f t="shared" si="894"/>
        <v>0</v>
      </c>
      <c r="AH879" s="90">
        <f t="shared" si="895"/>
        <v>0</v>
      </c>
      <c r="AI879" s="154" t="s">
        <v>61</v>
      </c>
      <c r="AJ879" s="90">
        <f t="shared" si="896"/>
        <v>0</v>
      </c>
      <c r="AK879" s="90">
        <f t="shared" si="897"/>
        <v>0</v>
      </c>
      <c r="AL879" s="90">
        <f t="shared" si="898"/>
        <v>0</v>
      </c>
      <c r="AN879" s="90">
        <v>15</v>
      </c>
      <c r="AO879" s="90">
        <f>G879*0</f>
        <v>0</v>
      </c>
      <c r="AP879" s="90">
        <f>G879*(1-0)</f>
        <v>36</v>
      </c>
      <c r="AQ879" s="91" t="s">
        <v>85</v>
      </c>
      <c r="AV879" s="90">
        <f t="shared" si="899"/>
        <v>0</v>
      </c>
      <c r="AW879" s="90">
        <f t="shared" si="900"/>
        <v>0</v>
      </c>
      <c r="AX879" s="90">
        <f t="shared" si="901"/>
        <v>0</v>
      </c>
      <c r="AY879" s="91" t="s">
        <v>1532</v>
      </c>
      <c r="AZ879" s="91" t="s">
        <v>1648</v>
      </c>
      <c r="BA879" s="154" t="s">
        <v>1649</v>
      </c>
      <c r="BC879" s="90">
        <f t="shared" si="902"/>
        <v>0</v>
      </c>
      <c r="BD879" s="90">
        <f t="shared" si="903"/>
        <v>36</v>
      </c>
      <c r="BE879" s="90">
        <v>0</v>
      </c>
      <c r="BF879" s="90">
        <f t="shared" si="904"/>
        <v>0</v>
      </c>
      <c r="BH879" s="90">
        <f t="shared" si="905"/>
        <v>0</v>
      </c>
      <c r="BI879" s="90">
        <f t="shared" si="906"/>
        <v>0</v>
      </c>
      <c r="BJ879" s="90">
        <f t="shared" si="907"/>
        <v>0</v>
      </c>
    </row>
    <row r="880" spans="1:62" ht="12.75" hidden="1">
      <c r="A880" s="88" t="s">
        <v>2086</v>
      </c>
      <c r="B880" s="88" t="s">
        <v>61</v>
      </c>
      <c r="C880" s="88" t="s">
        <v>1133</v>
      </c>
      <c r="D880" s="88" t="s">
        <v>1440</v>
      </c>
      <c r="E880" s="88" t="s">
        <v>609</v>
      </c>
      <c r="F880" s="90"/>
      <c r="G880" s="90">
        <v>43.2</v>
      </c>
      <c r="H880" s="90">
        <f t="shared" si="884"/>
        <v>0</v>
      </c>
      <c r="I880" s="90">
        <f t="shared" si="885"/>
        <v>0</v>
      </c>
      <c r="J880" s="90">
        <f t="shared" si="886"/>
        <v>0</v>
      </c>
      <c r="K880" s="90">
        <v>0</v>
      </c>
      <c r="L880" s="90">
        <f t="shared" si="887"/>
        <v>0</v>
      </c>
      <c r="M880" s="91" t="s">
        <v>622</v>
      </c>
      <c r="O880" s="90"/>
      <c r="P880" s="90"/>
      <c r="Z880" s="90">
        <f t="shared" si="888"/>
        <v>0</v>
      </c>
      <c r="AB880" s="90">
        <f t="shared" si="889"/>
        <v>0</v>
      </c>
      <c r="AC880" s="90">
        <f t="shared" si="890"/>
        <v>0</v>
      </c>
      <c r="AD880" s="90">
        <f t="shared" si="891"/>
        <v>0</v>
      </c>
      <c r="AE880" s="90">
        <f t="shared" si="892"/>
        <v>0</v>
      </c>
      <c r="AF880" s="90">
        <f t="shared" si="893"/>
        <v>0</v>
      </c>
      <c r="AG880" s="90">
        <f t="shared" si="894"/>
        <v>0</v>
      </c>
      <c r="AH880" s="90">
        <f t="shared" si="895"/>
        <v>0</v>
      </c>
      <c r="AI880" s="154" t="s">
        <v>61</v>
      </c>
      <c r="AJ880" s="90">
        <f t="shared" si="896"/>
        <v>0</v>
      </c>
      <c r="AK880" s="90">
        <f t="shared" si="897"/>
        <v>0</v>
      </c>
      <c r="AL880" s="90">
        <f t="shared" si="898"/>
        <v>0</v>
      </c>
      <c r="AN880" s="90">
        <v>15</v>
      </c>
      <c r="AO880" s="90">
        <f>G880*0</f>
        <v>0</v>
      </c>
      <c r="AP880" s="90">
        <f>G880*(1-0)</f>
        <v>43.2</v>
      </c>
      <c r="AQ880" s="91" t="s">
        <v>85</v>
      </c>
      <c r="AV880" s="90">
        <f t="shared" si="899"/>
        <v>0</v>
      </c>
      <c r="AW880" s="90">
        <f t="shared" si="900"/>
        <v>0</v>
      </c>
      <c r="AX880" s="90">
        <f t="shared" si="901"/>
        <v>0</v>
      </c>
      <c r="AY880" s="91" t="s">
        <v>1532</v>
      </c>
      <c r="AZ880" s="91" t="s">
        <v>1648</v>
      </c>
      <c r="BA880" s="154" t="s">
        <v>1649</v>
      </c>
      <c r="BC880" s="90">
        <f t="shared" si="902"/>
        <v>0</v>
      </c>
      <c r="BD880" s="90">
        <f t="shared" si="903"/>
        <v>43.2</v>
      </c>
      <c r="BE880" s="90">
        <v>0</v>
      </c>
      <c r="BF880" s="90">
        <f t="shared" si="904"/>
        <v>0</v>
      </c>
      <c r="BH880" s="90">
        <f t="shared" si="905"/>
        <v>0</v>
      </c>
      <c r="BI880" s="90">
        <f t="shared" si="906"/>
        <v>0</v>
      </c>
      <c r="BJ880" s="90">
        <f t="shared" si="907"/>
        <v>0</v>
      </c>
    </row>
    <row r="881" spans="1:62" ht="12.75" hidden="1">
      <c r="A881" s="88" t="s">
        <v>2087</v>
      </c>
      <c r="B881" s="88" t="s">
        <v>61</v>
      </c>
      <c r="C881" s="88" t="s">
        <v>1134</v>
      </c>
      <c r="D881" s="88" t="s">
        <v>1441</v>
      </c>
      <c r="E881" s="88" t="s">
        <v>609</v>
      </c>
      <c r="F881" s="90"/>
      <c r="G881" s="90">
        <v>69.8</v>
      </c>
      <c r="H881" s="90">
        <f t="shared" si="884"/>
        <v>0</v>
      </c>
      <c r="I881" s="90">
        <f t="shared" si="885"/>
        <v>0</v>
      </c>
      <c r="J881" s="90">
        <f t="shared" si="886"/>
        <v>0</v>
      </c>
      <c r="K881" s="90">
        <v>0</v>
      </c>
      <c r="L881" s="90">
        <f t="shared" si="887"/>
        <v>0</v>
      </c>
      <c r="M881" s="91" t="s">
        <v>622</v>
      </c>
      <c r="O881" s="90"/>
      <c r="P881" s="90"/>
      <c r="Z881" s="90">
        <f t="shared" si="888"/>
        <v>0</v>
      </c>
      <c r="AB881" s="90">
        <f t="shared" si="889"/>
        <v>0</v>
      </c>
      <c r="AC881" s="90">
        <f t="shared" si="890"/>
        <v>0</v>
      </c>
      <c r="AD881" s="90">
        <f t="shared" si="891"/>
        <v>0</v>
      </c>
      <c r="AE881" s="90">
        <f t="shared" si="892"/>
        <v>0</v>
      </c>
      <c r="AF881" s="90">
        <f t="shared" si="893"/>
        <v>0</v>
      </c>
      <c r="AG881" s="90">
        <f t="shared" si="894"/>
        <v>0</v>
      </c>
      <c r="AH881" s="90">
        <f t="shared" si="895"/>
        <v>0</v>
      </c>
      <c r="AI881" s="154" t="s">
        <v>61</v>
      </c>
      <c r="AJ881" s="90">
        <f t="shared" si="896"/>
        <v>0</v>
      </c>
      <c r="AK881" s="90">
        <f t="shared" si="897"/>
        <v>0</v>
      </c>
      <c r="AL881" s="90">
        <f t="shared" si="898"/>
        <v>0</v>
      </c>
      <c r="AN881" s="90">
        <v>15</v>
      </c>
      <c r="AO881" s="90">
        <f>G881*1</f>
        <v>69.8</v>
      </c>
      <c r="AP881" s="90">
        <f>G881*(1-1)</f>
        <v>0</v>
      </c>
      <c r="AQ881" s="91" t="s">
        <v>85</v>
      </c>
      <c r="AV881" s="90">
        <f t="shared" si="899"/>
        <v>0</v>
      </c>
      <c r="AW881" s="90">
        <f t="shared" si="900"/>
        <v>0</v>
      </c>
      <c r="AX881" s="90">
        <f t="shared" si="901"/>
        <v>0</v>
      </c>
      <c r="AY881" s="91" t="s">
        <v>1532</v>
      </c>
      <c r="AZ881" s="91" t="s">
        <v>1648</v>
      </c>
      <c r="BA881" s="154" t="s">
        <v>1649</v>
      </c>
      <c r="BC881" s="90">
        <f t="shared" si="902"/>
        <v>0</v>
      </c>
      <c r="BD881" s="90">
        <f t="shared" si="903"/>
        <v>69.8</v>
      </c>
      <c r="BE881" s="90">
        <v>0</v>
      </c>
      <c r="BF881" s="90">
        <f t="shared" si="904"/>
        <v>0</v>
      </c>
      <c r="BH881" s="90">
        <f t="shared" si="905"/>
        <v>0</v>
      </c>
      <c r="BI881" s="90">
        <f t="shared" si="906"/>
        <v>0</v>
      </c>
      <c r="BJ881" s="90">
        <f t="shared" si="907"/>
        <v>0</v>
      </c>
    </row>
    <row r="882" spans="1:62" ht="12.75" hidden="1">
      <c r="A882" s="88" t="s">
        <v>2088</v>
      </c>
      <c r="B882" s="88" t="s">
        <v>61</v>
      </c>
      <c r="C882" s="88" t="s">
        <v>1135</v>
      </c>
      <c r="D882" s="88" t="s">
        <v>1442</v>
      </c>
      <c r="E882" s="88" t="s">
        <v>609</v>
      </c>
      <c r="F882" s="90"/>
      <c r="G882" s="90">
        <v>69.8</v>
      </c>
      <c r="H882" s="90">
        <f t="shared" si="884"/>
        <v>0</v>
      </c>
      <c r="I882" s="90">
        <f t="shared" si="885"/>
        <v>0</v>
      </c>
      <c r="J882" s="90">
        <f t="shared" si="886"/>
        <v>0</v>
      </c>
      <c r="K882" s="90">
        <v>0</v>
      </c>
      <c r="L882" s="90">
        <f t="shared" si="887"/>
        <v>0</v>
      </c>
      <c r="M882" s="91" t="s">
        <v>622</v>
      </c>
      <c r="O882" s="90"/>
      <c r="P882" s="90"/>
      <c r="Z882" s="90">
        <f t="shared" si="888"/>
        <v>0</v>
      </c>
      <c r="AB882" s="90">
        <f t="shared" si="889"/>
        <v>0</v>
      </c>
      <c r="AC882" s="90">
        <f t="shared" si="890"/>
        <v>0</v>
      </c>
      <c r="AD882" s="90">
        <f t="shared" si="891"/>
        <v>0</v>
      </c>
      <c r="AE882" s="90">
        <f t="shared" si="892"/>
        <v>0</v>
      </c>
      <c r="AF882" s="90">
        <f t="shared" si="893"/>
        <v>0</v>
      </c>
      <c r="AG882" s="90">
        <f t="shared" si="894"/>
        <v>0</v>
      </c>
      <c r="AH882" s="90">
        <f t="shared" si="895"/>
        <v>0</v>
      </c>
      <c r="AI882" s="154" t="s">
        <v>61</v>
      </c>
      <c r="AJ882" s="90">
        <f t="shared" si="896"/>
        <v>0</v>
      </c>
      <c r="AK882" s="90">
        <f t="shared" si="897"/>
        <v>0</v>
      </c>
      <c r="AL882" s="90">
        <f t="shared" si="898"/>
        <v>0</v>
      </c>
      <c r="AN882" s="90">
        <v>15</v>
      </c>
      <c r="AO882" s="90">
        <f>G882*1</f>
        <v>69.8</v>
      </c>
      <c r="AP882" s="90">
        <f>G882*(1-1)</f>
        <v>0</v>
      </c>
      <c r="AQ882" s="91" t="s">
        <v>85</v>
      </c>
      <c r="AV882" s="90">
        <f t="shared" si="899"/>
        <v>0</v>
      </c>
      <c r="AW882" s="90">
        <f t="shared" si="900"/>
        <v>0</v>
      </c>
      <c r="AX882" s="90">
        <f t="shared" si="901"/>
        <v>0</v>
      </c>
      <c r="AY882" s="91" t="s">
        <v>1532</v>
      </c>
      <c r="AZ882" s="91" t="s">
        <v>1648</v>
      </c>
      <c r="BA882" s="154" t="s">
        <v>1649</v>
      </c>
      <c r="BC882" s="90">
        <f t="shared" si="902"/>
        <v>0</v>
      </c>
      <c r="BD882" s="90">
        <f t="shared" si="903"/>
        <v>69.8</v>
      </c>
      <c r="BE882" s="90">
        <v>0</v>
      </c>
      <c r="BF882" s="90">
        <f t="shared" si="904"/>
        <v>0</v>
      </c>
      <c r="BH882" s="90">
        <f t="shared" si="905"/>
        <v>0</v>
      </c>
      <c r="BI882" s="90">
        <f t="shared" si="906"/>
        <v>0</v>
      </c>
      <c r="BJ882" s="90">
        <f t="shared" si="907"/>
        <v>0</v>
      </c>
    </row>
    <row r="883" spans="1:62" ht="12.75" hidden="1">
      <c r="A883" s="88" t="s">
        <v>2089</v>
      </c>
      <c r="B883" s="88" t="s">
        <v>61</v>
      </c>
      <c r="C883" s="88" t="s">
        <v>1136</v>
      </c>
      <c r="D883" s="88" t="s">
        <v>1443</v>
      </c>
      <c r="E883" s="88" t="s">
        <v>609</v>
      </c>
      <c r="F883" s="90"/>
      <c r="G883" s="90">
        <v>69.8</v>
      </c>
      <c r="H883" s="90">
        <f t="shared" si="884"/>
        <v>0</v>
      </c>
      <c r="I883" s="90">
        <f t="shared" si="885"/>
        <v>0</v>
      </c>
      <c r="J883" s="90">
        <f t="shared" si="886"/>
        <v>0</v>
      </c>
      <c r="K883" s="90">
        <v>0</v>
      </c>
      <c r="L883" s="90">
        <f t="shared" si="887"/>
        <v>0</v>
      </c>
      <c r="M883" s="91" t="s">
        <v>622</v>
      </c>
      <c r="O883" s="90"/>
      <c r="P883" s="90"/>
      <c r="Z883" s="90">
        <f t="shared" si="888"/>
        <v>0</v>
      </c>
      <c r="AB883" s="90">
        <f t="shared" si="889"/>
        <v>0</v>
      </c>
      <c r="AC883" s="90">
        <f t="shared" si="890"/>
        <v>0</v>
      </c>
      <c r="AD883" s="90">
        <f t="shared" si="891"/>
        <v>0</v>
      </c>
      <c r="AE883" s="90">
        <f t="shared" si="892"/>
        <v>0</v>
      </c>
      <c r="AF883" s="90">
        <f t="shared" si="893"/>
        <v>0</v>
      </c>
      <c r="AG883" s="90">
        <f t="shared" si="894"/>
        <v>0</v>
      </c>
      <c r="AH883" s="90">
        <f t="shared" si="895"/>
        <v>0</v>
      </c>
      <c r="AI883" s="154" t="s">
        <v>61</v>
      </c>
      <c r="AJ883" s="90">
        <f t="shared" si="896"/>
        <v>0</v>
      </c>
      <c r="AK883" s="90">
        <f t="shared" si="897"/>
        <v>0</v>
      </c>
      <c r="AL883" s="90">
        <f t="shared" si="898"/>
        <v>0</v>
      </c>
      <c r="AN883" s="90">
        <v>15</v>
      </c>
      <c r="AO883" s="90">
        <f>G883*1</f>
        <v>69.8</v>
      </c>
      <c r="AP883" s="90">
        <f>G883*(1-1)</f>
        <v>0</v>
      </c>
      <c r="AQ883" s="91" t="s">
        <v>85</v>
      </c>
      <c r="AV883" s="90">
        <f t="shared" si="899"/>
        <v>0</v>
      </c>
      <c r="AW883" s="90">
        <f t="shared" si="900"/>
        <v>0</v>
      </c>
      <c r="AX883" s="90">
        <f t="shared" si="901"/>
        <v>0</v>
      </c>
      <c r="AY883" s="91" t="s">
        <v>1532</v>
      </c>
      <c r="AZ883" s="91" t="s">
        <v>1648</v>
      </c>
      <c r="BA883" s="154" t="s">
        <v>1649</v>
      </c>
      <c r="BC883" s="90">
        <f t="shared" si="902"/>
        <v>0</v>
      </c>
      <c r="BD883" s="90">
        <f t="shared" si="903"/>
        <v>69.8</v>
      </c>
      <c r="BE883" s="90">
        <v>0</v>
      </c>
      <c r="BF883" s="90">
        <f t="shared" si="904"/>
        <v>0</v>
      </c>
      <c r="BH883" s="90">
        <f t="shared" si="905"/>
        <v>0</v>
      </c>
      <c r="BI883" s="90">
        <f t="shared" si="906"/>
        <v>0</v>
      </c>
      <c r="BJ883" s="90">
        <f t="shared" si="907"/>
        <v>0</v>
      </c>
    </row>
    <row r="884" spans="1:62" ht="12.75" hidden="1">
      <c r="A884" s="88" t="s">
        <v>2090</v>
      </c>
      <c r="B884" s="88" t="s">
        <v>61</v>
      </c>
      <c r="C884" s="88" t="s">
        <v>1137</v>
      </c>
      <c r="D884" s="88" t="s">
        <v>1444</v>
      </c>
      <c r="E884" s="88" t="s">
        <v>612</v>
      </c>
      <c r="F884" s="90"/>
      <c r="G884" s="90">
        <v>455.01</v>
      </c>
      <c r="H884" s="90">
        <f t="shared" si="884"/>
        <v>0</v>
      </c>
      <c r="I884" s="90">
        <f t="shared" si="885"/>
        <v>0</v>
      </c>
      <c r="J884" s="90">
        <f t="shared" si="886"/>
        <v>0</v>
      </c>
      <c r="K884" s="90">
        <v>0</v>
      </c>
      <c r="L884" s="90">
        <f t="shared" si="887"/>
        <v>0</v>
      </c>
      <c r="M884" s="91" t="s">
        <v>622</v>
      </c>
      <c r="O884" s="90"/>
      <c r="P884" s="90"/>
      <c r="Z884" s="90">
        <f t="shared" si="888"/>
        <v>0</v>
      </c>
      <c r="AB884" s="90">
        <f t="shared" si="889"/>
        <v>0</v>
      </c>
      <c r="AC884" s="90">
        <f t="shared" si="890"/>
        <v>0</v>
      </c>
      <c r="AD884" s="90">
        <f t="shared" si="891"/>
        <v>0</v>
      </c>
      <c r="AE884" s="90">
        <f t="shared" si="892"/>
        <v>0</v>
      </c>
      <c r="AF884" s="90">
        <f t="shared" si="893"/>
        <v>0</v>
      </c>
      <c r="AG884" s="90">
        <f t="shared" si="894"/>
        <v>0</v>
      </c>
      <c r="AH884" s="90">
        <f t="shared" si="895"/>
        <v>0</v>
      </c>
      <c r="AI884" s="154" t="s">
        <v>61</v>
      </c>
      <c r="AJ884" s="90">
        <f t="shared" si="896"/>
        <v>0</v>
      </c>
      <c r="AK884" s="90">
        <f t="shared" si="897"/>
        <v>0</v>
      </c>
      <c r="AL884" s="90">
        <f t="shared" si="898"/>
        <v>0</v>
      </c>
      <c r="AN884" s="90">
        <v>15</v>
      </c>
      <c r="AO884" s="90">
        <f>G884*0</f>
        <v>0</v>
      </c>
      <c r="AP884" s="90">
        <f>G884*(1-0)</f>
        <v>455.01</v>
      </c>
      <c r="AQ884" s="91" t="s">
        <v>83</v>
      </c>
      <c r="AV884" s="90">
        <f t="shared" si="899"/>
        <v>0</v>
      </c>
      <c r="AW884" s="90">
        <f t="shared" si="900"/>
        <v>0</v>
      </c>
      <c r="AX884" s="90">
        <f t="shared" si="901"/>
        <v>0</v>
      </c>
      <c r="AY884" s="91" t="s">
        <v>1532</v>
      </c>
      <c r="AZ884" s="91" t="s">
        <v>1648</v>
      </c>
      <c r="BA884" s="154" t="s">
        <v>1649</v>
      </c>
      <c r="BC884" s="90">
        <f t="shared" si="902"/>
        <v>0</v>
      </c>
      <c r="BD884" s="90">
        <f t="shared" si="903"/>
        <v>455.00999999999993</v>
      </c>
      <c r="BE884" s="90">
        <v>0</v>
      </c>
      <c r="BF884" s="90">
        <f t="shared" si="904"/>
        <v>0</v>
      </c>
      <c r="BH884" s="90">
        <f t="shared" si="905"/>
        <v>0</v>
      </c>
      <c r="BI884" s="90">
        <f t="shared" si="906"/>
        <v>0</v>
      </c>
      <c r="BJ884" s="90">
        <f t="shared" si="907"/>
        <v>0</v>
      </c>
    </row>
    <row r="885" spans="1:47" ht="12.75" hidden="1">
      <c r="A885" s="159"/>
      <c r="B885" s="160" t="s">
        <v>61</v>
      </c>
      <c r="C885" s="160" t="s">
        <v>378</v>
      </c>
      <c r="D885" s="160" t="s">
        <v>564</v>
      </c>
      <c r="E885" s="159" t="s">
        <v>57</v>
      </c>
      <c r="F885" s="159"/>
      <c r="G885" s="159" t="s">
        <v>57</v>
      </c>
      <c r="H885" s="161">
        <f>SUM(H886:H889)</f>
        <v>0</v>
      </c>
      <c r="I885" s="161">
        <f>SUM(I886:I889)</f>
        <v>0</v>
      </c>
      <c r="J885" s="161">
        <f>SUM(J886:J889)</f>
        <v>0</v>
      </c>
      <c r="K885" s="154"/>
      <c r="L885" s="161">
        <f>SUM(L886:L889)</f>
        <v>0</v>
      </c>
      <c r="M885" s="154"/>
      <c r="O885" s="159"/>
      <c r="P885" s="159"/>
      <c r="AI885" s="154" t="s">
        <v>61</v>
      </c>
      <c r="AS885" s="161">
        <f>SUM(AJ886:AJ889)</f>
        <v>0</v>
      </c>
      <c r="AT885" s="161">
        <f>SUM(AK886:AK889)</f>
        <v>0</v>
      </c>
      <c r="AU885" s="161">
        <f>SUM(AL886:AL889)</f>
        <v>0</v>
      </c>
    </row>
    <row r="886" spans="1:62" ht="12.75" hidden="1">
      <c r="A886" s="88" t="s">
        <v>2091</v>
      </c>
      <c r="B886" s="88" t="s">
        <v>61</v>
      </c>
      <c r="C886" s="88" t="s">
        <v>379</v>
      </c>
      <c r="D886" s="88" t="s">
        <v>565</v>
      </c>
      <c r="E886" s="88" t="s">
        <v>608</v>
      </c>
      <c r="F886" s="90"/>
      <c r="G886" s="90">
        <v>20.7</v>
      </c>
      <c r="H886" s="90">
        <f>F886*AO886</f>
        <v>0</v>
      </c>
      <c r="I886" s="90">
        <f>F886*AP886</f>
        <v>0</v>
      </c>
      <c r="J886" s="90">
        <f>F886*G886</f>
        <v>0</v>
      </c>
      <c r="K886" s="90">
        <v>0.0002</v>
      </c>
      <c r="L886" s="90">
        <f>F886*K886</f>
        <v>0</v>
      </c>
      <c r="M886" s="91" t="s">
        <v>622</v>
      </c>
      <c r="O886" s="90"/>
      <c r="P886" s="90"/>
      <c r="Z886" s="90">
        <f>IF(AQ886="5",BJ886,0)</f>
        <v>0</v>
      </c>
      <c r="AB886" s="90">
        <f>IF(AQ886="1",BH886,0)</f>
        <v>0</v>
      </c>
      <c r="AC886" s="90">
        <f>IF(AQ886="1",BI886,0)</f>
        <v>0</v>
      </c>
      <c r="AD886" s="90">
        <f>IF(AQ886="7",BH886,0)</f>
        <v>0</v>
      </c>
      <c r="AE886" s="90">
        <f>IF(AQ886="7",BI886,0)</f>
        <v>0</v>
      </c>
      <c r="AF886" s="90">
        <f>IF(AQ886="2",BH886,0)</f>
        <v>0</v>
      </c>
      <c r="AG886" s="90">
        <f>IF(AQ886="2",BI886,0)</f>
        <v>0</v>
      </c>
      <c r="AH886" s="90">
        <f>IF(AQ886="0",BJ886,0)</f>
        <v>0</v>
      </c>
      <c r="AI886" s="154" t="s">
        <v>61</v>
      </c>
      <c r="AJ886" s="90">
        <f>IF(AN886=0,J886,0)</f>
        <v>0</v>
      </c>
      <c r="AK886" s="90">
        <f>IF(AN886=15,J886,0)</f>
        <v>0</v>
      </c>
      <c r="AL886" s="90">
        <f>IF(AN886=21,J886,0)</f>
        <v>0</v>
      </c>
      <c r="AN886" s="90">
        <v>15</v>
      </c>
      <c r="AO886" s="90">
        <f>G886*0.453623286007502</f>
        <v>9.390002020355292</v>
      </c>
      <c r="AP886" s="90">
        <f>G886*(1-0.453623286007502)</f>
        <v>11.309997979644708</v>
      </c>
      <c r="AQ886" s="91" t="s">
        <v>85</v>
      </c>
      <c r="AV886" s="90">
        <f>AW886+AX886</f>
        <v>0</v>
      </c>
      <c r="AW886" s="90">
        <f>F886*AO886</f>
        <v>0</v>
      </c>
      <c r="AX886" s="90">
        <f>F886*AP886</f>
        <v>0</v>
      </c>
      <c r="AY886" s="91" t="s">
        <v>648</v>
      </c>
      <c r="AZ886" s="91" t="s">
        <v>1648</v>
      </c>
      <c r="BA886" s="154" t="s">
        <v>1649</v>
      </c>
      <c r="BC886" s="90">
        <f>AW886+AX886</f>
        <v>0</v>
      </c>
      <c r="BD886" s="90">
        <f>G886/(100-BE886)*100</f>
        <v>20.7</v>
      </c>
      <c r="BE886" s="90">
        <v>0</v>
      </c>
      <c r="BF886" s="90">
        <f>L886</f>
        <v>0</v>
      </c>
      <c r="BH886" s="90">
        <f>F886*AO886</f>
        <v>0</v>
      </c>
      <c r="BI886" s="90">
        <f>F886*AP886</f>
        <v>0</v>
      </c>
      <c r="BJ886" s="90">
        <f>F886*G886</f>
        <v>0</v>
      </c>
    </row>
    <row r="887" spans="1:62" ht="12.75" hidden="1">
      <c r="A887" s="88" t="s">
        <v>2092</v>
      </c>
      <c r="B887" s="88" t="s">
        <v>61</v>
      </c>
      <c r="C887" s="88" t="s">
        <v>380</v>
      </c>
      <c r="D887" s="88" t="s">
        <v>566</v>
      </c>
      <c r="E887" s="88" t="s">
        <v>608</v>
      </c>
      <c r="F887" s="90"/>
      <c r="G887" s="90">
        <v>39</v>
      </c>
      <c r="H887" s="90">
        <f>F887*AO887</f>
        <v>0</v>
      </c>
      <c r="I887" s="90">
        <f>F887*AP887</f>
        <v>0</v>
      </c>
      <c r="J887" s="90">
        <f>F887*G887</f>
        <v>0</v>
      </c>
      <c r="K887" s="90">
        <v>0.0004</v>
      </c>
      <c r="L887" s="90">
        <f>F887*K887</f>
        <v>0</v>
      </c>
      <c r="M887" s="91" t="s">
        <v>622</v>
      </c>
      <c r="O887" s="90"/>
      <c r="P887" s="90"/>
      <c r="Z887" s="90">
        <f>IF(AQ887="5",BJ887,0)</f>
        <v>0</v>
      </c>
      <c r="AB887" s="90">
        <f>IF(AQ887="1",BH887,0)</f>
        <v>0</v>
      </c>
      <c r="AC887" s="90">
        <f>IF(AQ887="1",BI887,0)</f>
        <v>0</v>
      </c>
      <c r="AD887" s="90">
        <f>IF(AQ887="7",BH887,0)</f>
        <v>0</v>
      </c>
      <c r="AE887" s="90">
        <f>IF(AQ887="7",BI887,0)</f>
        <v>0</v>
      </c>
      <c r="AF887" s="90">
        <f>IF(AQ887="2",BH887,0)</f>
        <v>0</v>
      </c>
      <c r="AG887" s="90">
        <f>IF(AQ887="2",BI887,0)</f>
        <v>0</v>
      </c>
      <c r="AH887" s="90">
        <f>IF(AQ887="0",BJ887,0)</f>
        <v>0</v>
      </c>
      <c r="AI887" s="154" t="s">
        <v>61</v>
      </c>
      <c r="AJ887" s="90">
        <f>IF(AN887=0,J887,0)</f>
        <v>0</v>
      </c>
      <c r="AK887" s="90">
        <f>IF(AN887=15,J887,0)</f>
        <v>0</v>
      </c>
      <c r="AL887" s="90">
        <f>IF(AN887=21,J887,0)</f>
        <v>0</v>
      </c>
      <c r="AN887" s="90">
        <v>15</v>
      </c>
      <c r="AO887" s="90">
        <f>G887*0.476666666666667</f>
        <v>18.590000000000014</v>
      </c>
      <c r="AP887" s="90">
        <f>G887*(1-0.476666666666667)</f>
        <v>20.409999999999986</v>
      </c>
      <c r="AQ887" s="91" t="s">
        <v>85</v>
      </c>
      <c r="AV887" s="90">
        <f>AW887+AX887</f>
        <v>0</v>
      </c>
      <c r="AW887" s="90">
        <f>F887*AO887</f>
        <v>0</v>
      </c>
      <c r="AX887" s="90">
        <f>F887*AP887</f>
        <v>0</v>
      </c>
      <c r="AY887" s="91" t="s">
        <v>648</v>
      </c>
      <c r="AZ887" s="91" t="s">
        <v>1648</v>
      </c>
      <c r="BA887" s="154" t="s">
        <v>1649</v>
      </c>
      <c r="BC887" s="90">
        <f>AW887+AX887</f>
        <v>0</v>
      </c>
      <c r="BD887" s="90">
        <f>G887/(100-BE887)*100</f>
        <v>39</v>
      </c>
      <c r="BE887" s="90">
        <v>0</v>
      </c>
      <c r="BF887" s="90">
        <f>L887</f>
        <v>0</v>
      </c>
      <c r="BH887" s="90">
        <f>F887*AO887</f>
        <v>0</v>
      </c>
      <c r="BI887" s="90">
        <f>F887*AP887</f>
        <v>0</v>
      </c>
      <c r="BJ887" s="90">
        <f>F887*G887</f>
        <v>0</v>
      </c>
    </row>
    <row r="888" spans="1:62" ht="12.75" hidden="1">
      <c r="A888" s="88" t="s">
        <v>2093</v>
      </c>
      <c r="B888" s="88" t="s">
        <v>61</v>
      </c>
      <c r="C888" s="88" t="s">
        <v>381</v>
      </c>
      <c r="D888" s="88" t="s">
        <v>567</v>
      </c>
      <c r="E888" s="88" t="s">
        <v>608</v>
      </c>
      <c r="F888" s="90"/>
      <c r="G888" s="90">
        <v>47.5</v>
      </c>
      <c r="H888" s="90">
        <f>F888*AO888</f>
        <v>0</v>
      </c>
      <c r="I888" s="90">
        <f>F888*AP888</f>
        <v>0</v>
      </c>
      <c r="J888" s="90">
        <f>F888*G888</f>
        <v>0</v>
      </c>
      <c r="K888" s="90">
        <v>0.00024</v>
      </c>
      <c r="L888" s="90">
        <f>F888*K888</f>
        <v>0</v>
      </c>
      <c r="M888" s="91" t="s">
        <v>622</v>
      </c>
      <c r="O888" s="90"/>
      <c r="P888" s="90"/>
      <c r="Z888" s="90">
        <f>IF(AQ888="5",BJ888,0)</f>
        <v>0</v>
      </c>
      <c r="AB888" s="90">
        <f>IF(AQ888="1",BH888,0)</f>
        <v>0</v>
      </c>
      <c r="AC888" s="90">
        <f>IF(AQ888="1",BI888,0)</f>
        <v>0</v>
      </c>
      <c r="AD888" s="90">
        <f>IF(AQ888="7",BH888,0)</f>
        <v>0</v>
      </c>
      <c r="AE888" s="90">
        <f>IF(AQ888="7",BI888,0)</f>
        <v>0</v>
      </c>
      <c r="AF888" s="90">
        <f>IF(AQ888="2",BH888,0)</f>
        <v>0</v>
      </c>
      <c r="AG888" s="90">
        <f>IF(AQ888="2",BI888,0)</f>
        <v>0</v>
      </c>
      <c r="AH888" s="90">
        <f>IF(AQ888="0",BJ888,0)</f>
        <v>0</v>
      </c>
      <c r="AI888" s="154" t="s">
        <v>61</v>
      </c>
      <c r="AJ888" s="90">
        <f>IF(AN888=0,J888,0)</f>
        <v>0</v>
      </c>
      <c r="AK888" s="90">
        <f>IF(AN888=15,J888,0)</f>
        <v>0</v>
      </c>
      <c r="AL888" s="90">
        <f>IF(AN888=21,J888,0)</f>
        <v>0</v>
      </c>
      <c r="AN888" s="90">
        <v>15</v>
      </c>
      <c r="AO888" s="90">
        <f>G888*0.200631570696432</f>
        <v>9.52999960808052</v>
      </c>
      <c r="AP888" s="90">
        <f>G888*(1-0.200631570696432)</f>
        <v>37.97000039191948</v>
      </c>
      <c r="AQ888" s="91" t="s">
        <v>85</v>
      </c>
      <c r="AV888" s="90">
        <f>AW888+AX888</f>
        <v>0</v>
      </c>
      <c r="AW888" s="90">
        <f>F888*AO888</f>
        <v>0</v>
      </c>
      <c r="AX888" s="90">
        <f>F888*AP888</f>
        <v>0</v>
      </c>
      <c r="AY888" s="91" t="s">
        <v>648</v>
      </c>
      <c r="AZ888" s="91" t="s">
        <v>1648</v>
      </c>
      <c r="BA888" s="154" t="s">
        <v>1649</v>
      </c>
      <c r="BC888" s="90">
        <f>AW888+AX888</f>
        <v>0</v>
      </c>
      <c r="BD888" s="90">
        <f>G888/(100-BE888)*100</f>
        <v>47.5</v>
      </c>
      <c r="BE888" s="90">
        <v>0</v>
      </c>
      <c r="BF888" s="90">
        <f>L888</f>
        <v>0</v>
      </c>
      <c r="BH888" s="90">
        <f>F888*AO888</f>
        <v>0</v>
      </c>
      <c r="BI888" s="90">
        <f>F888*AP888</f>
        <v>0</v>
      </c>
      <c r="BJ888" s="90">
        <f>F888*G888</f>
        <v>0</v>
      </c>
    </row>
    <row r="889" spans="1:62" ht="12.75" hidden="1">
      <c r="A889" s="88" t="s">
        <v>2094</v>
      </c>
      <c r="B889" s="88" t="s">
        <v>61</v>
      </c>
      <c r="C889" s="88" t="s">
        <v>382</v>
      </c>
      <c r="D889" s="88" t="s">
        <v>568</v>
      </c>
      <c r="E889" s="88" t="s">
        <v>608</v>
      </c>
      <c r="F889" s="90"/>
      <c r="G889" s="90">
        <v>49.99</v>
      </c>
      <c r="H889" s="90">
        <f>F889*AO889</f>
        <v>0</v>
      </c>
      <c r="I889" s="90">
        <f>F889*AP889</f>
        <v>0</v>
      </c>
      <c r="J889" s="90">
        <f>F889*G889</f>
        <v>0</v>
      </c>
      <c r="K889" s="90">
        <v>0.0003</v>
      </c>
      <c r="L889" s="90">
        <f>F889*K889</f>
        <v>0</v>
      </c>
      <c r="M889" s="91" t="s">
        <v>622</v>
      </c>
      <c r="O889" s="90"/>
      <c r="P889" s="90"/>
      <c r="Z889" s="90">
        <f>IF(AQ889="5",BJ889,0)</f>
        <v>0</v>
      </c>
      <c r="AB889" s="90">
        <f>IF(AQ889="1",BH889,0)</f>
        <v>0</v>
      </c>
      <c r="AC889" s="90">
        <f>IF(AQ889="1",BI889,0)</f>
        <v>0</v>
      </c>
      <c r="AD889" s="90">
        <f>IF(AQ889="7",BH889,0)</f>
        <v>0</v>
      </c>
      <c r="AE889" s="90">
        <f>IF(AQ889="7",BI889,0)</f>
        <v>0</v>
      </c>
      <c r="AF889" s="90">
        <f>IF(AQ889="2",BH889,0)</f>
        <v>0</v>
      </c>
      <c r="AG889" s="90">
        <f>IF(AQ889="2",BI889,0)</f>
        <v>0</v>
      </c>
      <c r="AH889" s="90">
        <f>IF(AQ889="0",BJ889,0)</f>
        <v>0</v>
      </c>
      <c r="AI889" s="154" t="s">
        <v>61</v>
      </c>
      <c r="AJ889" s="90">
        <f>IF(AN889=0,J889,0)</f>
        <v>0</v>
      </c>
      <c r="AK889" s="90">
        <f>IF(AN889=15,J889,0)</f>
        <v>0</v>
      </c>
      <c r="AL889" s="90">
        <f>IF(AN889=21,J889,0)</f>
        <v>0</v>
      </c>
      <c r="AN889" s="90">
        <v>15</v>
      </c>
      <c r="AO889" s="90">
        <f>G889*0.290456582451127</f>
        <v>14.519924556731839</v>
      </c>
      <c r="AP889" s="90">
        <f>G889*(1-0.290456582451127)</f>
        <v>35.470075443268165</v>
      </c>
      <c r="AQ889" s="91" t="s">
        <v>85</v>
      </c>
      <c r="AV889" s="90">
        <f>AW889+AX889</f>
        <v>0</v>
      </c>
      <c r="AW889" s="90">
        <f>F889*AO889</f>
        <v>0</v>
      </c>
      <c r="AX889" s="90">
        <f>F889*AP889</f>
        <v>0</v>
      </c>
      <c r="AY889" s="91" t="s">
        <v>648</v>
      </c>
      <c r="AZ889" s="91" t="s">
        <v>1648</v>
      </c>
      <c r="BA889" s="154" t="s">
        <v>1649</v>
      </c>
      <c r="BC889" s="90">
        <f>AW889+AX889</f>
        <v>0</v>
      </c>
      <c r="BD889" s="90">
        <f>G889/(100-BE889)*100</f>
        <v>49.99</v>
      </c>
      <c r="BE889" s="90">
        <v>0</v>
      </c>
      <c r="BF889" s="90">
        <f>L889</f>
        <v>0</v>
      </c>
      <c r="BH889" s="90">
        <f>F889*AO889</f>
        <v>0</v>
      </c>
      <c r="BI889" s="90">
        <f>F889*AP889</f>
        <v>0</v>
      </c>
      <c r="BJ889" s="90">
        <f>F889*G889</f>
        <v>0</v>
      </c>
    </row>
    <row r="890" spans="1:47" ht="12.75" hidden="1">
      <c r="A890" s="159"/>
      <c r="B890" s="160" t="s">
        <v>61</v>
      </c>
      <c r="C890" s="160" t="s">
        <v>383</v>
      </c>
      <c r="D890" s="160" t="s">
        <v>569</v>
      </c>
      <c r="E890" s="159" t="s">
        <v>57</v>
      </c>
      <c r="F890" s="159"/>
      <c r="G890" s="159" t="s">
        <v>57</v>
      </c>
      <c r="H890" s="161">
        <f>SUM(H891:H931)</f>
        <v>0</v>
      </c>
      <c r="I890" s="161">
        <f>SUM(I891:I931)</f>
        <v>0</v>
      </c>
      <c r="J890" s="161">
        <f>SUM(J891:J931)</f>
        <v>0</v>
      </c>
      <c r="K890" s="154"/>
      <c r="L890" s="161">
        <f>SUM(L891:L931)</f>
        <v>0</v>
      </c>
      <c r="M890" s="154"/>
      <c r="O890" s="159"/>
      <c r="P890" s="159"/>
      <c r="AI890" s="154" t="s">
        <v>61</v>
      </c>
      <c r="AS890" s="161">
        <f>SUM(AJ891:AJ931)</f>
        <v>0</v>
      </c>
      <c r="AT890" s="161">
        <f>SUM(AK891:AK931)</f>
        <v>0</v>
      </c>
      <c r="AU890" s="161">
        <f>SUM(AL891:AL931)</f>
        <v>0</v>
      </c>
    </row>
    <row r="891" spans="1:62" ht="12.75" hidden="1">
      <c r="A891" s="88" t="s">
        <v>2095</v>
      </c>
      <c r="B891" s="88" t="s">
        <v>61</v>
      </c>
      <c r="C891" s="88" t="s">
        <v>384</v>
      </c>
      <c r="D891" s="88" t="s">
        <v>570</v>
      </c>
      <c r="E891" s="88" t="s">
        <v>606</v>
      </c>
      <c r="F891" s="90"/>
      <c r="G891" s="90">
        <v>39</v>
      </c>
      <c r="H891" s="90">
        <f aca="true" t="shared" si="908" ref="H891:H931">F891*AO891</f>
        <v>0</v>
      </c>
      <c r="I891" s="90">
        <f aca="true" t="shared" si="909" ref="I891:I931">F891*AP891</f>
        <v>0</v>
      </c>
      <c r="J891" s="90">
        <f aca="true" t="shared" si="910" ref="J891:J931">F891*G891</f>
        <v>0</v>
      </c>
      <c r="K891" s="90">
        <v>0</v>
      </c>
      <c r="L891" s="90">
        <f aca="true" t="shared" si="911" ref="L891:L931">F891*K891</f>
        <v>0</v>
      </c>
      <c r="M891" s="91" t="s">
        <v>622</v>
      </c>
      <c r="O891" s="90"/>
      <c r="P891" s="90"/>
      <c r="Z891" s="90">
        <f aca="true" t="shared" si="912" ref="Z891:Z931">IF(AQ891="5",BJ891,0)</f>
        <v>0</v>
      </c>
      <c r="AB891" s="90">
        <f aca="true" t="shared" si="913" ref="AB891:AB931">IF(AQ891="1",BH891,0)</f>
        <v>0</v>
      </c>
      <c r="AC891" s="90">
        <f aca="true" t="shared" si="914" ref="AC891:AC931">IF(AQ891="1",BI891,0)</f>
        <v>0</v>
      </c>
      <c r="AD891" s="90">
        <f aca="true" t="shared" si="915" ref="AD891:AD931">IF(AQ891="7",BH891,0)</f>
        <v>0</v>
      </c>
      <c r="AE891" s="90">
        <f aca="true" t="shared" si="916" ref="AE891:AE931">IF(AQ891="7",BI891,0)</f>
        <v>0</v>
      </c>
      <c r="AF891" s="90">
        <f aca="true" t="shared" si="917" ref="AF891:AF931">IF(AQ891="2",BH891,0)</f>
        <v>0</v>
      </c>
      <c r="AG891" s="90">
        <f aca="true" t="shared" si="918" ref="AG891:AG931">IF(AQ891="2",BI891,0)</f>
        <v>0</v>
      </c>
      <c r="AH891" s="90">
        <f aca="true" t="shared" si="919" ref="AH891:AH931">IF(AQ891="0",BJ891,0)</f>
        <v>0</v>
      </c>
      <c r="AI891" s="154" t="s">
        <v>61</v>
      </c>
      <c r="AJ891" s="90">
        <f aca="true" t="shared" si="920" ref="AJ891:AJ931">IF(AN891=0,J891,0)</f>
        <v>0</v>
      </c>
      <c r="AK891" s="90">
        <f aca="true" t="shared" si="921" ref="AK891:AK931">IF(AN891=15,J891,0)</f>
        <v>0</v>
      </c>
      <c r="AL891" s="90">
        <f aca="true" t="shared" si="922" ref="AL891:AL931">IF(AN891=21,J891,0)</f>
        <v>0</v>
      </c>
      <c r="AN891" s="90">
        <v>15</v>
      </c>
      <c r="AO891" s="90">
        <f aca="true" t="shared" si="923" ref="AO891:AO931">G891*0</f>
        <v>0</v>
      </c>
      <c r="AP891" s="90">
        <f aca="true" t="shared" si="924" ref="AP891:AP931">G891*(1-0)</f>
        <v>39</v>
      </c>
      <c r="AQ891" s="91" t="s">
        <v>79</v>
      </c>
      <c r="AV891" s="90">
        <f aca="true" t="shared" si="925" ref="AV891:AV931">AW891+AX891</f>
        <v>0</v>
      </c>
      <c r="AW891" s="90">
        <f aca="true" t="shared" si="926" ref="AW891:AW931">F891*AO891</f>
        <v>0</v>
      </c>
      <c r="AX891" s="90">
        <f aca="true" t="shared" si="927" ref="AX891:AX931">F891*AP891</f>
        <v>0</v>
      </c>
      <c r="AY891" s="91" t="s">
        <v>649</v>
      </c>
      <c r="AZ891" s="91" t="s">
        <v>1643</v>
      </c>
      <c r="BA891" s="154" t="s">
        <v>1649</v>
      </c>
      <c r="BC891" s="90">
        <f aca="true" t="shared" si="928" ref="BC891:BC931">AW891+AX891</f>
        <v>0</v>
      </c>
      <c r="BD891" s="90">
        <f aca="true" t="shared" si="929" ref="BD891:BD931">G891/(100-BE891)*100</f>
        <v>39</v>
      </c>
      <c r="BE891" s="90">
        <v>0</v>
      </c>
      <c r="BF891" s="90">
        <f aca="true" t="shared" si="930" ref="BF891:BF931">L891</f>
        <v>0</v>
      </c>
      <c r="BH891" s="90">
        <f aca="true" t="shared" si="931" ref="BH891:BH931">F891*AO891</f>
        <v>0</v>
      </c>
      <c r="BI891" s="90">
        <f aca="true" t="shared" si="932" ref="BI891:BI931">F891*AP891</f>
        <v>0</v>
      </c>
      <c r="BJ891" s="90">
        <f aca="true" t="shared" si="933" ref="BJ891:BJ931">F891*G891</f>
        <v>0</v>
      </c>
    </row>
    <row r="892" spans="1:62" ht="12.75" hidden="1">
      <c r="A892" s="88" t="s">
        <v>2096</v>
      </c>
      <c r="B892" s="88" t="s">
        <v>61</v>
      </c>
      <c r="C892" s="88" t="s">
        <v>385</v>
      </c>
      <c r="D892" s="88" t="s">
        <v>571</v>
      </c>
      <c r="E892" s="88" t="s">
        <v>606</v>
      </c>
      <c r="F892" s="90"/>
      <c r="G892" s="90">
        <v>32.1</v>
      </c>
      <c r="H892" s="90">
        <f t="shared" si="908"/>
        <v>0</v>
      </c>
      <c r="I892" s="90">
        <f t="shared" si="909"/>
        <v>0</v>
      </c>
      <c r="J892" s="90">
        <f t="shared" si="910"/>
        <v>0</v>
      </c>
      <c r="K892" s="90">
        <v>0</v>
      </c>
      <c r="L892" s="90">
        <f t="shared" si="911"/>
        <v>0</v>
      </c>
      <c r="M892" s="91" t="s">
        <v>622</v>
      </c>
      <c r="O892" s="90"/>
      <c r="P892" s="90"/>
      <c r="Z892" s="90">
        <f t="shared" si="912"/>
        <v>0</v>
      </c>
      <c r="AB892" s="90">
        <f t="shared" si="913"/>
        <v>0</v>
      </c>
      <c r="AC892" s="90">
        <f t="shared" si="914"/>
        <v>0</v>
      </c>
      <c r="AD892" s="90">
        <f t="shared" si="915"/>
        <v>0</v>
      </c>
      <c r="AE892" s="90">
        <f t="shared" si="916"/>
        <v>0</v>
      </c>
      <c r="AF892" s="90">
        <f t="shared" si="917"/>
        <v>0</v>
      </c>
      <c r="AG892" s="90">
        <f t="shared" si="918"/>
        <v>0</v>
      </c>
      <c r="AH892" s="90">
        <f t="shared" si="919"/>
        <v>0</v>
      </c>
      <c r="AI892" s="154" t="s">
        <v>61</v>
      </c>
      <c r="AJ892" s="90">
        <f t="shared" si="920"/>
        <v>0</v>
      </c>
      <c r="AK892" s="90">
        <f t="shared" si="921"/>
        <v>0</v>
      </c>
      <c r="AL892" s="90">
        <f t="shared" si="922"/>
        <v>0</v>
      </c>
      <c r="AN892" s="90">
        <v>15</v>
      </c>
      <c r="AO892" s="90">
        <f t="shared" si="923"/>
        <v>0</v>
      </c>
      <c r="AP892" s="90">
        <f t="shared" si="924"/>
        <v>32.1</v>
      </c>
      <c r="AQ892" s="91" t="s">
        <v>79</v>
      </c>
      <c r="AV892" s="90">
        <f t="shared" si="925"/>
        <v>0</v>
      </c>
      <c r="AW892" s="90">
        <f t="shared" si="926"/>
        <v>0</v>
      </c>
      <c r="AX892" s="90">
        <f t="shared" si="927"/>
        <v>0</v>
      </c>
      <c r="AY892" s="91" t="s">
        <v>649</v>
      </c>
      <c r="AZ892" s="91" t="s">
        <v>1643</v>
      </c>
      <c r="BA892" s="154" t="s">
        <v>1649</v>
      </c>
      <c r="BC892" s="90">
        <f t="shared" si="928"/>
        <v>0</v>
      </c>
      <c r="BD892" s="90">
        <f t="shared" si="929"/>
        <v>32.1</v>
      </c>
      <c r="BE892" s="90">
        <v>0</v>
      </c>
      <c r="BF892" s="90">
        <f t="shared" si="930"/>
        <v>0</v>
      </c>
      <c r="BH892" s="90">
        <f t="shared" si="931"/>
        <v>0</v>
      </c>
      <c r="BI892" s="90">
        <f t="shared" si="932"/>
        <v>0</v>
      </c>
      <c r="BJ892" s="90">
        <f t="shared" si="933"/>
        <v>0</v>
      </c>
    </row>
    <row r="893" spans="1:62" ht="12.75" hidden="1">
      <c r="A893" s="88" t="s">
        <v>2097</v>
      </c>
      <c r="B893" s="88" t="s">
        <v>61</v>
      </c>
      <c r="C893" s="88" t="s">
        <v>386</v>
      </c>
      <c r="D893" s="88" t="s">
        <v>572</v>
      </c>
      <c r="E893" s="88" t="s">
        <v>609</v>
      </c>
      <c r="F893" s="90"/>
      <c r="G893" s="90">
        <v>27.8</v>
      </c>
      <c r="H893" s="90">
        <f t="shared" si="908"/>
        <v>0</v>
      </c>
      <c r="I893" s="90">
        <f t="shared" si="909"/>
        <v>0</v>
      </c>
      <c r="J893" s="90">
        <f t="shared" si="910"/>
        <v>0</v>
      </c>
      <c r="K893" s="90">
        <v>0</v>
      </c>
      <c r="L893" s="90">
        <f t="shared" si="911"/>
        <v>0</v>
      </c>
      <c r="M893" s="91" t="s">
        <v>622</v>
      </c>
      <c r="O893" s="90"/>
      <c r="P893" s="90"/>
      <c r="Z893" s="90">
        <f t="shared" si="912"/>
        <v>0</v>
      </c>
      <c r="AB893" s="90">
        <f t="shared" si="913"/>
        <v>0</v>
      </c>
      <c r="AC893" s="90">
        <f t="shared" si="914"/>
        <v>0</v>
      </c>
      <c r="AD893" s="90">
        <f t="shared" si="915"/>
        <v>0</v>
      </c>
      <c r="AE893" s="90">
        <f t="shared" si="916"/>
        <v>0</v>
      </c>
      <c r="AF893" s="90">
        <f t="shared" si="917"/>
        <v>0</v>
      </c>
      <c r="AG893" s="90">
        <f t="shared" si="918"/>
        <v>0</v>
      </c>
      <c r="AH893" s="90">
        <f t="shared" si="919"/>
        <v>0</v>
      </c>
      <c r="AI893" s="154" t="s">
        <v>61</v>
      </c>
      <c r="AJ893" s="90">
        <f t="shared" si="920"/>
        <v>0</v>
      </c>
      <c r="AK893" s="90">
        <f t="shared" si="921"/>
        <v>0</v>
      </c>
      <c r="AL893" s="90">
        <f t="shared" si="922"/>
        <v>0</v>
      </c>
      <c r="AN893" s="90">
        <v>15</v>
      </c>
      <c r="AO893" s="90">
        <f t="shared" si="923"/>
        <v>0</v>
      </c>
      <c r="AP893" s="90">
        <f t="shared" si="924"/>
        <v>27.8</v>
      </c>
      <c r="AQ893" s="91" t="s">
        <v>79</v>
      </c>
      <c r="AV893" s="90">
        <f t="shared" si="925"/>
        <v>0</v>
      </c>
      <c r="AW893" s="90">
        <f t="shared" si="926"/>
        <v>0</v>
      </c>
      <c r="AX893" s="90">
        <f t="shared" si="927"/>
        <v>0</v>
      </c>
      <c r="AY893" s="91" t="s">
        <v>649</v>
      </c>
      <c r="AZ893" s="91" t="s">
        <v>1643</v>
      </c>
      <c r="BA893" s="154" t="s">
        <v>1649</v>
      </c>
      <c r="BC893" s="90">
        <f t="shared" si="928"/>
        <v>0</v>
      </c>
      <c r="BD893" s="90">
        <f t="shared" si="929"/>
        <v>27.800000000000004</v>
      </c>
      <c r="BE893" s="90">
        <v>0</v>
      </c>
      <c r="BF893" s="90">
        <f t="shared" si="930"/>
        <v>0</v>
      </c>
      <c r="BH893" s="90">
        <f t="shared" si="931"/>
        <v>0</v>
      </c>
      <c r="BI893" s="90">
        <f t="shared" si="932"/>
        <v>0</v>
      </c>
      <c r="BJ893" s="90">
        <f t="shared" si="933"/>
        <v>0</v>
      </c>
    </row>
    <row r="894" spans="1:62" ht="12.75" hidden="1">
      <c r="A894" s="88" t="s">
        <v>2098</v>
      </c>
      <c r="B894" s="88" t="s">
        <v>61</v>
      </c>
      <c r="C894" s="88" t="s">
        <v>387</v>
      </c>
      <c r="D894" s="88" t="s">
        <v>573</v>
      </c>
      <c r="E894" s="88" t="s">
        <v>609</v>
      </c>
      <c r="F894" s="90"/>
      <c r="G894" s="90">
        <v>49.1</v>
      </c>
      <c r="H894" s="90">
        <f t="shared" si="908"/>
        <v>0</v>
      </c>
      <c r="I894" s="90">
        <f t="shared" si="909"/>
        <v>0</v>
      </c>
      <c r="J894" s="90">
        <f t="shared" si="910"/>
        <v>0</v>
      </c>
      <c r="K894" s="90">
        <v>0</v>
      </c>
      <c r="L894" s="90">
        <f t="shared" si="911"/>
        <v>0</v>
      </c>
      <c r="M894" s="91" t="s">
        <v>622</v>
      </c>
      <c r="O894" s="90"/>
      <c r="P894" s="90"/>
      <c r="Z894" s="90">
        <f t="shared" si="912"/>
        <v>0</v>
      </c>
      <c r="AB894" s="90">
        <f t="shared" si="913"/>
        <v>0</v>
      </c>
      <c r="AC894" s="90">
        <f t="shared" si="914"/>
        <v>0</v>
      </c>
      <c r="AD894" s="90">
        <f t="shared" si="915"/>
        <v>0</v>
      </c>
      <c r="AE894" s="90">
        <f t="shared" si="916"/>
        <v>0</v>
      </c>
      <c r="AF894" s="90">
        <f t="shared" si="917"/>
        <v>0</v>
      </c>
      <c r="AG894" s="90">
        <f t="shared" si="918"/>
        <v>0</v>
      </c>
      <c r="AH894" s="90">
        <f t="shared" si="919"/>
        <v>0</v>
      </c>
      <c r="AI894" s="154" t="s">
        <v>61</v>
      </c>
      <c r="AJ894" s="90">
        <f t="shared" si="920"/>
        <v>0</v>
      </c>
      <c r="AK894" s="90">
        <f t="shared" si="921"/>
        <v>0</v>
      </c>
      <c r="AL894" s="90">
        <f t="shared" si="922"/>
        <v>0</v>
      </c>
      <c r="AN894" s="90">
        <v>15</v>
      </c>
      <c r="AO894" s="90">
        <f t="shared" si="923"/>
        <v>0</v>
      </c>
      <c r="AP894" s="90">
        <f t="shared" si="924"/>
        <v>49.1</v>
      </c>
      <c r="AQ894" s="91" t="s">
        <v>79</v>
      </c>
      <c r="AV894" s="90">
        <f t="shared" si="925"/>
        <v>0</v>
      </c>
      <c r="AW894" s="90">
        <f t="shared" si="926"/>
        <v>0</v>
      </c>
      <c r="AX894" s="90">
        <f t="shared" si="927"/>
        <v>0</v>
      </c>
      <c r="AY894" s="91" t="s">
        <v>649</v>
      </c>
      <c r="AZ894" s="91" t="s">
        <v>1643</v>
      </c>
      <c r="BA894" s="154" t="s">
        <v>1649</v>
      </c>
      <c r="BC894" s="90">
        <f t="shared" si="928"/>
        <v>0</v>
      </c>
      <c r="BD894" s="90">
        <f t="shared" si="929"/>
        <v>49.1</v>
      </c>
      <c r="BE894" s="90">
        <v>0</v>
      </c>
      <c r="BF894" s="90">
        <f t="shared" si="930"/>
        <v>0</v>
      </c>
      <c r="BH894" s="90">
        <f t="shared" si="931"/>
        <v>0</v>
      </c>
      <c r="BI894" s="90">
        <f t="shared" si="932"/>
        <v>0</v>
      </c>
      <c r="BJ894" s="90">
        <f t="shared" si="933"/>
        <v>0</v>
      </c>
    </row>
    <row r="895" spans="1:62" ht="12.75" hidden="1">
      <c r="A895" s="88" t="s">
        <v>2099</v>
      </c>
      <c r="B895" s="88" t="s">
        <v>61</v>
      </c>
      <c r="C895" s="88" t="s">
        <v>388</v>
      </c>
      <c r="D895" s="88" t="s">
        <v>574</v>
      </c>
      <c r="E895" s="88" t="s">
        <v>606</v>
      </c>
      <c r="F895" s="90"/>
      <c r="G895" s="90">
        <v>3110</v>
      </c>
      <c r="H895" s="90">
        <f t="shared" si="908"/>
        <v>0</v>
      </c>
      <c r="I895" s="90">
        <f t="shared" si="909"/>
        <v>0</v>
      </c>
      <c r="J895" s="90">
        <f t="shared" si="910"/>
        <v>0</v>
      </c>
      <c r="K895" s="90">
        <v>0</v>
      </c>
      <c r="L895" s="90">
        <f t="shared" si="911"/>
        <v>0</v>
      </c>
      <c r="M895" s="91" t="s">
        <v>622</v>
      </c>
      <c r="O895" s="90"/>
      <c r="P895" s="90"/>
      <c r="Z895" s="90">
        <f t="shared" si="912"/>
        <v>0</v>
      </c>
      <c r="AB895" s="90">
        <f t="shared" si="913"/>
        <v>0</v>
      </c>
      <c r="AC895" s="90">
        <f t="shared" si="914"/>
        <v>0</v>
      </c>
      <c r="AD895" s="90">
        <f t="shared" si="915"/>
        <v>0</v>
      </c>
      <c r="AE895" s="90">
        <f t="shared" si="916"/>
        <v>0</v>
      </c>
      <c r="AF895" s="90">
        <f t="shared" si="917"/>
        <v>0</v>
      </c>
      <c r="AG895" s="90">
        <f t="shared" si="918"/>
        <v>0</v>
      </c>
      <c r="AH895" s="90">
        <f t="shared" si="919"/>
        <v>0</v>
      </c>
      <c r="AI895" s="154" t="s">
        <v>61</v>
      </c>
      <c r="AJ895" s="90">
        <f t="shared" si="920"/>
        <v>0</v>
      </c>
      <c r="AK895" s="90">
        <f t="shared" si="921"/>
        <v>0</v>
      </c>
      <c r="AL895" s="90">
        <f t="shared" si="922"/>
        <v>0</v>
      </c>
      <c r="AN895" s="90">
        <v>15</v>
      </c>
      <c r="AO895" s="90">
        <f t="shared" si="923"/>
        <v>0</v>
      </c>
      <c r="AP895" s="90">
        <f t="shared" si="924"/>
        <v>3110</v>
      </c>
      <c r="AQ895" s="91" t="s">
        <v>79</v>
      </c>
      <c r="AV895" s="90">
        <f t="shared" si="925"/>
        <v>0</v>
      </c>
      <c r="AW895" s="90">
        <f t="shared" si="926"/>
        <v>0</v>
      </c>
      <c r="AX895" s="90">
        <f t="shared" si="927"/>
        <v>0</v>
      </c>
      <c r="AY895" s="91" t="s">
        <v>649</v>
      </c>
      <c r="AZ895" s="91" t="s">
        <v>1643</v>
      </c>
      <c r="BA895" s="154" t="s">
        <v>1649</v>
      </c>
      <c r="BC895" s="90">
        <f t="shared" si="928"/>
        <v>0</v>
      </c>
      <c r="BD895" s="90">
        <f t="shared" si="929"/>
        <v>3110</v>
      </c>
      <c r="BE895" s="90">
        <v>0</v>
      </c>
      <c r="BF895" s="90">
        <f t="shared" si="930"/>
        <v>0</v>
      </c>
      <c r="BH895" s="90">
        <f t="shared" si="931"/>
        <v>0</v>
      </c>
      <c r="BI895" s="90">
        <f t="shared" si="932"/>
        <v>0</v>
      </c>
      <c r="BJ895" s="90">
        <f t="shared" si="933"/>
        <v>0</v>
      </c>
    </row>
    <row r="896" spans="1:62" ht="12.75" hidden="1">
      <c r="A896" s="88" t="s">
        <v>2100</v>
      </c>
      <c r="B896" s="88" t="s">
        <v>61</v>
      </c>
      <c r="C896" s="88" t="s">
        <v>389</v>
      </c>
      <c r="D896" s="88" t="s">
        <v>575</v>
      </c>
      <c r="E896" s="88" t="s">
        <v>611</v>
      </c>
      <c r="F896" s="90"/>
      <c r="G896" s="90">
        <v>450</v>
      </c>
      <c r="H896" s="90">
        <f t="shared" si="908"/>
        <v>0</v>
      </c>
      <c r="I896" s="90">
        <f t="shared" si="909"/>
        <v>0</v>
      </c>
      <c r="J896" s="90">
        <f t="shared" si="910"/>
        <v>0</v>
      </c>
      <c r="K896" s="90">
        <v>0</v>
      </c>
      <c r="L896" s="90">
        <f t="shared" si="911"/>
        <v>0</v>
      </c>
      <c r="M896" s="91" t="s">
        <v>622</v>
      </c>
      <c r="O896" s="90"/>
      <c r="P896" s="90"/>
      <c r="Z896" s="90">
        <f t="shared" si="912"/>
        <v>0</v>
      </c>
      <c r="AB896" s="90">
        <f t="shared" si="913"/>
        <v>0</v>
      </c>
      <c r="AC896" s="90">
        <f t="shared" si="914"/>
        <v>0</v>
      </c>
      <c r="AD896" s="90">
        <f t="shared" si="915"/>
        <v>0</v>
      </c>
      <c r="AE896" s="90">
        <f t="shared" si="916"/>
        <v>0</v>
      </c>
      <c r="AF896" s="90">
        <f t="shared" si="917"/>
        <v>0</v>
      </c>
      <c r="AG896" s="90">
        <f t="shared" si="918"/>
        <v>0</v>
      </c>
      <c r="AH896" s="90">
        <f t="shared" si="919"/>
        <v>0</v>
      </c>
      <c r="AI896" s="154" t="s">
        <v>61</v>
      </c>
      <c r="AJ896" s="90">
        <f t="shared" si="920"/>
        <v>0</v>
      </c>
      <c r="AK896" s="90">
        <f t="shared" si="921"/>
        <v>0</v>
      </c>
      <c r="AL896" s="90">
        <f t="shared" si="922"/>
        <v>0</v>
      </c>
      <c r="AN896" s="90">
        <v>15</v>
      </c>
      <c r="AO896" s="90">
        <f t="shared" si="923"/>
        <v>0</v>
      </c>
      <c r="AP896" s="90">
        <f t="shared" si="924"/>
        <v>450</v>
      </c>
      <c r="AQ896" s="91" t="s">
        <v>79</v>
      </c>
      <c r="AV896" s="90">
        <f t="shared" si="925"/>
        <v>0</v>
      </c>
      <c r="AW896" s="90">
        <f t="shared" si="926"/>
        <v>0</v>
      </c>
      <c r="AX896" s="90">
        <f t="shared" si="927"/>
        <v>0</v>
      </c>
      <c r="AY896" s="91" t="s">
        <v>649</v>
      </c>
      <c r="AZ896" s="91" t="s">
        <v>1643</v>
      </c>
      <c r="BA896" s="154" t="s">
        <v>1649</v>
      </c>
      <c r="BC896" s="90">
        <f t="shared" si="928"/>
        <v>0</v>
      </c>
      <c r="BD896" s="90">
        <f t="shared" si="929"/>
        <v>450</v>
      </c>
      <c r="BE896" s="90">
        <v>0</v>
      </c>
      <c r="BF896" s="90">
        <f t="shared" si="930"/>
        <v>0</v>
      </c>
      <c r="BH896" s="90">
        <f t="shared" si="931"/>
        <v>0</v>
      </c>
      <c r="BI896" s="90">
        <f t="shared" si="932"/>
        <v>0</v>
      </c>
      <c r="BJ896" s="90">
        <f t="shared" si="933"/>
        <v>0</v>
      </c>
    </row>
    <row r="897" spans="1:62" ht="12.75" hidden="1">
      <c r="A897" s="88" t="s">
        <v>2101</v>
      </c>
      <c r="B897" s="88" t="s">
        <v>61</v>
      </c>
      <c r="C897" s="88" t="s">
        <v>390</v>
      </c>
      <c r="D897" s="88" t="s">
        <v>576</v>
      </c>
      <c r="E897" s="88" t="s">
        <v>606</v>
      </c>
      <c r="F897" s="90"/>
      <c r="G897" s="90">
        <v>740</v>
      </c>
      <c r="H897" s="90">
        <f t="shared" si="908"/>
        <v>0</v>
      </c>
      <c r="I897" s="90">
        <f t="shared" si="909"/>
        <v>0</v>
      </c>
      <c r="J897" s="90">
        <f t="shared" si="910"/>
        <v>0</v>
      </c>
      <c r="K897" s="90">
        <v>0</v>
      </c>
      <c r="L897" s="90">
        <f t="shared" si="911"/>
        <v>0</v>
      </c>
      <c r="M897" s="91" t="s">
        <v>622</v>
      </c>
      <c r="O897" s="90"/>
      <c r="P897" s="90"/>
      <c r="Z897" s="90">
        <f t="shared" si="912"/>
        <v>0</v>
      </c>
      <c r="AB897" s="90">
        <f t="shared" si="913"/>
        <v>0</v>
      </c>
      <c r="AC897" s="90">
        <f t="shared" si="914"/>
        <v>0</v>
      </c>
      <c r="AD897" s="90">
        <f t="shared" si="915"/>
        <v>0</v>
      </c>
      <c r="AE897" s="90">
        <f t="shared" si="916"/>
        <v>0</v>
      </c>
      <c r="AF897" s="90">
        <f t="shared" si="917"/>
        <v>0</v>
      </c>
      <c r="AG897" s="90">
        <f t="shared" si="918"/>
        <v>0</v>
      </c>
      <c r="AH897" s="90">
        <f t="shared" si="919"/>
        <v>0</v>
      </c>
      <c r="AI897" s="154" t="s">
        <v>61</v>
      </c>
      <c r="AJ897" s="90">
        <f t="shared" si="920"/>
        <v>0</v>
      </c>
      <c r="AK897" s="90">
        <f t="shared" si="921"/>
        <v>0</v>
      </c>
      <c r="AL897" s="90">
        <f t="shared" si="922"/>
        <v>0</v>
      </c>
      <c r="AN897" s="90">
        <v>15</v>
      </c>
      <c r="AO897" s="90">
        <f t="shared" si="923"/>
        <v>0</v>
      </c>
      <c r="AP897" s="90">
        <f t="shared" si="924"/>
        <v>740</v>
      </c>
      <c r="AQ897" s="91" t="s">
        <v>79</v>
      </c>
      <c r="AV897" s="90">
        <f t="shared" si="925"/>
        <v>0</v>
      </c>
      <c r="AW897" s="90">
        <f t="shared" si="926"/>
        <v>0</v>
      </c>
      <c r="AX897" s="90">
        <f t="shared" si="927"/>
        <v>0</v>
      </c>
      <c r="AY897" s="91" t="s">
        <v>649</v>
      </c>
      <c r="AZ897" s="91" t="s">
        <v>1643</v>
      </c>
      <c r="BA897" s="154" t="s">
        <v>1649</v>
      </c>
      <c r="BC897" s="90">
        <f t="shared" si="928"/>
        <v>0</v>
      </c>
      <c r="BD897" s="90">
        <f t="shared" si="929"/>
        <v>740</v>
      </c>
      <c r="BE897" s="90">
        <v>0</v>
      </c>
      <c r="BF897" s="90">
        <f t="shared" si="930"/>
        <v>0</v>
      </c>
      <c r="BH897" s="90">
        <f t="shared" si="931"/>
        <v>0</v>
      </c>
      <c r="BI897" s="90">
        <f t="shared" si="932"/>
        <v>0</v>
      </c>
      <c r="BJ897" s="90">
        <f t="shared" si="933"/>
        <v>0</v>
      </c>
    </row>
    <row r="898" spans="1:62" ht="12.75" hidden="1">
      <c r="A898" s="88" t="s">
        <v>2102</v>
      </c>
      <c r="B898" s="88" t="s">
        <v>61</v>
      </c>
      <c r="C898" s="88" t="s">
        <v>1142</v>
      </c>
      <c r="D898" s="88" t="s">
        <v>1640</v>
      </c>
      <c r="E898" s="88" t="s">
        <v>606</v>
      </c>
      <c r="F898" s="90"/>
      <c r="G898" s="90">
        <v>762</v>
      </c>
      <c r="H898" s="90">
        <f t="shared" si="908"/>
        <v>0</v>
      </c>
      <c r="I898" s="90">
        <f t="shared" si="909"/>
        <v>0</v>
      </c>
      <c r="J898" s="90">
        <f t="shared" si="910"/>
        <v>0</v>
      </c>
      <c r="K898" s="90">
        <v>0</v>
      </c>
      <c r="L898" s="90">
        <f t="shared" si="911"/>
        <v>0</v>
      </c>
      <c r="M898" s="91" t="s">
        <v>622</v>
      </c>
      <c r="O898" s="90"/>
      <c r="P898" s="90"/>
      <c r="Z898" s="90">
        <f t="shared" si="912"/>
        <v>0</v>
      </c>
      <c r="AB898" s="90">
        <f t="shared" si="913"/>
        <v>0</v>
      </c>
      <c r="AC898" s="90">
        <f t="shared" si="914"/>
        <v>0</v>
      </c>
      <c r="AD898" s="90">
        <f t="shared" si="915"/>
        <v>0</v>
      </c>
      <c r="AE898" s="90">
        <f t="shared" si="916"/>
        <v>0</v>
      </c>
      <c r="AF898" s="90">
        <f t="shared" si="917"/>
        <v>0</v>
      </c>
      <c r="AG898" s="90">
        <f t="shared" si="918"/>
        <v>0</v>
      </c>
      <c r="AH898" s="90">
        <f t="shared" si="919"/>
        <v>0</v>
      </c>
      <c r="AI898" s="154" t="s">
        <v>61</v>
      </c>
      <c r="AJ898" s="90">
        <f t="shared" si="920"/>
        <v>0</v>
      </c>
      <c r="AK898" s="90">
        <f t="shared" si="921"/>
        <v>0</v>
      </c>
      <c r="AL898" s="90">
        <f t="shared" si="922"/>
        <v>0</v>
      </c>
      <c r="AN898" s="90">
        <v>15</v>
      </c>
      <c r="AO898" s="90">
        <f t="shared" si="923"/>
        <v>0</v>
      </c>
      <c r="AP898" s="90">
        <f t="shared" si="924"/>
        <v>762</v>
      </c>
      <c r="AQ898" s="91" t="s">
        <v>79</v>
      </c>
      <c r="AV898" s="90">
        <f t="shared" si="925"/>
        <v>0</v>
      </c>
      <c r="AW898" s="90">
        <f t="shared" si="926"/>
        <v>0</v>
      </c>
      <c r="AX898" s="90">
        <f t="shared" si="927"/>
        <v>0</v>
      </c>
      <c r="AY898" s="91" t="s">
        <v>649</v>
      </c>
      <c r="AZ898" s="91" t="s">
        <v>1643</v>
      </c>
      <c r="BA898" s="154" t="s">
        <v>1649</v>
      </c>
      <c r="BC898" s="90">
        <f t="shared" si="928"/>
        <v>0</v>
      </c>
      <c r="BD898" s="90">
        <f t="shared" si="929"/>
        <v>762</v>
      </c>
      <c r="BE898" s="90">
        <v>0</v>
      </c>
      <c r="BF898" s="90">
        <f t="shared" si="930"/>
        <v>0</v>
      </c>
      <c r="BH898" s="90">
        <f t="shared" si="931"/>
        <v>0</v>
      </c>
      <c r="BI898" s="90">
        <f t="shared" si="932"/>
        <v>0</v>
      </c>
      <c r="BJ898" s="90">
        <f t="shared" si="933"/>
        <v>0</v>
      </c>
    </row>
    <row r="899" spans="1:62" ht="12.75" hidden="1">
      <c r="A899" s="88" t="s">
        <v>2103</v>
      </c>
      <c r="B899" s="88" t="s">
        <v>61</v>
      </c>
      <c r="C899" s="88" t="s">
        <v>391</v>
      </c>
      <c r="D899" s="88" t="s">
        <v>577</v>
      </c>
      <c r="E899" s="88" t="s">
        <v>614</v>
      </c>
      <c r="F899" s="90"/>
      <c r="G899" s="90">
        <v>400</v>
      </c>
      <c r="H899" s="90">
        <f t="shared" si="908"/>
        <v>0</v>
      </c>
      <c r="I899" s="90">
        <f t="shared" si="909"/>
        <v>0</v>
      </c>
      <c r="J899" s="90">
        <f t="shared" si="910"/>
        <v>0</v>
      </c>
      <c r="K899" s="90">
        <v>0</v>
      </c>
      <c r="L899" s="90">
        <f t="shared" si="911"/>
        <v>0</v>
      </c>
      <c r="M899" s="91" t="s">
        <v>622</v>
      </c>
      <c r="O899" s="90"/>
      <c r="P899" s="90"/>
      <c r="Z899" s="90">
        <f t="shared" si="912"/>
        <v>0</v>
      </c>
      <c r="AB899" s="90">
        <f t="shared" si="913"/>
        <v>0</v>
      </c>
      <c r="AC899" s="90">
        <f t="shared" si="914"/>
        <v>0</v>
      </c>
      <c r="AD899" s="90">
        <f t="shared" si="915"/>
        <v>0</v>
      </c>
      <c r="AE899" s="90">
        <f t="shared" si="916"/>
        <v>0</v>
      </c>
      <c r="AF899" s="90">
        <f t="shared" si="917"/>
        <v>0</v>
      </c>
      <c r="AG899" s="90">
        <f t="shared" si="918"/>
        <v>0</v>
      </c>
      <c r="AH899" s="90">
        <f t="shared" si="919"/>
        <v>0</v>
      </c>
      <c r="AI899" s="154" t="s">
        <v>61</v>
      </c>
      <c r="AJ899" s="90">
        <f t="shared" si="920"/>
        <v>0</v>
      </c>
      <c r="AK899" s="90">
        <f t="shared" si="921"/>
        <v>0</v>
      </c>
      <c r="AL899" s="90">
        <f t="shared" si="922"/>
        <v>0</v>
      </c>
      <c r="AN899" s="90">
        <v>15</v>
      </c>
      <c r="AO899" s="90">
        <f t="shared" si="923"/>
        <v>0</v>
      </c>
      <c r="AP899" s="90">
        <f t="shared" si="924"/>
        <v>400</v>
      </c>
      <c r="AQ899" s="91" t="s">
        <v>79</v>
      </c>
      <c r="AV899" s="90">
        <f t="shared" si="925"/>
        <v>0</v>
      </c>
      <c r="AW899" s="90">
        <f t="shared" si="926"/>
        <v>0</v>
      </c>
      <c r="AX899" s="90">
        <f t="shared" si="927"/>
        <v>0</v>
      </c>
      <c r="AY899" s="91" t="s">
        <v>649</v>
      </c>
      <c r="AZ899" s="91" t="s">
        <v>1643</v>
      </c>
      <c r="BA899" s="154" t="s">
        <v>1649</v>
      </c>
      <c r="BC899" s="90">
        <f t="shared" si="928"/>
        <v>0</v>
      </c>
      <c r="BD899" s="90">
        <f t="shared" si="929"/>
        <v>400</v>
      </c>
      <c r="BE899" s="90">
        <v>0</v>
      </c>
      <c r="BF899" s="90">
        <f t="shared" si="930"/>
        <v>0</v>
      </c>
      <c r="BH899" s="90">
        <f t="shared" si="931"/>
        <v>0</v>
      </c>
      <c r="BI899" s="90">
        <f t="shared" si="932"/>
        <v>0</v>
      </c>
      <c r="BJ899" s="90">
        <f t="shared" si="933"/>
        <v>0</v>
      </c>
    </row>
    <row r="900" spans="1:62" ht="12.75" hidden="1">
      <c r="A900" s="88" t="s">
        <v>2104</v>
      </c>
      <c r="B900" s="88" t="s">
        <v>61</v>
      </c>
      <c r="C900" s="88" t="s">
        <v>392</v>
      </c>
      <c r="D900" s="88" t="s">
        <v>578</v>
      </c>
      <c r="E900" s="88" t="s">
        <v>611</v>
      </c>
      <c r="F900" s="90"/>
      <c r="G900" s="90">
        <v>350</v>
      </c>
      <c r="H900" s="90">
        <f t="shared" si="908"/>
        <v>0</v>
      </c>
      <c r="I900" s="90">
        <f t="shared" si="909"/>
        <v>0</v>
      </c>
      <c r="J900" s="90">
        <f t="shared" si="910"/>
        <v>0</v>
      </c>
      <c r="K900" s="90">
        <v>0</v>
      </c>
      <c r="L900" s="90">
        <f t="shared" si="911"/>
        <v>0</v>
      </c>
      <c r="M900" s="91" t="s">
        <v>622</v>
      </c>
      <c r="O900" s="90"/>
      <c r="P900" s="90"/>
      <c r="Z900" s="90">
        <f t="shared" si="912"/>
        <v>0</v>
      </c>
      <c r="AB900" s="90">
        <f t="shared" si="913"/>
        <v>0</v>
      </c>
      <c r="AC900" s="90">
        <f t="shared" si="914"/>
        <v>0</v>
      </c>
      <c r="AD900" s="90">
        <f t="shared" si="915"/>
        <v>0</v>
      </c>
      <c r="AE900" s="90">
        <f t="shared" si="916"/>
        <v>0</v>
      </c>
      <c r="AF900" s="90">
        <f t="shared" si="917"/>
        <v>0</v>
      </c>
      <c r="AG900" s="90">
        <f t="shared" si="918"/>
        <v>0</v>
      </c>
      <c r="AH900" s="90">
        <f t="shared" si="919"/>
        <v>0</v>
      </c>
      <c r="AI900" s="154" t="s">
        <v>61</v>
      </c>
      <c r="AJ900" s="90">
        <f t="shared" si="920"/>
        <v>0</v>
      </c>
      <c r="AK900" s="90">
        <f t="shared" si="921"/>
        <v>0</v>
      </c>
      <c r="AL900" s="90">
        <f t="shared" si="922"/>
        <v>0</v>
      </c>
      <c r="AN900" s="90">
        <v>15</v>
      </c>
      <c r="AO900" s="90">
        <f t="shared" si="923"/>
        <v>0</v>
      </c>
      <c r="AP900" s="90">
        <f t="shared" si="924"/>
        <v>350</v>
      </c>
      <c r="AQ900" s="91" t="s">
        <v>79</v>
      </c>
      <c r="AV900" s="90">
        <f t="shared" si="925"/>
        <v>0</v>
      </c>
      <c r="AW900" s="90">
        <f t="shared" si="926"/>
        <v>0</v>
      </c>
      <c r="AX900" s="90">
        <f t="shared" si="927"/>
        <v>0</v>
      </c>
      <c r="AY900" s="91" t="s">
        <v>649</v>
      </c>
      <c r="AZ900" s="91" t="s">
        <v>1643</v>
      </c>
      <c r="BA900" s="154" t="s">
        <v>1649</v>
      </c>
      <c r="BC900" s="90">
        <f t="shared" si="928"/>
        <v>0</v>
      </c>
      <c r="BD900" s="90">
        <f t="shared" si="929"/>
        <v>350</v>
      </c>
      <c r="BE900" s="90">
        <v>0</v>
      </c>
      <c r="BF900" s="90">
        <f t="shared" si="930"/>
        <v>0</v>
      </c>
      <c r="BH900" s="90">
        <f t="shared" si="931"/>
        <v>0</v>
      </c>
      <c r="BI900" s="90">
        <f t="shared" si="932"/>
        <v>0</v>
      </c>
      <c r="BJ900" s="90">
        <f t="shared" si="933"/>
        <v>0</v>
      </c>
    </row>
    <row r="901" spans="1:62" ht="12.75" hidden="1">
      <c r="A901" s="88" t="s">
        <v>2105</v>
      </c>
      <c r="B901" s="88" t="s">
        <v>61</v>
      </c>
      <c r="C901" s="88" t="s">
        <v>393</v>
      </c>
      <c r="D901" s="88" t="s">
        <v>579</v>
      </c>
      <c r="E901" s="88" t="s">
        <v>609</v>
      </c>
      <c r="F901" s="90"/>
      <c r="G901" s="90">
        <v>10.2</v>
      </c>
      <c r="H901" s="90">
        <f t="shared" si="908"/>
        <v>0</v>
      </c>
      <c r="I901" s="90">
        <f t="shared" si="909"/>
        <v>0</v>
      </c>
      <c r="J901" s="90">
        <f t="shared" si="910"/>
        <v>0</v>
      </c>
      <c r="K901" s="90">
        <v>0</v>
      </c>
      <c r="L901" s="90">
        <f t="shared" si="911"/>
        <v>0</v>
      </c>
      <c r="M901" s="91" t="s">
        <v>622</v>
      </c>
      <c r="O901" s="90"/>
      <c r="P901" s="90"/>
      <c r="Z901" s="90">
        <f t="shared" si="912"/>
        <v>0</v>
      </c>
      <c r="AB901" s="90">
        <f t="shared" si="913"/>
        <v>0</v>
      </c>
      <c r="AC901" s="90">
        <f t="shared" si="914"/>
        <v>0</v>
      </c>
      <c r="AD901" s="90">
        <f t="shared" si="915"/>
        <v>0</v>
      </c>
      <c r="AE901" s="90">
        <f t="shared" si="916"/>
        <v>0</v>
      </c>
      <c r="AF901" s="90">
        <f t="shared" si="917"/>
        <v>0</v>
      </c>
      <c r="AG901" s="90">
        <f t="shared" si="918"/>
        <v>0</v>
      </c>
      <c r="AH901" s="90">
        <f t="shared" si="919"/>
        <v>0</v>
      </c>
      <c r="AI901" s="154" t="s">
        <v>61</v>
      </c>
      <c r="AJ901" s="90">
        <f t="shared" si="920"/>
        <v>0</v>
      </c>
      <c r="AK901" s="90">
        <f t="shared" si="921"/>
        <v>0</v>
      </c>
      <c r="AL901" s="90">
        <f t="shared" si="922"/>
        <v>0</v>
      </c>
      <c r="AN901" s="90">
        <v>15</v>
      </c>
      <c r="AO901" s="90">
        <f t="shared" si="923"/>
        <v>0</v>
      </c>
      <c r="AP901" s="90">
        <f t="shared" si="924"/>
        <v>10.2</v>
      </c>
      <c r="AQ901" s="91" t="s">
        <v>79</v>
      </c>
      <c r="AV901" s="90">
        <f t="shared" si="925"/>
        <v>0</v>
      </c>
      <c r="AW901" s="90">
        <f t="shared" si="926"/>
        <v>0</v>
      </c>
      <c r="AX901" s="90">
        <f t="shared" si="927"/>
        <v>0</v>
      </c>
      <c r="AY901" s="91" t="s">
        <v>649</v>
      </c>
      <c r="AZ901" s="91" t="s">
        <v>1643</v>
      </c>
      <c r="BA901" s="154" t="s">
        <v>1649</v>
      </c>
      <c r="BC901" s="90">
        <f t="shared" si="928"/>
        <v>0</v>
      </c>
      <c r="BD901" s="90">
        <f t="shared" si="929"/>
        <v>10.2</v>
      </c>
      <c r="BE901" s="90">
        <v>0</v>
      </c>
      <c r="BF901" s="90">
        <f t="shared" si="930"/>
        <v>0</v>
      </c>
      <c r="BH901" s="90">
        <f t="shared" si="931"/>
        <v>0</v>
      </c>
      <c r="BI901" s="90">
        <f t="shared" si="932"/>
        <v>0</v>
      </c>
      <c r="BJ901" s="90">
        <f t="shared" si="933"/>
        <v>0</v>
      </c>
    </row>
    <row r="902" spans="1:62" ht="12.75" hidden="1">
      <c r="A902" s="88" t="s">
        <v>2106</v>
      </c>
      <c r="B902" s="88" t="s">
        <v>61</v>
      </c>
      <c r="C902" s="88" t="s">
        <v>394</v>
      </c>
      <c r="D902" s="88" t="s">
        <v>580</v>
      </c>
      <c r="E902" s="88" t="s">
        <v>609</v>
      </c>
      <c r="F902" s="90"/>
      <c r="G902" s="90">
        <v>12.3</v>
      </c>
      <c r="H902" s="90">
        <f t="shared" si="908"/>
        <v>0</v>
      </c>
      <c r="I902" s="90">
        <f t="shared" si="909"/>
        <v>0</v>
      </c>
      <c r="J902" s="90">
        <f t="shared" si="910"/>
        <v>0</v>
      </c>
      <c r="K902" s="90">
        <v>0</v>
      </c>
      <c r="L902" s="90">
        <f t="shared" si="911"/>
        <v>0</v>
      </c>
      <c r="M902" s="91" t="s">
        <v>622</v>
      </c>
      <c r="O902" s="90"/>
      <c r="P902" s="90"/>
      <c r="Z902" s="90">
        <f t="shared" si="912"/>
        <v>0</v>
      </c>
      <c r="AB902" s="90">
        <f t="shared" si="913"/>
        <v>0</v>
      </c>
      <c r="AC902" s="90">
        <f t="shared" si="914"/>
        <v>0</v>
      </c>
      <c r="AD902" s="90">
        <f t="shared" si="915"/>
        <v>0</v>
      </c>
      <c r="AE902" s="90">
        <f t="shared" si="916"/>
        <v>0</v>
      </c>
      <c r="AF902" s="90">
        <f t="shared" si="917"/>
        <v>0</v>
      </c>
      <c r="AG902" s="90">
        <f t="shared" si="918"/>
        <v>0</v>
      </c>
      <c r="AH902" s="90">
        <f t="shared" si="919"/>
        <v>0</v>
      </c>
      <c r="AI902" s="154" t="s">
        <v>61</v>
      </c>
      <c r="AJ902" s="90">
        <f t="shared" si="920"/>
        <v>0</v>
      </c>
      <c r="AK902" s="90">
        <f t="shared" si="921"/>
        <v>0</v>
      </c>
      <c r="AL902" s="90">
        <f t="shared" si="922"/>
        <v>0</v>
      </c>
      <c r="AN902" s="90">
        <v>15</v>
      </c>
      <c r="AO902" s="90">
        <f t="shared" si="923"/>
        <v>0</v>
      </c>
      <c r="AP902" s="90">
        <f t="shared" si="924"/>
        <v>12.3</v>
      </c>
      <c r="AQ902" s="91" t="s">
        <v>79</v>
      </c>
      <c r="AV902" s="90">
        <f t="shared" si="925"/>
        <v>0</v>
      </c>
      <c r="AW902" s="90">
        <f t="shared" si="926"/>
        <v>0</v>
      </c>
      <c r="AX902" s="90">
        <f t="shared" si="927"/>
        <v>0</v>
      </c>
      <c r="AY902" s="91" t="s">
        <v>649</v>
      </c>
      <c r="AZ902" s="91" t="s">
        <v>1643</v>
      </c>
      <c r="BA902" s="154" t="s">
        <v>1649</v>
      </c>
      <c r="BC902" s="90">
        <f t="shared" si="928"/>
        <v>0</v>
      </c>
      <c r="BD902" s="90">
        <f t="shared" si="929"/>
        <v>12.3</v>
      </c>
      <c r="BE902" s="90">
        <v>0</v>
      </c>
      <c r="BF902" s="90">
        <f t="shared" si="930"/>
        <v>0</v>
      </c>
      <c r="BH902" s="90">
        <f t="shared" si="931"/>
        <v>0</v>
      </c>
      <c r="BI902" s="90">
        <f t="shared" si="932"/>
        <v>0</v>
      </c>
      <c r="BJ902" s="90">
        <f t="shared" si="933"/>
        <v>0</v>
      </c>
    </row>
    <row r="903" spans="1:62" ht="12.75" hidden="1">
      <c r="A903" s="88" t="s">
        <v>2107</v>
      </c>
      <c r="B903" s="88" t="s">
        <v>61</v>
      </c>
      <c r="C903" s="88" t="s">
        <v>395</v>
      </c>
      <c r="D903" s="88" t="s">
        <v>581</v>
      </c>
      <c r="E903" s="88" t="s">
        <v>606</v>
      </c>
      <c r="F903" s="90"/>
      <c r="G903" s="90">
        <v>55.9</v>
      </c>
      <c r="H903" s="90">
        <f t="shared" si="908"/>
        <v>0</v>
      </c>
      <c r="I903" s="90">
        <f t="shared" si="909"/>
        <v>0</v>
      </c>
      <c r="J903" s="90">
        <f t="shared" si="910"/>
        <v>0</v>
      </c>
      <c r="K903" s="90">
        <v>0</v>
      </c>
      <c r="L903" s="90">
        <f t="shared" si="911"/>
        <v>0</v>
      </c>
      <c r="M903" s="91" t="s">
        <v>622</v>
      </c>
      <c r="O903" s="90"/>
      <c r="P903" s="90"/>
      <c r="Z903" s="90">
        <f t="shared" si="912"/>
        <v>0</v>
      </c>
      <c r="AB903" s="90">
        <f t="shared" si="913"/>
        <v>0</v>
      </c>
      <c r="AC903" s="90">
        <f t="shared" si="914"/>
        <v>0</v>
      </c>
      <c r="AD903" s="90">
        <f t="shared" si="915"/>
        <v>0</v>
      </c>
      <c r="AE903" s="90">
        <f t="shared" si="916"/>
        <v>0</v>
      </c>
      <c r="AF903" s="90">
        <f t="shared" si="917"/>
        <v>0</v>
      </c>
      <c r="AG903" s="90">
        <f t="shared" si="918"/>
        <v>0</v>
      </c>
      <c r="AH903" s="90">
        <f t="shared" si="919"/>
        <v>0</v>
      </c>
      <c r="AI903" s="154" t="s">
        <v>61</v>
      </c>
      <c r="AJ903" s="90">
        <f t="shared" si="920"/>
        <v>0</v>
      </c>
      <c r="AK903" s="90">
        <f t="shared" si="921"/>
        <v>0</v>
      </c>
      <c r="AL903" s="90">
        <f t="shared" si="922"/>
        <v>0</v>
      </c>
      <c r="AN903" s="90">
        <v>15</v>
      </c>
      <c r="AO903" s="90">
        <f t="shared" si="923"/>
        <v>0</v>
      </c>
      <c r="AP903" s="90">
        <f t="shared" si="924"/>
        <v>55.9</v>
      </c>
      <c r="AQ903" s="91" t="s">
        <v>79</v>
      </c>
      <c r="AV903" s="90">
        <f t="shared" si="925"/>
        <v>0</v>
      </c>
      <c r="AW903" s="90">
        <f t="shared" si="926"/>
        <v>0</v>
      </c>
      <c r="AX903" s="90">
        <f t="shared" si="927"/>
        <v>0</v>
      </c>
      <c r="AY903" s="91" t="s">
        <v>649</v>
      </c>
      <c r="AZ903" s="91" t="s">
        <v>1643</v>
      </c>
      <c r="BA903" s="154" t="s">
        <v>1649</v>
      </c>
      <c r="BC903" s="90">
        <f t="shared" si="928"/>
        <v>0</v>
      </c>
      <c r="BD903" s="90">
        <f t="shared" si="929"/>
        <v>55.89999999999999</v>
      </c>
      <c r="BE903" s="90">
        <v>0</v>
      </c>
      <c r="BF903" s="90">
        <f t="shared" si="930"/>
        <v>0</v>
      </c>
      <c r="BH903" s="90">
        <f t="shared" si="931"/>
        <v>0</v>
      </c>
      <c r="BI903" s="90">
        <f t="shared" si="932"/>
        <v>0</v>
      </c>
      <c r="BJ903" s="90">
        <f t="shared" si="933"/>
        <v>0</v>
      </c>
    </row>
    <row r="904" spans="1:62" ht="12.75" hidden="1">
      <c r="A904" s="88" t="s">
        <v>2108</v>
      </c>
      <c r="B904" s="88" t="s">
        <v>61</v>
      </c>
      <c r="C904" s="88" t="s">
        <v>396</v>
      </c>
      <c r="D904" s="88" t="s">
        <v>582</v>
      </c>
      <c r="E904" s="88" t="s">
        <v>606</v>
      </c>
      <c r="F904" s="90"/>
      <c r="G904" s="90">
        <v>26.3</v>
      </c>
      <c r="H904" s="90">
        <f t="shared" si="908"/>
        <v>0</v>
      </c>
      <c r="I904" s="90">
        <f t="shared" si="909"/>
        <v>0</v>
      </c>
      <c r="J904" s="90">
        <f t="shared" si="910"/>
        <v>0</v>
      </c>
      <c r="K904" s="90">
        <v>0</v>
      </c>
      <c r="L904" s="90">
        <f t="shared" si="911"/>
        <v>0</v>
      </c>
      <c r="M904" s="91" t="s">
        <v>622</v>
      </c>
      <c r="O904" s="90"/>
      <c r="P904" s="90"/>
      <c r="Z904" s="90">
        <f t="shared" si="912"/>
        <v>0</v>
      </c>
      <c r="AB904" s="90">
        <f t="shared" si="913"/>
        <v>0</v>
      </c>
      <c r="AC904" s="90">
        <f t="shared" si="914"/>
        <v>0</v>
      </c>
      <c r="AD904" s="90">
        <f t="shared" si="915"/>
        <v>0</v>
      </c>
      <c r="AE904" s="90">
        <f t="shared" si="916"/>
        <v>0</v>
      </c>
      <c r="AF904" s="90">
        <f t="shared" si="917"/>
        <v>0</v>
      </c>
      <c r="AG904" s="90">
        <f t="shared" si="918"/>
        <v>0</v>
      </c>
      <c r="AH904" s="90">
        <f t="shared" si="919"/>
        <v>0</v>
      </c>
      <c r="AI904" s="154" t="s">
        <v>61</v>
      </c>
      <c r="AJ904" s="90">
        <f t="shared" si="920"/>
        <v>0</v>
      </c>
      <c r="AK904" s="90">
        <f t="shared" si="921"/>
        <v>0</v>
      </c>
      <c r="AL904" s="90">
        <f t="shared" si="922"/>
        <v>0</v>
      </c>
      <c r="AN904" s="90">
        <v>15</v>
      </c>
      <c r="AO904" s="90">
        <f t="shared" si="923"/>
        <v>0</v>
      </c>
      <c r="AP904" s="90">
        <f t="shared" si="924"/>
        <v>26.3</v>
      </c>
      <c r="AQ904" s="91" t="s">
        <v>79</v>
      </c>
      <c r="AV904" s="90">
        <f t="shared" si="925"/>
        <v>0</v>
      </c>
      <c r="AW904" s="90">
        <f t="shared" si="926"/>
        <v>0</v>
      </c>
      <c r="AX904" s="90">
        <f t="shared" si="927"/>
        <v>0</v>
      </c>
      <c r="AY904" s="91" t="s">
        <v>649</v>
      </c>
      <c r="AZ904" s="91" t="s">
        <v>1643</v>
      </c>
      <c r="BA904" s="154" t="s">
        <v>1649</v>
      </c>
      <c r="BC904" s="90">
        <f t="shared" si="928"/>
        <v>0</v>
      </c>
      <c r="BD904" s="90">
        <f t="shared" si="929"/>
        <v>26.3</v>
      </c>
      <c r="BE904" s="90">
        <v>0</v>
      </c>
      <c r="BF904" s="90">
        <f t="shared" si="930"/>
        <v>0</v>
      </c>
      <c r="BH904" s="90">
        <f t="shared" si="931"/>
        <v>0</v>
      </c>
      <c r="BI904" s="90">
        <f t="shared" si="932"/>
        <v>0</v>
      </c>
      <c r="BJ904" s="90">
        <f t="shared" si="933"/>
        <v>0</v>
      </c>
    </row>
    <row r="905" spans="1:62" ht="12.75" hidden="1">
      <c r="A905" s="88" t="s">
        <v>2109</v>
      </c>
      <c r="B905" s="88" t="s">
        <v>61</v>
      </c>
      <c r="C905" s="88" t="s">
        <v>397</v>
      </c>
      <c r="D905" s="88" t="s">
        <v>583</v>
      </c>
      <c r="E905" s="88" t="s">
        <v>609</v>
      </c>
      <c r="F905" s="90"/>
      <c r="G905" s="90">
        <v>17.9</v>
      </c>
      <c r="H905" s="90">
        <f t="shared" si="908"/>
        <v>0</v>
      </c>
      <c r="I905" s="90">
        <f t="shared" si="909"/>
        <v>0</v>
      </c>
      <c r="J905" s="90">
        <f t="shared" si="910"/>
        <v>0</v>
      </c>
      <c r="K905" s="90">
        <v>0</v>
      </c>
      <c r="L905" s="90">
        <f t="shared" si="911"/>
        <v>0</v>
      </c>
      <c r="M905" s="91" t="s">
        <v>622</v>
      </c>
      <c r="O905" s="90"/>
      <c r="P905" s="90"/>
      <c r="Z905" s="90">
        <f t="shared" si="912"/>
        <v>0</v>
      </c>
      <c r="AB905" s="90">
        <f t="shared" si="913"/>
        <v>0</v>
      </c>
      <c r="AC905" s="90">
        <f t="shared" si="914"/>
        <v>0</v>
      </c>
      <c r="AD905" s="90">
        <f t="shared" si="915"/>
        <v>0</v>
      </c>
      <c r="AE905" s="90">
        <f t="shared" si="916"/>
        <v>0</v>
      </c>
      <c r="AF905" s="90">
        <f t="shared" si="917"/>
        <v>0</v>
      </c>
      <c r="AG905" s="90">
        <f t="shared" si="918"/>
        <v>0</v>
      </c>
      <c r="AH905" s="90">
        <f t="shared" si="919"/>
        <v>0</v>
      </c>
      <c r="AI905" s="154" t="s">
        <v>61</v>
      </c>
      <c r="AJ905" s="90">
        <f t="shared" si="920"/>
        <v>0</v>
      </c>
      <c r="AK905" s="90">
        <f t="shared" si="921"/>
        <v>0</v>
      </c>
      <c r="AL905" s="90">
        <f t="shared" si="922"/>
        <v>0</v>
      </c>
      <c r="AN905" s="90">
        <v>15</v>
      </c>
      <c r="AO905" s="90">
        <f t="shared" si="923"/>
        <v>0</v>
      </c>
      <c r="AP905" s="90">
        <f t="shared" si="924"/>
        <v>17.9</v>
      </c>
      <c r="AQ905" s="91" t="s">
        <v>79</v>
      </c>
      <c r="AV905" s="90">
        <f t="shared" si="925"/>
        <v>0</v>
      </c>
      <c r="AW905" s="90">
        <f t="shared" si="926"/>
        <v>0</v>
      </c>
      <c r="AX905" s="90">
        <f t="shared" si="927"/>
        <v>0</v>
      </c>
      <c r="AY905" s="91" t="s">
        <v>649</v>
      </c>
      <c r="AZ905" s="91" t="s">
        <v>1643</v>
      </c>
      <c r="BA905" s="154" t="s">
        <v>1649</v>
      </c>
      <c r="BC905" s="90">
        <f t="shared" si="928"/>
        <v>0</v>
      </c>
      <c r="BD905" s="90">
        <f t="shared" si="929"/>
        <v>17.9</v>
      </c>
      <c r="BE905" s="90">
        <v>0</v>
      </c>
      <c r="BF905" s="90">
        <f t="shared" si="930"/>
        <v>0</v>
      </c>
      <c r="BH905" s="90">
        <f t="shared" si="931"/>
        <v>0</v>
      </c>
      <c r="BI905" s="90">
        <f t="shared" si="932"/>
        <v>0</v>
      </c>
      <c r="BJ905" s="90">
        <f t="shared" si="933"/>
        <v>0</v>
      </c>
    </row>
    <row r="906" spans="1:62" ht="12.75" hidden="1">
      <c r="A906" s="88" t="s">
        <v>2110</v>
      </c>
      <c r="B906" s="88" t="s">
        <v>61</v>
      </c>
      <c r="C906" s="88" t="s">
        <v>398</v>
      </c>
      <c r="D906" s="88" t="s">
        <v>584</v>
      </c>
      <c r="E906" s="88" t="s">
        <v>609</v>
      </c>
      <c r="F906" s="90"/>
      <c r="G906" s="90">
        <v>15.9</v>
      </c>
      <c r="H906" s="90">
        <f t="shared" si="908"/>
        <v>0</v>
      </c>
      <c r="I906" s="90">
        <f t="shared" si="909"/>
        <v>0</v>
      </c>
      <c r="J906" s="90">
        <f t="shared" si="910"/>
        <v>0</v>
      </c>
      <c r="K906" s="90">
        <v>0</v>
      </c>
      <c r="L906" s="90">
        <f t="shared" si="911"/>
        <v>0</v>
      </c>
      <c r="M906" s="91" t="s">
        <v>622</v>
      </c>
      <c r="O906" s="90"/>
      <c r="P906" s="90"/>
      <c r="Z906" s="90">
        <f t="shared" si="912"/>
        <v>0</v>
      </c>
      <c r="AB906" s="90">
        <f t="shared" si="913"/>
        <v>0</v>
      </c>
      <c r="AC906" s="90">
        <f t="shared" si="914"/>
        <v>0</v>
      </c>
      <c r="AD906" s="90">
        <f t="shared" si="915"/>
        <v>0</v>
      </c>
      <c r="AE906" s="90">
        <f t="shared" si="916"/>
        <v>0</v>
      </c>
      <c r="AF906" s="90">
        <f t="shared" si="917"/>
        <v>0</v>
      </c>
      <c r="AG906" s="90">
        <f t="shared" si="918"/>
        <v>0</v>
      </c>
      <c r="AH906" s="90">
        <f t="shared" si="919"/>
        <v>0</v>
      </c>
      <c r="AI906" s="154" t="s">
        <v>61</v>
      </c>
      <c r="AJ906" s="90">
        <f t="shared" si="920"/>
        <v>0</v>
      </c>
      <c r="AK906" s="90">
        <f t="shared" si="921"/>
        <v>0</v>
      </c>
      <c r="AL906" s="90">
        <f t="shared" si="922"/>
        <v>0</v>
      </c>
      <c r="AN906" s="90">
        <v>15</v>
      </c>
      <c r="AO906" s="90">
        <f t="shared" si="923"/>
        <v>0</v>
      </c>
      <c r="AP906" s="90">
        <f t="shared" si="924"/>
        <v>15.9</v>
      </c>
      <c r="AQ906" s="91" t="s">
        <v>79</v>
      </c>
      <c r="AV906" s="90">
        <f t="shared" si="925"/>
        <v>0</v>
      </c>
      <c r="AW906" s="90">
        <f t="shared" si="926"/>
        <v>0</v>
      </c>
      <c r="AX906" s="90">
        <f t="shared" si="927"/>
        <v>0</v>
      </c>
      <c r="AY906" s="91" t="s">
        <v>649</v>
      </c>
      <c r="AZ906" s="91" t="s">
        <v>1643</v>
      </c>
      <c r="BA906" s="154" t="s">
        <v>1649</v>
      </c>
      <c r="BC906" s="90">
        <f t="shared" si="928"/>
        <v>0</v>
      </c>
      <c r="BD906" s="90">
        <f t="shared" si="929"/>
        <v>15.9</v>
      </c>
      <c r="BE906" s="90">
        <v>0</v>
      </c>
      <c r="BF906" s="90">
        <f t="shared" si="930"/>
        <v>0</v>
      </c>
      <c r="BH906" s="90">
        <f t="shared" si="931"/>
        <v>0</v>
      </c>
      <c r="BI906" s="90">
        <f t="shared" si="932"/>
        <v>0</v>
      </c>
      <c r="BJ906" s="90">
        <f t="shared" si="933"/>
        <v>0</v>
      </c>
    </row>
    <row r="907" spans="1:62" ht="12.75" hidden="1">
      <c r="A907" s="88" t="s">
        <v>2111</v>
      </c>
      <c r="B907" s="88" t="s">
        <v>61</v>
      </c>
      <c r="C907" s="88" t="s">
        <v>1159</v>
      </c>
      <c r="D907" s="88" t="s">
        <v>1468</v>
      </c>
      <c r="E907" s="88" t="s">
        <v>609</v>
      </c>
      <c r="F907" s="90"/>
      <c r="G907" s="90">
        <v>19.6</v>
      </c>
      <c r="H907" s="90">
        <f t="shared" si="908"/>
        <v>0</v>
      </c>
      <c r="I907" s="90">
        <f t="shared" si="909"/>
        <v>0</v>
      </c>
      <c r="J907" s="90">
        <f t="shared" si="910"/>
        <v>0</v>
      </c>
      <c r="K907" s="90">
        <v>0</v>
      </c>
      <c r="L907" s="90">
        <f t="shared" si="911"/>
        <v>0</v>
      </c>
      <c r="M907" s="91" t="s">
        <v>622</v>
      </c>
      <c r="O907" s="90"/>
      <c r="P907" s="90"/>
      <c r="Z907" s="90">
        <f t="shared" si="912"/>
        <v>0</v>
      </c>
      <c r="AB907" s="90">
        <f t="shared" si="913"/>
        <v>0</v>
      </c>
      <c r="AC907" s="90">
        <f t="shared" si="914"/>
        <v>0</v>
      </c>
      <c r="AD907" s="90">
        <f t="shared" si="915"/>
        <v>0</v>
      </c>
      <c r="AE907" s="90">
        <f t="shared" si="916"/>
        <v>0</v>
      </c>
      <c r="AF907" s="90">
        <f t="shared" si="917"/>
        <v>0</v>
      </c>
      <c r="AG907" s="90">
        <f t="shared" si="918"/>
        <v>0</v>
      </c>
      <c r="AH907" s="90">
        <f t="shared" si="919"/>
        <v>0</v>
      </c>
      <c r="AI907" s="154" t="s">
        <v>61</v>
      </c>
      <c r="AJ907" s="90">
        <f t="shared" si="920"/>
        <v>0</v>
      </c>
      <c r="AK907" s="90">
        <f t="shared" si="921"/>
        <v>0</v>
      </c>
      <c r="AL907" s="90">
        <f t="shared" si="922"/>
        <v>0</v>
      </c>
      <c r="AN907" s="90">
        <v>15</v>
      </c>
      <c r="AO907" s="90">
        <f t="shared" si="923"/>
        <v>0</v>
      </c>
      <c r="AP907" s="90">
        <f t="shared" si="924"/>
        <v>19.6</v>
      </c>
      <c r="AQ907" s="91" t="s">
        <v>79</v>
      </c>
      <c r="AV907" s="90">
        <f t="shared" si="925"/>
        <v>0</v>
      </c>
      <c r="AW907" s="90">
        <f t="shared" si="926"/>
        <v>0</v>
      </c>
      <c r="AX907" s="90">
        <f t="shared" si="927"/>
        <v>0</v>
      </c>
      <c r="AY907" s="91" t="s">
        <v>649</v>
      </c>
      <c r="AZ907" s="91" t="s">
        <v>1643</v>
      </c>
      <c r="BA907" s="154" t="s">
        <v>1649</v>
      </c>
      <c r="BC907" s="90">
        <f t="shared" si="928"/>
        <v>0</v>
      </c>
      <c r="BD907" s="90">
        <f t="shared" si="929"/>
        <v>19.6</v>
      </c>
      <c r="BE907" s="90">
        <v>0</v>
      </c>
      <c r="BF907" s="90">
        <f t="shared" si="930"/>
        <v>0</v>
      </c>
      <c r="BH907" s="90">
        <f t="shared" si="931"/>
        <v>0</v>
      </c>
      <c r="BI907" s="90">
        <f t="shared" si="932"/>
        <v>0</v>
      </c>
      <c r="BJ907" s="90">
        <f t="shared" si="933"/>
        <v>0</v>
      </c>
    </row>
    <row r="908" spans="1:62" ht="12.75" hidden="1">
      <c r="A908" s="88" t="s">
        <v>2112</v>
      </c>
      <c r="B908" s="88" t="s">
        <v>61</v>
      </c>
      <c r="C908" s="88" t="s">
        <v>1161</v>
      </c>
      <c r="D908" s="88" t="s">
        <v>1470</v>
      </c>
      <c r="E908" s="88" t="s">
        <v>609</v>
      </c>
      <c r="F908" s="90"/>
      <c r="G908" s="90">
        <v>18.6</v>
      </c>
      <c r="H908" s="90">
        <f t="shared" si="908"/>
        <v>0</v>
      </c>
      <c r="I908" s="90">
        <f t="shared" si="909"/>
        <v>0</v>
      </c>
      <c r="J908" s="90">
        <f t="shared" si="910"/>
        <v>0</v>
      </c>
      <c r="K908" s="90">
        <v>0</v>
      </c>
      <c r="L908" s="90">
        <f t="shared" si="911"/>
        <v>0</v>
      </c>
      <c r="M908" s="91" t="s">
        <v>622</v>
      </c>
      <c r="O908" s="90"/>
      <c r="P908" s="90"/>
      <c r="Z908" s="90">
        <f t="shared" si="912"/>
        <v>0</v>
      </c>
      <c r="AB908" s="90">
        <f t="shared" si="913"/>
        <v>0</v>
      </c>
      <c r="AC908" s="90">
        <f t="shared" si="914"/>
        <v>0</v>
      </c>
      <c r="AD908" s="90">
        <f t="shared" si="915"/>
        <v>0</v>
      </c>
      <c r="AE908" s="90">
        <f t="shared" si="916"/>
        <v>0</v>
      </c>
      <c r="AF908" s="90">
        <f t="shared" si="917"/>
        <v>0</v>
      </c>
      <c r="AG908" s="90">
        <f t="shared" si="918"/>
        <v>0</v>
      </c>
      <c r="AH908" s="90">
        <f t="shared" si="919"/>
        <v>0</v>
      </c>
      <c r="AI908" s="154" t="s">
        <v>61</v>
      </c>
      <c r="AJ908" s="90">
        <f t="shared" si="920"/>
        <v>0</v>
      </c>
      <c r="AK908" s="90">
        <f t="shared" si="921"/>
        <v>0</v>
      </c>
      <c r="AL908" s="90">
        <f t="shared" si="922"/>
        <v>0</v>
      </c>
      <c r="AN908" s="90">
        <v>15</v>
      </c>
      <c r="AO908" s="90">
        <f t="shared" si="923"/>
        <v>0</v>
      </c>
      <c r="AP908" s="90">
        <f t="shared" si="924"/>
        <v>18.6</v>
      </c>
      <c r="AQ908" s="91" t="s">
        <v>79</v>
      </c>
      <c r="AV908" s="90">
        <f t="shared" si="925"/>
        <v>0</v>
      </c>
      <c r="AW908" s="90">
        <f t="shared" si="926"/>
        <v>0</v>
      </c>
      <c r="AX908" s="90">
        <f t="shared" si="927"/>
        <v>0</v>
      </c>
      <c r="AY908" s="91" t="s">
        <v>649</v>
      </c>
      <c r="AZ908" s="91" t="s">
        <v>1643</v>
      </c>
      <c r="BA908" s="154" t="s">
        <v>1649</v>
      </c>
      <c r="BC908" s="90">
        <f t="shared" si="928"/>
        <v>0</v>
      </c>
      <c r="BD908" s="90">
        <f t="shared" si="929"/>
        <v>18.6</v>
      </c>
      <c r="BE908" s="90">
        <v>0</v>
      </c>
      <c r="BF908" s="90">
        <f t="shared" si="930"/>
        <v>0</v>
      </c>
      <c r="BH908" s="90">
        <f t="shared" si="931"/>
        <v>0</v>
      </c>
      <c r="BI908" s="90">
        <f t="shared" si="932"/>
        <v>0</v>
      </c>
      <c r="BJ908" s="90">
        <f t="shared" si="933"/>
        <v>0</v>
      </c>
    </row>
    <row r="909" spans="1:62" ht="12.75" hidden="1">
      <c r="A909" s="88" t="s">
        <v>2113</v>
      </c>
      <c r="B909" s="88" t="s">
        <v>61</v>
      </c>
      <c r="C909" s="88" t="s">
        <v>399</v>
      </c>
      <c r="D909" s="88" t="s">
        <v>585</v>
      </c>
      <c r="E909" s="88" t="s">
        <v>606</v>
      </c>
      <c r="F909" s="90"/>
      <c r="G909" s="90">
        <v>16</v>
      </c>
      <c r="H909" s="90">
        <f t="shared" si="908"/>
        <v>0</v>
      </c>
      <c r="I909" s="90">
        <f t="shared" si="909"/>
        <v>0</v>
      </c>
      <c r="J909" s="90">
        <f t="shared" si="910"/>
        <v>0</v>
      </c>
      <c r="K909" s="90">
        <v>0</v>
      </c>
      <c r="L909" s="90">
        <f t="shared" si="911"/>
        <v>0</v>
      </c>
      <c r="M909" s="91" t="s">
        <v>622</v>
      </c>
      <c r="O909" s="90"/>
      <c r="P909" s="90"/>
      <c r="Z909" s="90">
        <f t="shared" si="912"/>
        <v>0</v>
      </c>
      <c r="AB909" s="90">
        <f t="shared" si="913"/>
        <v>0</v>
      </c>
      <c r="AC909" s="90">
        <f t="shared" si="914"/>
        <v>0</v>
      </c>
      <c r="AD909" s="90">
        <f t="shared" si="915"/>
        <v>0</v>
      </c>
      <c r="AE909" s="90">
        <f t="shared" si="916"/>
        <v>0</v>
      </c>
      <c r="AF909" s="90">
        <f t="shared" si="917"/>
        <v>0</v>
      </c>
      <c r="AG909" s="90">
        <f t="shared" si="918"/>
        <v>0</v>
      </c>
      <c r="AH909" s="90">
        <f t="shared" si="919"/>
        <v>0</v>
      </c>
      <c r="AI909" s="154" t="s">
        <v>61</v>
      </c>
      <c r="AJ909" s="90">
        <f t="shared" si="920"/>
        <v>0</v>
      </c>
      <c r="AK909" s="90">
        <f t="shared" si="921"/>
        <v>0</v>
      </c>
      <c r="AL909" s="90">
        <f t="shared" si="922"/>
        <v>0</v>
      </c>
      <c r="AN909" s="90">
        <v>15</v>
      </c>
      <c r="AO909" s="90">
        <f t="shared" si="923"/>
        <v>0</v>
      </c>
      <c r="AP909" s="90">
        <f t="shared" si="924"/>
        <v>16</v>
      </c>
      <c r="AQ909" s="91" t="s">
        <v>79</v>
      </c>
      <c r="AV909" s="90">
        <f t="shared" si="925"/>
        <v>0</v>
      </c>
      <c r="AW909" s="90">
        <f t="shared" si="926"/>
        <v>0</v>
      </c>
      <c r="AX909" s="90">
        <f t="shared" si="927"/>
        <v>0</v>
      </c>
      <c r="AY909" s="91" t="s">
        <v>649</v>
      </c>
      <c r="AZ909" s="91" t="s">
        <v>1643</v>
      </c>
      <c r="BA909" s="154" t="s">
        <v>1649</v>
      </c>
      <c r="BC909" s="90">
        <f t="shared" si="928"/>
        <v>0</v>
      </c>
      <c r="BD909" s="90">
        <f t="shared" si="929"/>
        <v>16</v>
      </c>
      <c r="BE909" s="90">
        <v>0</v>
      </c>
      <c r="BF909" s="90">
        <f t="shared" si="930"/>
        <v>0</v>
      </c>
      <c r="BH909" s="90">
        <f t="shared" si="931"/>
        <v>0</v>
      </c>
      <c r="BI909" s="90">
        <f t="shared" si="932"/>
        <v>0</v>
      </c>
      <c r="BJ909" s="90">
        <f t="shared" si="933"/>
        <v>0</v>
      </c>
    </row>
    <row r="910" spans="1:62" ht="12.75" hidden="1">
      <c r="A910" s="88" t="s">
        <v>2114</v>
      </c>
      <c r="B910" s="88" t="s">
        <v>61</v>
      </c>
      <c r="C910" s="88" t="s">
        <v>400</v>
      </c>
      <c r="D910" s="88" t="s">
        <v>586</v>
      </c>
      <c r="E910" s="88" t="s">
        <v>606</v>
      </c>
      <c r="F910" s="90"/>
      <c r="G910" s="90">
        <v>9.5</v>
      </c>
      <c r="H910" s="90">
        <f t="shared" si="908"/>
        <v>0</v>
      </c>
      <c r="I910" s="90">
        <f t="shared" si="909"/>
        <v>0</v>
      </c>
      <c r="J910" s="90">
        <f t="shared" si="910"/>
        <v>0</v>
      </c>
      <c r="K910" s="90">
        <v>0</v>
      </c>
      <c r="L910" s="90">
        <f t="shared" si="911"/>
        <v>0</v>
      </c>
      <c r="M910" s="91" t="s">
        <v>622</v>
      </c>
      <c r="O910" s="90"/>
      <c r="P910" s="90"/>
      <c r="Z910" s="90">
        <f t="shared" si="912"/>
        <v>0</v>
      </c>
      <c r="AB910" s="90">
        <f t="shared" si="913"/>
        <v>0</v>
      </c>
      <c r="AC910" s="90">
        <f t="shared" si="914"/>
        <v>0</v>
      </c>
      <c r="AD910" s="90">
        <f t="shared" si="915"/>
        <v>0</v>
      </c>
      <c r="AE910" s="90">
        <f t="shared" si="916"/>
        <v>0</v>
      </c>
      <c r="AF910" s="90">
        <f t="shared" si="917"/>
        <v>0</v>
      </c>
      <c r="AG910" s="90">
        <f t="shared" si="918"/>
        <v>0</v>
      </c>
      <c r="AH910" s="90">
        <f t="shared" si="919"/>
        <v>0</v>
      </c>
      <c r="AI910" s="154" t="s">
        <v>61</v>
      </c>
      <c r="AJ910" s="90">
        <f t="shared" si="920"/>
        <v>0</v>
      </c>
      <c r="AK910" s="90">
        <f t="shared" si="921"/>
        <v>0</v>
      </c>
      <c r="AL910" s="90">
        <f t="shared" si="922"/>
        <v>0</v>
      </c>
      <c r="AN910" s="90">
        <v>15</v>
      </c>
      <c r="AO910" s="90">
        <f t="shared" si="923"/>
        <v>0</v>
      </c>
      <c r="AP910" s="90">
        <f t="shared" si="924"/>
        <v>9.5</v>
      </c>
      <c r="AQ910" s="91" t="s">
        <v>79</v>
      </c>
      <c r="AV910" s="90">
        <f t="shared" si="925"/>
        <v>0</v>
      </c>
      <c r="AW910" s="90">
        <f t="shared" si="926"/>
        <v>0</v>
      </c>
      <c r="AX910" s="90">
        <f t="shared" si="927"/>
        <v>0</v>
      </c>
      <c r="AY910" s="91" t="s">
        <v>649</v>
      </c>
      <c r="AZ910" s="91" t="s">
        <v>1643</v>
      </c>
      <c r="BA910" s="154" t="s">
        <v>1649</v>
      </c>
      <c r="BC910" s="90">
        <f t="shared" si="928"/>
        <v>0</v>
      </c>
      <c r="BD910" s="90">
        <f t="shared" si="929"/>
        <v>9.5</v>
      </c>
      <c r="BE910" s="90">
        <v>0</v>
      </c>
      <c r="BF910" s="90">
        <f t="shared" si="930"/>
        <v>0</v>
      </c>
      <c r="BH910" s="90">
        <f t="shared" si="931"/>
        <v>0</v>
      </c>
      <c r="BI910" s="90">
        <f t="shared" si="932"/>
        <v>0</v>
      </c>
      <c r="BJ910" s="90">
        <f t="shared" si="933"/>
        <v>0</v>
      </c>
    </row>
    <row r="911" spans="1:62" ht="12.75" hidden="1">
      <c r="A911" s="88" t="s">
        <v>2115</v>
      </c>
      <c r="B911" s="88" t="s">
        <v>61</v>
      </c>
      <c r="C911" s="88" t="s">
        <v>401</v>
      </c>
      <c r="D911" s="88" t="s">
        <v>587</v>
      </c>
      <c r="E911" s="88" t="s">
        <v>606</v>
      </c>
      <c r="F911" s="90"/>
      <c r="G911" s="90">
        <v>6.5</v>
      </c>
      <c r="H911" s="90">
        <f t="shared" si="908"/>
        <v>0</v>
      </c>
      <c r="I911" s="90">
        <f t="shared" si="909"/>
        <v>0</v>
      </c>
      <c r="J911" s="90">
        <f t="shared" si="910"/>
        <v>0</v>
      </c>
      <c r="K911" s="90">
        <v>0</v>
      </c>
      <c r="L911" s="90">
        <f t="shared" si="911"/>
        <v>0</v>
      </c>
      <c r="M911" s="91" t="s">
        <v>622</v>
      </c>
      <c r="O911" s="90"/>
      <c r="P911" s="90"/>
      <c r="Z911" s="90">
        <f t="shared" si="912"/>
        <v>0</v>
      </c>
      <c r="AB911" s="90">
        <f t="shared" si="913"/>
        <v>0</v>
      </c>
      <c r="AC911" s="90">
        <f t="shared" si="914"/>
        <v>0</v>
      </c>
      <c r="AD911" s="90">
        <f t="shared" si="915"/>
        <v>0</v>
      </c>
      <c r="AE911" s="90">
        <f t="shared" si="916"/>
        <v>0</v>
      </c>
      <c r="AF911" s="90">
        <f t="shared" si="917"/>
        <v>0</v>
      </c>
      <c r="AG911" s="90">
        <f t="shared" si="918"/>
        <v>0</v>
      </c>
      <c r="AH911" s="90">
        <f t="shared" si="919"/>
        <v>0</v>
      </c>
      <c r="AI911" s="154" t="s">
        <v>61</v>
      </c>
      <c r="AJ911" s="90">
        <f t="shared" si="920"/>
        <v>0</v>
      </c>
      <c r="AK911" s="90">
        <f t="shared" si="921"/>
        <v>0</v>
      </c>
      <c r="AL911" s="90">
        <f t="shared" si="922"/>
        <v>0</v>
      </c>
      <c r="AN911" s="90">
        <v>15</v>
      </c>
      <c r="AO911" s="90">
        <f t="shared" si="923"/>
        <v>0</v>
      </c>
      <c r="AP911" s="90">
        <f t="shared" si="924"/>
        <v>6.5</v>
      </c>
      <c r="AQ911" s="91" t="s">
        <v>79</v>
      </c>
      <c r="AV911" s="90">
        <f t="shared" si="925"/>
        <v>0</v>
      </c>
      <c r="AW911" s="90">
        <f t="shared" si="926"/>
        <v>0</v>
      </c>
      <c r="AX911" s="90">
        <f t="shared" si="927"/>
        <v>0</v>
      </c>
      <c r="AY911" s="91" t="s">
        <v>649</v>
      </c>
      <c r="AZ911" s="91" t="s">
        <v>1643</v>
      </c>
      <c r="BA911" s="154" t="s">
        <v>1649</v>
      </c>
      <c r="BC911" s="90">
        <f t="shared" si="928"/>
        <v>0</v>
      </c>
      <c r="BD911" s="90">
        <f t="shared" si="929"/>
        <v>6.5</v>
      </c>
      <c r="BE911" s="90">
        <v>0</v>
      </c>
      <c r="BF911" s="90">
        <f t="shared" si="930"/>
        <v>0</v>
      </c>
      <c r="BH911" s="90">
        <f t="shared" si="931"/>
        <v>0</v>
      </c>
      <c r="BI911" s="90">
        <f t="shared" si="932"/>
        <v>0</v>
      </c>
      <c r="BJ911" s="90">
        <f t="shared" si="933"/>
        <v>0</v>
      </c>
    </row>
    <row r="912" spans="1:62" ht="12.75" hidden="1">
      <c r="A912" s="88" t="s">
        <v>2116</v>
      </c>
      <c r="B912" s="88" t="s">
        <v>61</v>
      </c>
      <c r="C912" s="88" t="s">
        <v>402</v>
      </c>
      <c r="D912" s="88" t="s">
        <v>588</v>
      </c>
      <c r="E912" s="88" t="s">
        <v>615</v>
      </c>
      <c r="F912" s="90"/>
      <c r="G912" s="90">
        <v>52</v>
      </c>
      <c r="H912" s="90">
        <f t="shared" si="908"/>
        <v>0</v>
      </c>
      <c r="I912" s="90">
        <f t="shared" si="909"/>
        <v>0</v>
      </c>
      <c r="J912" s="90">
        <f t="shared" si="910"/>
        <v>0</v>
      </c>
      <c r="K912" s="90">
        <v>0</v>
      </c>
      <c r="L912" s="90">
        <f t="shared" si="911"/>
        <v>0</v>
      </c>
      <c r="M912" s="91" t="s">
        <v>622</v>
      </c>
      <c r="O912" s="90"/>
      <c r="P912" s="90"/>
      <c r="Z912" s="90">
        <f t="shared" si="912"/>
        <v>0</v>
      </c>
      <c r="AB912" s="90">
        <f t="shared" si="913"/>
        <v>0</v>
      </c>
      <c r="AC912" s="90">
        <f t="shared" si="914"/>
        <v>0</v>
      </c>
      <c r="AD912" s="90">
        <f t="shared" si="915"/>
        <v>0</v>
      </c>
      <c r="AE912" s="90">
        <f t="shared" si="916"/>
        <v>0</v>
      </c>
      <c r="AF912" s="90">
        <f t="shared" si="917"/>
        <v>0</v>
      </c>
      <c r="AG912" s="90">
        <f t="shared" si="918"/>
        <v>0</v>
      </c>
      <c r="AH912" s="90">
        <f t="shared" si="919"/>
        <v>0</v>
      </c>
      <c r="AI912" s="154" t="s">
        <v>61</v>
      </c>
      <c r="AJ912" s="90">
        <f t="shared" si="920"/>
        <v>0</v>
      </c>
      <c r="AK912" s="90">
        <f t="shared" si="921"/>
        <v>0</v>
      </c>
      <c r="AL912" s="90">
        <f t="shared" si="922"/>
        <v>0</v>
      </c>
      <c r="AN912" s="90">
        <v>15</v>
      </c>
      <c r="AO912" s="90">
        <f t="shared" si="923"/>
        <v>0</v>
      </c>
      <c r="AP912" s="90">
        <f t="shared" si="924"/>
        <v>52</v>
      </c>
      <c r="AQ912" s="91" t="s">
        <v>79</v>
      </c>
      <c r="AV912" s="90">
        <f t="shared" si="925"/>
        <v>0</v>
      </c>
      <c r="AW912" s="90">
        <f t="shared" si="926"/>
        <v>0</v>
      </c>
      <c r="AX912" s="90">
        <f t="shared" si="927"/>
        <v>0</v>
      </c>
      <c r="AY912" s="91" t="s">
        <v>649</v>
      </c>
      <c r="AZ912" s="91" t="s">
        <v>1643</v>
      </c>
      <c r="BA912" s="154" t="s">
        <v>1649</v>
      </c>
      <c r="BC912" s="90">
        <f t="shared" si="928"/>
        <v>0</v>
      </c>
      <c r="BD912" s="90">
        <f t="shared" si="929"/>
        <v>52</v>
      </c>
      <c r="BE912" s="90">
        <v>0</v>
      </c>
      <c r="BF912" s="90">
        <f t="shared" si="930"/>
        <v>0</v>
      </c>
      <c r="BH912" s="90">
        <f t="shared" si="931"/>
        <v>0</v>
      </c>
      <c r="BI912" s="90">
        <f t="shared" si="932"/>
        <v>0</v>
      </c>
      <c r="BJ912" s="90">
        <f t="shared" si="933"/>
        <v>0</v>
      </c>
    </row>
    <row r="913" spans="1:62" ht="12.75" hidden="1">
      <c r="A913" s="88" t="s">
        <v>2117</v>
      </c>
      <c r="B913" s="88" t="s">
        <v>61</v>
      </c>
      <c r="C913" s="88" t="s">
        <v>403</v>
      </c>
      <c r="D913" s="88" t="s">
        <v>589</v>
      </c>
      <c r="E913" s="88" t="s">
        <v>606</v>
      </c>
      <c r="F913" s="90"/>
      <c r="G913" s="90">
        <v>200</v>
      </c>
      <c r="H913" s="90">
        <f t="shared" si="908"/>
        <v>0</v>
      </c>
      <c r="I913" s="90">
        <f t="shared" si="909"/>
        <v>0</v>
      </c>
      <c r="J913" s="90">
        <f t="shared" si="910"/>
        <v>0</v>
      </c>
      <c r="K913" s="90">
        <v>0</v>
      </c>
      <c r="L913" s="90">
        <f t="shared" si="911"/>
        <v>0</v>
      </c>
      <c r="M913" s="91" t="s">
        <v>622</v>
      </c>
      <c r="O913" s="90"/>
      <c r="P913" s="90"/>
      <c r="Z913" s="90">
        <f t="shared" si="912"/>
        <v>0</v>
      </c>
      <c r="AB913" s="90">
        <f t="shared" si="913"/>
        <v>0</v>
      </c>
      <c r="AC913" s="90">
        <f t="shared" si="914"/>
        <v>0</v>
      </c>
      <c r="AD913" s="90">
        <f t="shared" si="915"/>
        <v>0</v>
      </c>
      <c r="AE913" s="90">
        <f t="shared" si="916"/>
        <v>0</v>
      </c>
      <c r="AF913" s="90">
        <f t="shared" si="917"/>
        <v>0</v>
      </c>
      <c r="AG913" s="90">
        <f t="shared" si="918"/>
        <v>0</v>
      </c>
      <c r="AH913" s="90">
        <f t="shared" si="919"/>
        <v>0</v>
      </c>
      <c r="AI913" s="154" t="s">
        <v>61</v>
      </c>
      <c r="AJ913" s="90">
        <f t="shared" si="920"/>
        <v>0</v>
      </c>
      <c r="AK913" s="90">
        <f t="shared" si="921"/>
        <v>0</v>
      </c>
      <c r="AL913" s="90">
        <f t="shared" si="922"/>
        <v>0</v>
      </c>
      <c r="AN913" s="90">
        <v>15</v>
      </c>
      <c r="AO913" s="90">
        <f t="shared" si="923"/>
        <v>0</v>
      </c>
      <c r="AP913" s="90">
        <f t="shared" si="924"/>
        <v>200</v>
      </c>
      <c r="AQ913" s="91" t="s">
        <v>79</v>
      </c>
      <c r="AV913" s="90">
        <f t="shared" si="925"/>
        <v>0</v>
      </c>
      <c r="AW913" s="90">
        <f t="shared" si="926"/>
        <v>0</v>
      </c>
      <c r="AX913" s="90">
        <f t="shared" si="927"/>
        <v>0</v>
      </c>
      <c r="AY913" s="91" t="s">
        <v>649</v>
      </c>
      <c r="AZ913" s="91" t="s">
        <v>1643</v>
      </c>
      <c r="BA913" s="154" t="s">
        <v>1649</v>
      </c>
      <c r="BC913" s="90">
        <f t="shared" si="928"/>
        <v>0</v>
      </c>
      <c r="BD913" s="90">
        <f t="shared" si="929"/>
        <v>200</v>
      </c>
      <c r="BE913" s="90">
        <v>0</v>
      </c>
      <c r="BF913" s="90">
        <f t="shared" si="930"/>
        <v>0</v>
      </c>
      <c r="BH913" s="90">
        <f t="shared" si="931"/>
        <v>0</v>
      </c>
      <c r="BI913" s="90">
        <f t="shared" si="932"/>
        <v>0</v>
      </c>
      <c r="BJ913" s="90">
        <f t="shared" si="933"/>
        <v>0</v>
      </c>
    </row>
    <row r="914" spans="1:62" ht="12.75" hidden="1">
      <c r="A914" s="88" t="s">
        <v>2118</v>
      </c>
      <c r="B914" s="88" t="s">
        <v>61</v>
      </c>
      <c r="C914" s="88" t="s">
        <v>404</v>
      </c>
      <c r="D914" s="88" t="s">
        <v>590</v>
      </c>
      <c r="E914" s="88" t="s">
        <v>606</v>
      </c>
      <c r="F914" s="90"/>
      <c r="G914" s="90">
        <v>274</v>
      </c>
      <c r="H914" s="90">
        <f t="shared" si="908"/>
        <v>0</v>
      </c>
      <c r="I914" s="90">
        <f t="shared" si="909"/>
        <v>0</v>
      </c>
      <c r="J914" s="90">
        <f t="shared" si="910"/>
        <v>0</v>
      </c>
      <c r="K914" s="90">
        <v>0</v>
      </c>
      <c r="L914" s="90">
        <f t="shared" si="911"/>
        <v>0</v>
      </c>
      <c r="M914" s="91" t="s">
        <v>622</v>
      </c>
      <c r="O914" s="90"/>
      <c r="P914" s="90"/>
      <c r="Z914" s="90">
        <f t="shared" si="912"/>
        <v>0</v>
      </c>
      <c r="AB914" s="90">
        <f t="shared" si="913"/>
        <v>0</v>
      </c>
      <c r="AC914" s="90">
        <f t="shared" si="914"/>
        <v>0</v>
      </c>
      <c r="AD914" s="90">
        <f t="shared" si="915"/>
        <v>0</v>
      </c>
      <c r="AE914" s="90">
        <f t="shared" si="916"/>
        <v>0</v>
      </c>
      <c r="AF914" s="90">
        <f t="shared" si="917"/>
        <v>0</v>
      </c>
      <c r="AG914" s="90">
        <f t="shared" si="918"/>
        <v>0</v>
      </c>
      <c r="AH914" s="90">
        <f t="shared" si="919"/>
        <v>0</v>
      </c>
      <c r="AI914" s="154" t="s">
        <v>61</v>
      </c>
      <c r="AJ914" s="90">
        <f t="shared" si="920"/>
        <v>0</v>
      </c>
      <c r="AK914" s="90">
        <f t="shared" si="921"/>
        <v>0</v>
      </c>
      <c r="AL914" s="90">
        <f t="shared" si="922"/>
        <v>0</v>
      </c>
      <c r="AN914" s="90">
        <v>15</v>
      </c>
      <c r="AO914" s="90">
        <f t="shared" si="923"/>
        <v>0</v>
      </c>
      <c r="AP914" s="90">
        <f t="shared" si="924"/>
        <v>274</v>
      </c>
      <c r="AQ914" s="91" t="s">
        <v>79</v>
      </c>
      <c r="AV914" s="90">
        <f t="shared" si="925"/>
        <v>0</v>
      </c>
      <c r="AW914" s="90">
        <f t="shared" si="926"/>
        <v>0</v>
      </c>
      <c r="AX914" s="90">
        <f t="shared" si="927"/>
        <v>0</v>
      </c>
      <c r="AY914" s="91" t="s">
        <v>649</v>
      </c>
      <c r="AZ914" s="91" t="s">
        <v>1643</v>
      </c>
      <c r="BA914" s="154" t="s">
        <v>1649</v>
      </c>
      <c r="BC914" s="90">
        <f t="shared" si="928"/>
        <v>0</v>
      </c>
      <c r="BD914" s="90">
        <f t="shared" si="929"/>
        <v>274</v>
      </c>
      <c r="BE914" s="90">
        <v>0</v>
      </c>
      <c r="BF914" s="90">
        <f t="shared" si="930"/>
        <v>0</v>
      </c>
      <c r="BH914" s="90">
        <f t="shared" si="931"/>
        <v>0</v>
      </c>
      <c r="BI914" s="90">
        <f t="shared" si="932"/>
        <v>0</v>
      </c>
      <c r="BJ914" s="90">
        <f t="shared" si="933"/>
        <v>0</v>
      </c>
    </row>
    <row r="915" spans="1:62" ht="12.75" hidden="1">
      <c r="A915" s="88" t="s">
        <v>2119</v>
      </c>
      <c r="B915" s="88" t="s">
        <v>61</v>
      </c>
      <c r="C915" s="88" t="s">
        <v>1220</v>
      </c>
      <c r="D915" s="88" t="s">
        <v>1520</v>
      </c>
      <c r="E915" s="88" t="s">
        <v>606</v>
      </c>
      <c r="F915" s="90"/>
      <c r="G915" s="90">
        <v>1180</v>
      </c>
      <c r="H915" s="90">
        <f t="shared" si="908"/>
        <v>0</v>
      </c>
      <c r="I915" s="90">
        <f t="shared" si="909"/>
        <v>0</v>
      </c>
      <c r="J915" s="90">
        <f t="shared" si="910"/>
        <v>0</v>
      </c>
      <c r="K915" s="90">
        <v>0</v>
      </c>
      <c r="L915" s="90">
        <f t="shared" si="911"/>
        <v>0</v>
      </c>
      <c r="M915" s="91" t="s">
        <v>622</v>
      </c>
      <c r="O915" s="90"/>
      <c r="P915" s="90"/>
      <c r="Z915" s="90">
        <f t="shared" si="912"/>
        <v>0</v>
      </c>
      <c r="AB915" s="90">
        <f t="shared" si="913"/>
        <v>0</v>
      </c>
      <c r="AC915" s="90">
        <f t="shared" si="914"/>
        <v>0</v>
      </c>
      <c r="AD915" s="90">
        <f t="shared" si="915"/>
        <v>0</v>
      </c>
      <c r="AE915" s="90">
        <f t="shared" si="916"/>
        <v>0</v>
      </c>
      <c r="AF915" s="90">
        <f t="shared" si="917"/>
        <v>0</v>
      </c>
      <c r="AG915" s="90">
        <f t="shared" si="918"/>
        <v>0</v>
      </c>
      <c r="AH915" s="90">
        <f t="shared" si="919"/>
        <v>0</v>
      </c>
      <c r="AI915" s="154" t="s">
        <v>61</v>
      </c>
      <c r="AJ915" s="90">
        <f t="shared" si="920"/>
        <v>0</v>
      </c>
      <c r="AK915" s="90">
        <f t="shared" si="921"/>
        <v>0</v>
      </c>
      <c r="AL915" s="90">
        <f t="shared" si="922"/>
        <v>0</v>
      </c>
      <c r="AN915" s="90">
        <v>15</v>
      </c>
      <c r="AO915" s="90">
        <f t="shared" si="923"/>
        <v>0</v>
      </c>
      <c r="AP915" s="90">
        <f t="shared" si="924"/>
        <v>1180</v>
      </c>
      <c r="AQ915" s="91" t="s">
        <v>79</v>
      </c>
      <c r="AV915" s="90">
        <f t="shared" si="925"/>
        <v>0</v>
      </c>
      <c r="AW915" s="90">
        <f t="shared" si="926"/>
        <v>0</v>
      </c>
      <c r="AX915" s="90">
        <f t="shared" si="927"/>
        <v>0</v>
      </c>
      <c r="AY915" s="91" t="s">
        <v>649</v>
      </c>
      <c r="AZ915" s="91" t="s">
        <v>1643</v>
      </c>
      <c r="BA915" s="154" t="s">
        <v>1649</v>
      </c>
      <c r="BC915" s="90">
        <f t="shared" si="928"/>
        <v>0</v>
      </c>
      <c r="BD915" s="90">
        <f t="shared" si="929"/>
        <v>1180</v>
      </c>
      <c r="BE915" s="90">
        <v>0</v>
      </c>
      <c r="BF915" s="90">
        <f t="shared" si="930"/>
        <v>0</v>
      </c>
      <c r="BH915" s="90">
        <f t="shared" si="931"/>
        <v>0</v>
      </c>
      <c r="BI915" s="90">
        <f t="shared" si="932"/>
        <v>0</v>
      </c>
      <c r="BJ915" s="90">
        <f t="shared" si="933"/>
        <v>0</v>
      </c>
    </row>
    <row r="916" spans="1:62" ht="12.75" hidden="1">
      <c r="A916" s="88" t="s">
        <v>2120</v>
      </c>
      <c r="B916" s="88" t="s">
        <v>61</v>
      </c>
      <c r="C916" s="88" t="s">
        <v>405</v>
      </c>
      <c r="D916" s="88" t="s">
        <v>591</v>
      </c>
      <c r="E916" s="88" t="s">
        <v>606</v>
      </c>
      <c r="F916" s="90"/>
      <c r="G916" s="90">
        <v>1652</v>
      </c>
      <c r="H916" s="90">
        <f t="shared" si="908"/>
        <v>0</v>
      </c>
      <c r="I916" s="90">
        <f t="shared" si="909"/>
        <v>0</v>
      </c>
      <c r="J916" s="90">
        <f t="shared" si="910"/>
        <v>0</v>
      </c>
      <c r="K916" s="90">
        <v>0</v>
      </c>
      <c r="L916" s="90">
        <f t="shared" si="911"/>
        <v>0</v>
      </c>
      <c r="M916" s="91" t="s">
        <v>622</v>
      </c>
      <c r="O916" s="90"/>
      <c r="P916" s="90"/>
      <c r="Z916" s="90">
        <f t="shared" si="912"/>
        <v>0</v>
      </c>
      <c r="AB916" s="90">
        <f t="shared" si="913"/>
        <v>0</v>
      </c>
      <c r="AC916" s="90">
        <f t="shared" si="914"/>
        <v>0</v>
      </c>
      <c r="AD916" s="90">
        <f t="shared" si="915"/>
        <v>0</v>
      </c>
      <c r="AE916" s="90">
        <f t="shared" si="916"/>
        <v>0</v>
      </c>
      <c r="AF916" s="90">
        <f t="shared" si="917"/>
        <v>0</v>
      </c>
      <c r="AG916" s="90">
        <f t="shared" si="918"/>
        <v>0</v>
      </c>
      <c r="AH916" s="90">
        <f t="shared" si="919"/>
        <v>0</v>
      </c>
      <c r="AI916" s="154" t="s">
        <v>61</v>
      </c>
      <c r="AJ916" s="90">
        <f t="shared" si="920"/>
        <v>0</v>
      </c>
      <c r="AK916" s="90">
        <f t="shared" si="921"/>
        <v>0</v>
      </c>
      <c r="AL916" s="90">
        <f t="shared" si="922"/>
        <v>0</v>
      </c>
      <c r="AN916" s="90">
        <v>15</v>
      </c>
      <c r="AO916" s="90">
        <f t="shared" si="923"/>
        <v>0</v>
      </c>
      <c r="AP916" s="90">
        <f t="shared" si="924"/>
        <v>1652</v>
      </c>
      <c r="AQ916" s="91" t="s">
        <v>79</v>
      </c>
      <c r="AV916" s="90">
        <f t="shared" si="925"/>
        <v>0</v>
      </c>
      <c r="AW916" s="90">
        <f t="shared" si="926"/>
        <v>0</v>
      </c>
      <c r="AX916" s="90">
        <f t="shared" si="927"/>
        <v>0</v>
      </c>
      <c r="AY916" s="91" t="s">
        <v>649</v>
      </c>
      <c r="AZ916" s="91" t="s">
        <v>1643</v>
      </c>
      <c r="BA916" s="154" t="s">
        <v>1649</v>
      </c>
      <c r="BC916" s="90">
        <f t="shared" si="928"/>
        <v>0</v>
      </c>
      <c r="BD916" s="90">
        <f t="shared" si="929"/>
        <v>1652</v>
      </c>
      <c r="BE916" s="90">
        <v>0</v>
      </c>
      <c r="BF916" s="90">
        <f t="shared" si="930"/>
        <v>0</v>
      </c>
      <c r="BH916" s="90">
        <f t="shared" si="931"/>
        <v>0</v>
      </c>
      <c r="BI916" s="90">
        <f t="shared" si="932"/>
        <v>0</v>
      </c>
      <c r="BJ916" s="90">
        <f t="shared" si="933"/>
        <v>0</v>
      </c>
    </row>
    <row r="917" spans="1:62" ht="12.75" hidden="1">
      <c r="A917" s="88" t="s">
        <v>2121</v>
      </c>
      <c r="B917" s="88" t="s">
        <v>61</v>
      </c>
      <c r="C917" s="88" t="s">
        <v>406</v>
      </c>
      <c r="D917" s="88" t="s">
        <v>592</v>
      </c>
      <c r="E917" s="88" t="s">
        <v>606</v>
      </c>
      <c r="F917" s="90"/>
      <c r="G917" s="90">
        <v>1760</v>
      </c>
      <c r="H917" s="90">
        <f t="shared" si="908"/>
        <v>0</v>
      </c>
      <c r="I917" s="90">
        <f t="shared" si="909"/>
        <v>0</v>
      </c>
      <c r="J917" s="90">
        <f t="shared" si="910"/>
        <v>0</v>
      </c>
      <c r="K917" s="90">
        <v>0</v>
      </c>
      <c r="L917" s="90">
        <f t="shared" si="911"/>
        <v>0</v>
      </c>
      <c r="M917" s="91" t="s">
        <v>622</v>
      </c>
      <c r="O917" s="90"/>
      <c r="P917" s="90"/>
      <c r="Z917" s="90">
        <f t="shared" si="912"/>
        <v>0</v>
      </c>
      <c r="AB917" s="90">
        <f t="shared" si="913"/>
        <v>0</v>
      </c>
      <c r="AC917" s="90">
        <f t="shared" si="914"/>
        <v>0</v>
      </c>
      <c r="AD917" s="90">
        <f t="shared" si="915"/>
        <v>0</v>
      </c>
      <c r="AE917" s="90">
        <f t="shared" si="916"/>
        <v>0</v>
      </c>
      <c r="AF917" s="90">
        <f t="shared" si="917"/>
        <v>0</v>
      </c>
      <c r="AG917" s="90">
        <f t="shared" si="918"/>
        <v>0</v>
      </c>
      <c r="AH917" s="90">
        <f t="shared" si="919"/>
        <v>0</v>
      </c>
      <c r="AI917" s="154" t="s">
        <v>61</v>
      </c>
      <c r="AJ917" s="90">
        <f t="shared" si="920"/>
        <v>0</v>
      </c>
      <c r="AK917" s="90">
        <f t="shared" si="921"/>
        <v>0</v>
      </c>
      <c r="AL917" s="90">
        <f t="shared" si="922"/>
        <v>0</v>
      </c>
      <c r="AN917" s="90">
        <v>15</v>
      </c>
      <c r="AO917" s="90">
        <f t="shared" si="923"/>
        <v>0</v>
      </c>
      <c r="AP917" s="90">
        <f t="shared" si="924"/>
        <v>1760</v>
      </c>
      <c r="AQ917" s="91" t="s">
        <v>79</v>
      </c>
      <c r="AV917" s="90">
        <f t="shared" si="925"/>
        <v>0</v>
      </c>
      <c r="AW917" s="90">
        <f t="shared" si="926"/>
        <v>0</v>
      </c>
      <c r="AX917" s="90">
        <f t="shared" si="927"/>
        <v>0</v>
      </c>
      <c r="AY917" s="91" t="s">
        <v>649</v>
      </c>
      <c r="AZ917" s="91" t="s">
        <v>1643</v>
      </c>
      <c r="BA917" s="154" t="s">
        <v>1649</v>
      </c>
      <c r="BC917" s="90">
        <f t="shared" si="928"/>
        <v>0</v>
      </c>
      <c r="BD917" s="90">
        <f t="shared" si="929"/>
        <v>1760.0000000000002</v>
      </c>
      <c r="BE917" s="90">
        <v>0</v>
      </c>
      <c r="BF917" s="90">
        <f t="shared" si="930"/>
        <v>0</v>
      </c>
      <c r="BH917" s="90">
        <f t="shared" si="931"/>
        <v>0</v>
      </c>
      <c r="BI917" s="90">
        <f t="shared" si="932"/>
        <v>0</v>
      </c>
      <c r="BJ917" s="90">
        <f t="shared" si="933"/>
        <v>0</v>
      </c>
    </row>
    <row r="918" spans="1:62" ht="12.75" hidden="1">
      <c r="A918" s="88" t="s">
        <v>2122</v>
      </c>
      <c r="B918" s="88" t="s">
        <v>61</v>
      </c>
      <c r="C918" s="88" t="s">
        <v>407</v>
      </c>
      <c r="D918" s="88" t="s">
        <v>593</v>
      </c>
      <c r="E918" s="88" t="s">
        <v>606</v>
      </c>
      <c r="F918" s="90"/>
      <c r="G918" s="90">
        <v>1412</v>
      </c>
      <c r="H918" s="90">
        <f t="shared" si="908"/>
        <v>0</v>
      </c>
      <c r="I918" s="90">
        <f t="shared" si="909"/>
        <v>0</v>
      </c>
      <c r="J918" s="90">
        <f t="shared" si="910"/>
        <v>0</v>
      </c>
      <c r="K918" s="90">
        <v>0</v>
      </c>
      <c r="L918" s="90">
        <f t="shared" si="911"/>
        <v>0</v>
      </c>
      <c r="M918" s="91" t="s">
        <v>622</v>
      </c>
      <c r="O918" s="90"/>
      <c r="P918" s="90"/>
      <c r="Z918" s="90">
        <f t="shared" si="912"/>
        <v>0</v>
      </c>
      <c r="AB918" s="90">
        <f t="shared" si="913"/>
        <v>0</v>
      </c>
      <c r="AC918" s="90">
        <f t="shared" si="914"/>
        <v>0</v>
      </c>
      <c r="AD918" s="90">
        <f t="shared" si="915"/>
        <v>0</v>
      </c>
      <c r="AE918" s="90">
        <f t="shared" si="916"/>
        <v>0</v>
      </c>
      <c r="AF918" s="90">
        <f t="shared" si="917"/>
        <v>0</v>
      </c>
      <c r="AG918" s="90">
        <f t="shared" si="918"/>
        <v>0</v>
      </c>
      <c r="AH918" s="90">
        <f t="shared" si="919"/>
        <v>0</v>
      </c>
      <c r="AI918" s="154" t="s">
        <v>61</v>
      </c>
      <c r="AJ918" s="90">
        <f t="shared" si="920"/>
        <v>0</v>
      </c>
      <c r="AK918" s="90">
        <f t="shared" si="921"/>
        <v>0</v>
      </c>
      <c r="AL918" s="90">
        <f t="shared" si="922"/>
        <v>0</v>
      </c>
      <c r="AN918" s="90">
        <v>15</v>
      </c>
      <c r="AO918" s="90">
        <f t="shared" si="923"/>
        <v>0</v>
      </c>
      <c r="AP918" s="90">
        <f t="shared" si="924"/>
        <v>1412</v>
      </c>
      <c r="AQ918" s="91" t="s">
        <v>79</v>
      </c>
      <c r="AV918" s="90">
        <f t="shared" si="925"/>
        <v>0</v>
      </c>
      <c r="AW918" s="90">
        <f t="shared" si="926"/>
        <v>0</v>
      </c>
      <c r="AX918" s="90">
        <f t="shared" si="927"/>
        <v>0</v>
      </c>
      <c r="AY918" s="91" t="s">
        <v>649</v>
      </c>
      <c r="AZ918" s="91" t="s">
        <v>1643</v>
      </c>
      <c r="BA918" s="154" t="s">
        <v>1649</v>
      </c>
      <c r="BC918" s="90">
        <f t="shared" si="928"/>
        <v>0</v>
      </c>
      <c r="BD918" s="90">
        <f t="shared" si="929"/>
        <v>1412</v>
      </c>
      <c r="BE918" s="90">
        <v>0</v>
      </c>
      <c r="BF918" s="90">
        <f t="shared" si="930"/>
        <v>0</v>
      </c>
      <c r="BH918" s="90">
        <f t="shared" si="931"/>
        <v>0</v>
      </c>
      <c r="BI918" s="90">
        <f t="shared" si="932"/>
        <v>0</v>
      </c>
      <c r="BJ918" s="90">
        <f t="shared" si="933"/>
        <v>0</v>
      </c>
    </row>
    <row r="919" spans="1:62" ht="12.75" hidden="1">
      <c r="A919" s="88" t="s">
        <v>2123</v>
      </c>
      <c r="B919" s="88" t="s">
        <v>61</v>
      </c>
      <c r="C919" s="88" t="s">
        <v>408</v>
      </c>
      <c r="D919" s="88" t="s">
        <v>594</v>
      </c>
      <c r="E919" s="88" t="s">
        <v>606</v>
      </c>
      <c r="F919" s="90"/>
      <c r="G919" s="90">
        <v>215</v>
      </c>
      <c r="H919" s="90">
        <f t="shared" si="908"/>
        <v>0</v>
      </c>
      <c r="I919" s="90">
        <f t="shared" si="909"/>
        <v>0</v>
      </c>
      <c r="J919" s="90">
        <f t="shared" si="910"/>
        <v>0</v>
      </c>
      <c r="K919" s="90">
        <v>0</v>
      </c>
      <c r="L919" s="90">
        <f t="shared" si="911"/>
        <v>0</v>
      </c>
      <c r="M919" s="91" t="s">
        <v>622</v>
      </c>
      <c r="O919" s="90"/>
      <c r="P919" s="90"/>
      <c r="Z919" s="90">
        <f t="shared" si="912"/>
        <v>0</v>
      </c>
      <c r="AB919" s="90">
        <f t="shared" si="913"/>
        <v>0</v>
      </c>
      <c r="AC919" s="90">
        <f t="shared" si="914"/>
        <v>0</v>
      </c>
      <c r="AD919" s="90">
        <f t="shared" si="915"/>
        <v>0</v>
      </c>
      <c r="AE919" s="90">
        <f t="shared" si="916"/>
        <v>0</v>
      </c>
      <c r="AF919" s="90">
        <f t="shared" si="917"/>
        <v>0</v>
      </c>
      <c r="AG919" s="90">
        <f t="shared" si="918"/>
        <v>0</v>
      </c>
      <c r="AH919" s="90">
        <f t="shared" si="919"/>
        <v>0</v>
      </c>
      <c r="AI919" s="154" t="s">
        <v>61</v>
      </c>
      <c r="AJ919" s="90">
        <f t="shared" si="920"/>
        <v>0</v>
      </c>
      <c r="AK919" s="90">
        <f t="shared" si="921"/>
        <v>0</v>
      </c>
      <c r="AL919" s="90">
        <f t="shared" si="922"/>
        <v>0</v>
      </c>
      <c r="AN919" s="90">
        <v>15</v>
      </c>
      <c r="AO919" s="90">
        <f t="shared" si="923"/>
        <v>0</v>
      </c>
      <c r="AP919" s="90">
        <f t="shared" si="924"/>
        <v>215</v>
      </c>
      <c r="AQ919" s="91" t="s">
        <v>79</v>
      </c>
      <c r="AV919" s="90">
        <f t="shared" si="925"/>
        <v>0</v>
      </c>
      <c r="AW919" s="90">
        <f t="shared" si="926"/>
        <v>0</v>
      </c>
      <c r="AX919" s="90">
        <f t="shared" si="927"/>
        <v>0</v>
      </c>
      <c r="AY919" s="91" t="s">
        <v>649</v>
      </c>
      <c r="AZ919" s="91" t="s">
        <v>1643</v>
      </c>
      <c r="BA919" s="154" t="s">
        <v>1649</v>
      </c>
      <c r="BC919" s="90">
        <f t="shared" si="928"/>
        <v>0</v>
      </c>
      <c r="BD919" s="90">
        <f t="shared" si="929"/>
        <v>215</v>
      </c>
      <c r="BE919" s="90">
        <v>0</v>
      </c>
      <c r="BF919" s="90">
        <f t="shared" si="930"/>
        <v>0</v>
      </c>
      <c r="BH919" s="90">
        <f t="shared" si="931"/>
        <v>0</v>
      </c>
      <c r="BI919" s="90">
        <f t="shared" si="932"/>
        <v>0</v>
      </c>
      <c r="BJ919" s="90">
        <f t="shared" si="933"/>
        <v>0</v>
      </c>
    </row>
    <row r="920" spans="1:62" ht="12.75" hidden="1">
      <c r="A920" s="88" t="s">
        <v>2124</v>
      </c>
      <c r="B920" s="88" t="s">
        <v>61</v>
      </c>
      <c r="C920" s="88" t="s">
        <v>409</v>
      </c>
      <c r="D920" s="88" t="s">
        <v>595</v>
      </c>
      <c r="E920" s="88" t="s">
        <v>606</v>
      </c>
      <c r="F920" s="90"/>
      <c r="G920" s="90">
        <v>2110</v>
      </c>
      <c r="H920" s="90">
        <f t="shared" si="908"/>
        <v>0</v>
      </c>
      <c r="I920" s="90">
        <f t="shared" si="909"/>
        <v>0</v>
      </c>
      <c r="J920" s="90">
        <f t="shared" si="910"/>
        <v>0</v>
      </c>
      <c r="K920" s="90">
        <v>0</v>
      </c>
      <c r="L920" s="90">
        <f t="shared" si="911"/>
        <v>0</v>
      </c>
      <c r="M920" s="91" t="s">
        <v>622</v>
      </c>
      <c r="O920" s="90"/>
      <c r="P920" s="90"/>
      <c r="Z920" s="90">
        <f t="shared" si="912"/>
        <v>0</v>
      </c>
      <c r="AB920" s="90">
        <f t="shared" si="913"/>
        <v>0</v>
      </c>
      <c r="AC920" s="90">
        <f t="shared" si="914"/>
        <v>0</v>
      </c>
      <c r="AD920" s="90">
        <f t="shared" si="915"/>
        <v>0</v>
      </c>
      <c r="AE920" s="90">
        <f t="shared" si="916"/>
        <v>0</v>
      </c>
      <c r="AF920" s="90">
        <f t="shared" si="917"/>
        <v>0</v>
      </c>
      <c r="AG920" s="90">
        <f t="shared" si="918"/>
        <v>0</v>
      </c>
      <c r="AH920" s="90">
        <f t="shared" si="919"/>
        <v>0</v>
      </c>
      <c r="AI920" s="154" t="s">
        <v>61</v>
      </c>
      <c r="AJ920" s="90">
        <f t="shared" si="920"/>
        <v>0</v>
      </c>
      <c r="AK920" s="90">
        <f t="shared" si="921"/>
        <v>0</v>
      </c>
      <c r="AL920" s="90">
        <f t="shared" si="922"/>
        <v>0</v>
      </c>
      <c r="AN920" s="90">
        <v>15</v>
      </c>
      <c r="AO920" s="90">
        <f t="shared" si="923"/>
        <v>0</v>
      </c>
      <c r="AP920" s="90">
        <f t="shared" si="924"/>
        <v>2110</v>
      </c>
      <c r="AQ920" s="91" t="s">
        <v>79</v>
      </c>
      <c r="AV920" s="90">
        <f t="shared" si="925"/>
        <v>0</v>
      </c>
      <c r="AW920" s="90">
        <f t="shared" si="926"/>
        <v>0</v>
      </c>
      <c r="AX920" s="90">
        <f t="shared" si="927"/>
        <v>0</v>
      </c>
      <c r="AY920" s="91" t="s">
        <v>649</v>
      </c>
      <c r="AZ920" s="91" t="s">
        <v>1643</v>
      </c>
      <c r="BA920" s="154" t="s">
        <v>1649</v>
      </c>
      <c r="BC920" s="90">
        <f t="shared" si="928"/>
        <v>0</v>
      </c>
      <c r="BD920" s="90">
        <f t="shared" si="929"/>
        <v>2110</v>
      </c>
      <c r="BE920" s="90">
        <v>0</v>
      </c>
      <c r="BF920" s="90">
        <f t="shared" si="930"/>
        <v>0</v>
      </c>
      <c r="BH920" s="90">
        <f t="shared" si="931"/>
        <v>0</v>
      </c>
      <c r="BI920" s="90">
        <f t="shared" si="932"/>
        <v>0</v>
      </c>
      <c r="BJ920" s="90">
        <f t="shared" si="933"/>
        <v>0</v>
      </c>
    </row>
    <row r="921" spans="1:62" ht="12.75" hidden="1">
      <c r="A921" s="88" t="s">
        <v>2125</v>
      </c>
      <c r="B921" s="88" t="s">
        <v>61</v>
      </c>
      <c r="C921" s="88" t="s">
        <v>410</v>
      </c>
      <c r="D921" s="88" t="s">
        <v>596</v>
      </c>
      <c r="E921" s="88" t="s">
        <v>611</v>
      </c>
      <c r="F921" s="90"/>
      <c r="G921" s="90">
        <v>400</v>
      </c>
      <c r="H921" s="90">
        <f t="shared" si="908"/>
        <v>0</v>
      </c>
      <c r="I921" s="90">
        <f t="shared" si="909"/>
        <v>0</v>
      </c>
      <c r="J921" s="90">
        <f t="shared" si="910"/>
        <v>0</v>
      </c>
      <c r="K921" s="90">
        <v>0</v>
      </c>
      <c r="L921" s="90">
        <f t="shared" si="911"/>
        <v>0</v>
      </c>
      <c r="M921" s="91" t="s">
        <v>622</v>
      </c>
      <c r="O921" s="90"/>
      <c r="P921" s="90"/>
      <c r="Z921" s="90">
        <f t="shared" si="912"/>
        <v>0</v>
      </c>
      <c r="AB921" s="90">
        <f t="shared" si="913"/>
        <v>0</v>
      </c>
      <c r="AC921" s="90">
        <f t="shared" si="914"/>
        <v>0</v>
      </c>
      <c r="AD921" s="90">
        <f t="shared" si="915"/>
        <v>0</v>
      </c>
      <c r="AE921" s="90">
        <f t="shared" si="916"/>
        <v>0</v>
      </c>
      <c r="AF921" s="90">
        <f t="shared" si="917"/>
        <v>0</v>
      </c>
      <c r="AG921" s="90">
        <f t="shared" si="918"/>
        <v>0</v>
      </c>
      <c r="AH921" s="90">
        <f t="shared" si="919"/>
        <v>0</v>
      </c>
      <c r="AI921" s="154" t="s">
        <v>61</v>
      </c>
      <c r="AJ921" s="90">
        <f t="shared" si="920"/>
        <v>0</v>
      </c>
      <c r="AK921" s="90">
        <f t="shared" si="921"/>
        <v>0</v>
      </c>
      <c r="AL921" s="90">
        <f t="shared" si="922"/>
        <v>0</v>
      </c>
      <c r="AN921" s="90">
        <v>15</v>
      </c>
      <c r="AO921" s="90">
        <f t="shared" si="923"/>
        <v>0</v>
      </c>
      <c r="AP921" s="90">
        <f t="shared" si="924"/>
        <v>400</v>
      </c>
      <c r="AQ921" s="91" t="s">
        <v>79</v>
      </c>
      <c r="AV921" s="90">
        <f t="shared" si="925"/>
        <v>0</v>
      </c>
      <c r="AW921" s="90">
        <f t="shared" si="926"/>
        <v>0</v>
      </c>
      <c r="AX921" s="90">
        <f t="shared" si="927"/>
        <v>0</v>
      </c>
      <c r="AY921" s="91" t="s">
        <v>649</v>
      </c>
      <c r="AZ921" s="91" t="s">
        <v>1643</v>
      </c>
      <c r="BA921" s="154" t="s">
        <v>1649</v>
      </c>
      <c r="BC921" s="90">
        <f t="shared" si="928"/>
        <v>0</v>
      </c>
      <c r="BD921" s="90">
        <f t="shared" si="929"/>
        <v>400</v>
      </c>
      <c r="BE921" s="90">
        <v>0</v>
      </c>
      <c r="BF921" s="90">
        <f t="shared" si="930"/>
        <v>0</v>
      </c>
      <c r="BH921" s="90">
        <f t="shared" si="931"/>
        <v>0</v>
      </c>
      <c r="BI921" s="90">
        <f t="shared" si="932"/>
        <v>0</v>
      </c>
      <c r="BJ921" s="90">
        <f t="shared" si="933"/>
        <v>0</v>
      </c>
    </row>
    <row r="922" spans="1:62" ht="12.75" hidden="1">
      <c r="A922" s="88" t="s">
        <v>2126</v>
      </c>
      <c r="B922" s="88" t="s">
        <v>61</v>
      </c>
      <c r="C922" s="88" t="s">
        <v>411</v>
      </c>
      <c r="D922" s="88" t="s">
        <v>597</v>
      </c>
      <c r="E922" s="88" t="s">
        <v>614</v>
      </c>
      <c r="F922" s="90"/>
      <c r="G922" s="90">
        <v>1050</v>
      </c>
      <c r="H922" s="90">
        <f t="shared" si="908"/>
        <v>0</v>
      </c>
      <c r="I922" s="90">
        <f t="shared" si="909"/>
        <v>0</v>
      </c>
      <c r="J922" s="90">
        <f t="shared" si="910"/>
        <v>0</v>
      </c>
      <c r="K922" s="90">
        <v>0</v>
      </c>
      <c r="L922" s="90">
        <f t="shared" si="911"/>
        <v>0</v>
      </c>
      <c r="M922" s="91" t="s">
        <v>622</v>
      </c>
      <c r="O922" s="90"/>
      <c r="P922" s="90"/>
      <c r="Z922" s="90">
        <f t="shared" si="912"/>
        <v>0</v>
      </c>
      <c r="AB922" s="90">
        <f t="shared" si="913"/>
        <v>0</v>
      </c>
      <c r="AC922" s="90">
        <f t="shared" si="914"/>
        <v>0</v>
      </c>
      <c r="AD922" s="90">
        <f t="shared" si="915"/>
        <v>0</v>
      </c>
      <c r="AE922" s="90">
        <f t="shared" si="916"/>
        <v>0</v>
      </c>
      <c r="AF922" s="90">
        <f t="shared" si="917"/>
        <v>0</v>
      </c>
      <c r="AG922" s="90">
        <f t="shared" si="918"/>
        <v>0</v>
      </c>
      <c r="AH922" s="90">
        <f t="shared" si="919"/>
        <v>0</v>
      </c>
      <c r="AI922" s="154" t="s">
        <v>61</v>
      </c>
      <c r="AJ922" s="90">
        <f t="shared" si="920"/>
        <v>0</v>
      </c>
      <c r="AK922" s="90">
        <f t="shared" si="921"/>
        <v>0</v>
      </c>
      <c r="AL922" s="90">
        <f t="shared" si="922"/>
        <v>0</v>
      </c>
      <c r="AN922" s="90">
        <v>15</v>
      </c>
      <c r="AO922" s="90">
        <f t="shared" si="923"/>
        <v>0</v>
      </c>
      <c r="AP922" s="90">
        <f t="shared" si="924"/>
        <v>1050</v>
      </c>
      <c r="AQ922" s="91" t="s">
        <v>79</v>
      </c>
      <c r="AV922" s="90">
        <f t="shared" si="925"/>
        <v>0</v>
      </c>
      <c r="AW922" s="90">
        <f t="shared" si="926"/>
        <v>0</v>
      </c>
      <c r="AX922" s="90">
        <f t="shared" si="927"/>
        <v>0</v>
      </c>
      <c r="AY922" s="91" t="s">
        <v>649</v>
      </c>
      <c r="AZ922" s="91" t="s">
        <v>1643</v>
      </c>
      <c r="BA922" s="154" t="s">
        <v>1649</v>
      </c>
      <c r="BC922" s="90">
        <f t="shared" si="928"/>
        <v>0</v>
      </c>
      <c r="BD922" s="90">
        <f t="shared" si="929"/>
        <v>1050</v>
      </c>
      <c r="BE922" s="90">
        <v>0</v>
      </c>
      <c r="BF922" s="90">
        <f t="shared" si="930"/>
        <v>0</v>
      </c>
      <c r="BH922" s="90">
        <f t="shared" si="931"/>
        <v>0</v>
      </c>
      <c r="BI922" s="90">
        <f t="shared" si="932"/>
        <v>0</v>
      </c>
      <c r="BJ922" s="90">
        <f t="shared" si="933"/>
        <v>0</v>
      </c>
    </row>
    <row r="923" spans="1:62" ht="12.75" hidden="1">
      <c r="A923" s="88" t="s">
        <v>2127</v>
      </c>
      <c r="B923" s="88" t="s">
        <v>61</v>
      </c>
      <c r="C923" s="88" t="s">
        <v>412</v>
      </c>
      <c r="D923" s="88" t="s">
        <v>598</v>
      </c>
      <c r="E923" s="88" t="s">
        <v>606</v>
      </c>
      <c r="F923" s="90"/>
      <c r="G923" s="90">
        <v>400</v>
      </c>
      <c r="H923" s="90">
        <f t="shared" si="908"/>
        <v>0</v>
      </c>
      <c r="I923" s="90">
        <f t="shared" si="909"/>
        <v>0</v>
      </c>
      <c r="J923" s="90">
        <f t="shared" si="910"/>
        <v>0</v>
      </c>
      <c r="K923" s="90">
        <v>0</v>
      </c>
      <c r="L923" s="90">
        <f t="shared" si="911"/>
        <v>0</v>
      </c>
      <c r="M923" s="91" t="s">
        <v>622</v>
      </c>
      <c r="O923" s="90"/>
      <c r="P923" s="90"/>
      <c r="Z923" s="90">
        <f t="shared" si="912"/>
        <v>0</v>
      </c>
      <c r="AB923" s="90">
        <f t="shared" si="913"/>
        <v>0</v>
      </c>
      <c r="AC923" s="90">
        <f t="shared" si="914"/>
        <v>0</v>
      </c>
      <c r="AD923" s="90">
        <f t="shared" si="915"/>
        <v>0</v>
      </c>
      <c r="AE923" s="90">
        <f t="shared" si="916"/>
        <v>0</v>
      </c>
      <c r="AF923" s="90">
        <f t="shared" si="917"/>
        <v>0</v>
      </c>
      <c r="AG923" s="90">
        <f t="shared" si="918"/>
        <v>0</v>
      </c>
      <c r="AH923" s="90">
        <f t="shared" si="919"/>
        <v>0</v>
      </c>
      <c r="AI923" s="154" t="s">
        <v>61</v>
      </c>
      <c r="AJ923" s="90">
        <f t="shared" si="920"/>
        <v>0</v>
      </c>
      <c r="AK923" s="90">
        <f t="shared" si="921"/>
        <v>0</v>
      </c>
      <c r="AL923" s="90">
        <f t="shared" si="922"/>
        <v>0</v>
      </c>
      <c r="AN923" s="90">
        <v>15</v>
      </c>
      <c r="AO923" s="90">
        <f t="shared" si="923"/>
        <v>0</v>
      </c>
      <c r="AP923" s="90">
        <f t="shared" si="924"/>
        <v>400</v>
      </c>
      <c r="AQ923" s="91" t="s">
        <v>79</v>
      </c>
      <c r="AV923" s="90">
        <f t="shared" si="925"/>
        <v>0</v>
      </c>
      <c r="AW923" s="90">
        <f t="shared" si="926"/>
        <v>0</v>
      </c>
      <c r="AX923" s="90">
        <f t="shared" si="927"/>
        <v>0</v>
      </c>
      <c r="AY923" s="91" t="s">
        <v>649</v>
      </c>
      <c r="AZ923" s="91" t="s">
        <v>1643</v>
      </c>
      <c r="BA923" s="154" t="s">
        <v>1649</v>
      </c>
      <c r="BC923" s="90">
        <f t="shared" si="928"/>
        <v>0</v>
      </c>
      <c r="BD923" s="90">
        <f t="shared" si="929"/>
        <v>400</v>
      </c>
      <c r="BE923" s="90">
        <v>0</v>
      </c>
      <c r="BF923" s="90">
        <f t="shared" si="930"/>
        <v>0</v>
      </c>
      <c r="BH923" s="90">
        <f t="shared" si="931"/>
        <v>0</v>
      </c>
      <c r="BI923" s="90">
        <f t="shared" si="932"/>
        <v>0</v>
      </c>
      <c r="BJ923" s="90">
        <f t="shared" si="933"/>
        <v>0</v>
      </c>
    </row>
    <row r="924" spans="1:62" ht="12.75" hidden="1">
      <c r="A924" s="88" t="s">
        <v>2128</v>
      </c>
      <c r="B924" s="88" t="s">
        <v>61</v>
      </c>
      <c r="C924" s="88" t="s">
        <v>413</v>
      </c>
      <c r="D924" s="88" t="s">
        <v>599</v>
      </c>
      <c r="E924" s="88" t="s">
        <v>606</v>
      </c>
      <c r="F924" s="90"/>
      <c r="G924" s="90">
        <v>1200</v>
      </c>
      <c r="H924" s="90">
        <f t="shared" si="908"/>
        <v>0</v>
      </c>
      <c r="I924" s="90">
        <f t="shared" si="909"/>
        <v>0</v>
      </c>
      <c r="J924" s="90">
        <f t="shared" si="910"/>
        <v>0</v>
      </c>
      <c r="K924" s="90">
        <v>0</v>
      </c>
      <c r="L924" s="90">
        <f t="shared" si="911"/>
        <v>0</v>
      </c>
      <c r="M924" s="91" t="s">
        <v>622</v>
      </c>
      <c r="O924" s="90"/>
      <c r="P924" s="90"/>
      <c r="Z924" s="90">
        <f t="shared" si="912"/>
        <v>0</v>
      </c>
      <c r="AB924" s="90">
        <f t="shared" si="913"/>
        <v>0</v>
      </c>
      <c r="AC924" s="90">
        <f t="shared" si="914"/>
        <v>0</v>
      </c>
      <c r="AD924" s="90">
        <f t="shared" si="915"/>
        <v>0</v>
      </c>
      <c r="AE924" s="90">
        <f t="shared" si="916"/>
        <v>0</v>
      </c>
      <c r="AF924" s="90">
        <f t="shared" si="917"/>
        <v>0</v>
      </c>
      <c r="AG924" s="90">
        <f t="shared" si="918"/>
        <v>0</v>
      </c>
      <c r="AH924" s="90">
        <f t="shared" si="919"/>
        <v>0</v>
      </c>
      <c r="AI924" s="154" t="s">
        <v>61</v>
      </c>
      <c r="AJ924" s="90">
        <f t="shared" si="920"/>
        <v>0</v>
      </c>
      <c r="AK924" s="90">
        <f t="shared" si="921"/>
        <v>0</v>
      </c>
      <c r="AL924" s="90">
        <f t="shared" si="922"/>
        <v>0</v>
      </c>
      <c r="AN924" s="90">
        <v>15</v>
      </c>
      <c r="AO924" s="90">
        <f t="shared" si="923"/>
        <v>0</v>
      </c>
      <c r="AP924" s="90">
        <f t="shared" si="924"/>
        <v>1200</v>
      </c>
      <c r="AQ924" s="91" t="s">
        <v>79</v>
      </c>
      <c r="AV924" s="90">
        <f t="shared" si="925"/>
        <v>0</v>
      </c>
      <c r="AW924" s="90">
        <f t="shared" si="926"/>
        <v>0</v>
      </c>
      <c r="AX924" s="90">
        <f t="shared" si="927"/>
        <v>0</v>
      </c>
      <c r="AY924" s="91" t="s">
        <v>649</v>
      </c>
      <c r="AZ924" s="91" t="s">
        <v>1643</v>
      </c>
      <c r="BA924" s="154" t="s">
        <v>1649</v>
      </c>
      <c r="BC924" s="90">
        <f t="shared" si="928"/>
        <v>0</v>
      </c>
      <c r="BD924" s="90">
        <f t="shared" si="929"/>
        <v>1200</v>
      </c>
      <c r="BE924" s="90">
        <v>0</v>
      </c>
      <c r="BF924" s="90">
        <f t="shared" si="930"/>
        <v>0</v>
      </c>
      <c r="BH924" s="90">
        <f t="shared" si="931"/>
        <v>0</v>
      </c>
      <c r="BI924" s="90">
        <f t="shared" si="932"/>
        <v>0</v>
      </c>
      <c r="BJ924" s="90">
        <f t="shared" si="933"/>
        <v>0</v>
      </c>
    </row>
    <row r="925" spans="1:62" ht="12.75" hidden="1">
      <c r="A925" s="88" t="s">
        <v>2129</v>
      </c>
      <c r="B925" s="88" t="s">
        <v>61</v>
      </c>
      <c r="C925" s="88" t="s">
        <v>414</v>
      </c>
      <c r="D925" s="88" t="s">
        <v>600</v>
      </c>
      <c r="E925" s="88" t="s">
        <v>611</v>
      </c>
      <c r="F925" s="90"/>
      <c r="G925" s="90">
        <v>410</v>
      </c>
      <c r="H925" s="90">
        <f t="shared" si="908"/>
        <v>0</v>
      </c>
      <c r="I925" s="90">
        <f t="shared" si="909"/>
        <v>0</v>
      </c>
      <c r="J925" s="90">
        <f t="shared" si="910"/>
        <v>0</v>
      </c>
      <c r="K925" s="90">
        <v>0</v>
      </c>
      <c r="L925" s="90">
        <f t="shared" si="911"/>
        <v>0</v>
      </c>
      <c r="M925" s="91" t="s">
        <v>622</v>
      </c>
      <c r="O925" s="90"/>
      <c r="P925" s="90"/>
      <c r="Z925" s="90">
        <f t="shared" si="912"/>
        <v>0</v>
      </c>
      <c r="AB925" s="90">
        <f t="shared" si="913"/>
        <v>0</v>
      </c>
      <c r="AC925" s="90">
        <f t="shared" si="914"/>
        <v>0</v>
      </c>
      <c r="AD925" s="90">
        <f t="shared" si="915"/>
        <v>0</v>
      </c>
      <c r="AE925" s="90">
        <f t="shared" si="916"/>
        <v>0</v>
      </c>
      <c r="AF925" s="90">
        <f t="shared" si="917"/>
        <v>0</v>
      </c>
      <c r="AG925" s="90">
        <f t="shared" si="918"/>
        <v>0</v>
      </c>
      <c r="AH925" s="90">
        <f t="shared" si="919"/>
        <v>0</v>
      </c>
      <c r="AI925" s="154" t="s">
        <v>61</v>
      </c>
      <c r="AJ925" s="90">
        <f t="shared" si="920"/>
        <v>0</v>
      </c>
      <c r="AK925" s="90">
        <f t="shared" si="921"/>
        <v>0</v>
      </c>
      <c r="AL925" s="90">
        <f t="shared" si="922"/>
        <v>0</v>
      </c>
      <c r="AN925" s="90">
        <v>15</v>
      </c>
      <c r="AO925" s="90">
        <f t="shared" si="923"/>
        <v>0</v>
      </c>
      <c r="AP925" s="90">
        <f t="shared" si="924"/>
        <v>410</v>
      </c>
      <c r="AQ925" s="91" t="s">
        <v>79</v>
      </c>
      <c r="AV925" s="90">
        <f t="shared" si="925"/>
        <v>0</v>
      </c>
      <c r="AW925" s="90">
        <f t="shared" si="926"/>
        <v>0</v>
      </c>
      <c r="AX925" s="90">
        <f t="shared" si="927"/>
        <v>0</v>
      </c>
      <c r="AY925" s="91" t="s">
        <v>649</v>
      </c>
      <c r="AZ925" s="91" t="s">
        <v>1643</v>
      </c>
      <c r="BA925" s="154" t="s">
        <v>1649</v>
      </c>
      <c r="BC925" s="90">
        <f t="shared" si="928"/>
        <v>0</v>
      </c>
      <c r="BD925" s="90">
        <f t="shared" si="929"/>
        <v>409.99999999999994</v>
      </c>
      <c r="BE925" s="90">
        <v>0</v>
      </c>
      <c r="BF925" s="90">
        <f t="shared" si="930"/>
        <v>0</v>
      </c>
      <c r="BH925" s="90">
        <f t="shared" si="931"/>
        <v>0</v>
      </c>
      <c r="BI925" s="90">
        <f t="shared" si="932"/>
        <v>0</v>
      </c>
      <c r="BJ925" s="90">
        <f t="shared" si="933"/>
        <v>0</v>
      </c>
    </row>
    <row r="926" spans="1:62" ht="12.75" hidden="1">
      <c r="A926" s="88" t="s">
        <v>2130</v>
      </c>
      <c r="B926" s="88" t="s">
        <v>61</v>
      </c>
      <c r="C926" s="88" t="s">
        <v>415</v>
      </c>
      <c r="D926" s="88" t="s">
        <v>601</v>
      </c>
      <c r="E926" s="88" t="s">
        <v>611</v>
      </c>
      <c r="F926" s="90"/>
      <c r="G926" s="90">
        <v>150</v>
      </c>
      <c r="H926" s="90">
        <f t="shared" si="908"/>
        <v>0</v>
      </c>
      <c r="I926" s="90">
        <f t="shared" si="909"/>
        <v>0</v>
      </c>
      <c r="J926" s="90">
        <f t="shared" si="910"/>
        <v>0</v>
      </c>
      <c r="K926" s="90">
        <v>0</v>
      </c>
      <c r="L926" s="90">
        <f t="shared" si="911"/>
        <v>0</v>
      </c>
      <c r="M926" s="91" t="s">
        <v>622</v>
      </c>
      <c r="O926" s="90"/>
      <c r="P926" s="90"/>
      <c r="Z926" s="90">
        <f t="shared" si="912"/>
        <v>0</v>
      </c>
      <c r="AB926" s="90">
        <f t="shared" si="913"/>
        <v>0</v>
      </c>
      <c r="AC926" s="90">
        <f t="shared" si="914"/>
        <v>0</v>
      </c>
      <c r="AD926" s="90">
        <f t="shared" si="915"/>
        <v>0</v>
      </c>
      <c r="AE926" s="90">
        <f t="shared" si="916"/>
        <v>0</v>
      </c>
      <c r="AF926" s="90">
        <f t="shared" si="917"/>
        <v>0</v>
      </c>
      <c r="AG926" s="90">
        <f t="shared" si="918"/>
        <v>0</v>
      </c>
      <c r="AH926" s="90">
        <f t="shared" si="919"/>
        <v>0</v>
      </c>
      <c r="AI926" s="154" t="s">
        <v>61</v>
      </c>
      <c r="AJ926" s="90">
        <f t="shared" si="920"/>
        <v>0</v>
      </c>
      <c r="AK926" s="90">
        <f t="shared" si="921"/>
        <v>0</v>
      </c>
      <c r="AL926" s="90">
        <f t="shared" si="922"/>
        <v>0</v>
      </c>
      <c r="AN926" s="90">
        <v>15</v>
      </c>
      <c r="AO926" s="90">
        <f t="shared" si="923"/>
        <v>0</v>
      </c>
      <c r="AP926" s="90">
        <f t="shared" si="924"/>
        <v>150</v>
      </c>
      <c r="AQ926" s="91" t="s">
        <v>79</v>
      </c>
      <c r="AV926" s="90">
        <f t="shared" si="925"/>
        <v>0</v>
      </c>
      <c r="AW926" s="90">
        <f t="shared" si="926"/>
        <v>0</v>
      </c>
      <c r="AX926" s="90">
        <f t="shared" si="927"/>
        <v>0</v>
      </c>
      <c r="AY926" s="91" t="s">
        <v>649</v>
      </c>
      <c r="AZ926" s="91" t="s">
        <v>1643</v>
      </c>
      <c r="BA926" s="154" t="s">
        <v>1649</v>
      </c>
      <c r="BC926" s="90">
        <f t="shared" si="928"/>
        <v>0</v>
      </c>
      <c r="BD926" s="90">
        <f t="shared" si="929"/>
        <v>150</v>
      </c>
      <c r="BE926" s="90">
        <v>0</v>
      </c>
      <c r="BF926" s="90">
        <f t="shared" si="930"/>
        <v>0</v>
      </c>
      <c r="BH926" s="90">
        <f t="shared" si="931"/>
        <v>0</v>
      </c>
      <c r="BI926" s="90">
        <f t="shared" si="932"/>
        <v>0</v>
      </c>
      <c r="BJ926" s="90">
        <f t="shared" si="933"/>
        <v>0</v>
      </c>
    </row>
    <row r="927" spans="1:62" ht="12.75" hidden="1">
      <c r="A927" s="88" t="s">
        <v>2131</v>
      </c>
      <c r="B927" s="88" t="s">
        <v>61</v>
      </c>
      <c r="C927" s="88" t="s">
        <v>416</v>
      </c>
      <c r="D927" s="88" t="s">
        <v>602</v>
      </c>
      <c r="E927" s="88" t="s">
        <v>611</v>
      </c>
      <c r="F927" s="90"/>
      <c r="G927" s="90">
        <v>150</v>
      </c>
      <c r="H927" s="90">
        <f t="shared" si="908"/>
        <v>0</v>
      </c>
      <c r="I927" s="90">
        <f t="shared" si="909"/>
        <v>0</v>
      </c>
      <c r="J927" s="90">
        <f t="shared" si="910"/>
        <v>0</v>
      </c>
      <c r="K927" s="90">
        <v>0</v>
      </c>
      <c r="L927" s="90">
        <f t="shared" si="911"/>
        <v>0</v>
      </c>
      <c r="M927" s="91" t="s">
        <v>622</v>
      </c>
      <c r="O927" s="90"/>
      <c r="P927" s="90"/>
      <c r="Z927" s="90">
        <f t="shared" si="912"/>
        <v>0</v>
      </c>
      <c r="AB927" s="90">
        <f t="shared" si="913"/>
        <v>0</v>
      </c>
      <c r="AC927" s="90">
        <f t="shared" si="914"/>
        <v>0</v>
      </c>
      <c r="AD927" s="90">
        <f t="shared" si="915"/>
        <v>0</v>
      </c>
      <c r="AE927" s="90">
        <f t="shared" si="916"/>
        <v>0</v>
      </c>
      <c r="AF927" s="90">
        <f t="shared" si="917"/>
        <v>0</v>
      </c>
      <c r="AG927" s="90">
        <f t="shared" si="918"/>
        <v>0</v>
      </c>
      <c r="AH927" s="90">
        <f t="shared" si="919"/>
        <v>0</v>
      </c>
      <c r="AI927" s="154" t="s">
        <v>61</v>
      </c>
      <c r="AJ927" s="90">
        <f t="shared" si="920"/>
        <v>0</v>
      </c>
      <c r="AK927" s="90">
        <f t="shared" si="921"/>
        <v>0</v>
      </c>
      <c r="AL927" s="90">
        <f t="shared" si="922"/>
        <v>0</v>
      </c>
      <c r="AN927" s="90">
        <v>15</v>
      </c>
      <c r="AO927" s="90">
        <f t="shared" si="923"/>
        <v>0</v>
      </c>
      <c r="AP927" s="90">
        <f t="shared" si="924"/>
        <v>150</v>
      </c>
      <c r="AQ927" s="91" t="s">
        <v>79</v>
      </c>
      <c r="AV927" s="90">
        <f t="shared" si="925"/>
        <v>0</v>
      </c>
      <c r="AW927" s="90">
        <f t="shared" si="926"/>
        <v>0</v>
      </c>
      <c r="AX927" s="90">
        <f t="shared" si="927"/>
        <v>0</v>
      </c>
      <c r="AY927" s="91" t="s">
        <v>649</v>
      </c>
      <c r="AZ927" s="91" t="s">
        <v>1643</v>
      </c>
      <c r="BA927" s="154" t="s">
        <v>1649</v>
      </c>
      <c r="BC927" s="90">
        <f t="shared" si="928"/>
        <v>0</v>
      </c>
      <c r="BD927" s="90">
        <f t="shared" si="929"/>
        <v>150</v>
      </c>
      <c r="BE927" s="90">
        <v>0</v>
      </c>
      <c r="BF927" s="90">
        <f t="shared" si="930"/>
        <v>0</v>
      </c>
      <c r="BH927" s="90">
        <f t="shared" si="931"/>
        <v>0</v>
      </c>
      <c r="BI927" s="90">
        <f t="shared" si="932"/>
        <v>0</v>
      </c>
      <c r="BJ927" s="90">
        <f t="shared" si="933"/>
        <v>0</v>
      </c>
    </row>
    <row r="928" spans="1:62" ht="12.75" hidden="1">
      <c r="A928" s="88" t="s">
        <v>2132</v>
      </c>
      <c r="B928" s="88" t="s">
        <v>61</v>
      </c>
      <c r="C928" s="88" t="s">
        <v>416</v>
      </c>
      <c r="D928" s="88" t="s">
        <v>603</v>
      </c>
      <c r="E928" s="88" t="s">
        <v>616</v>
      </c>
      <c r="F928" s="90"/>
      <c r="G928" s="90">
        <v>3110</v>
      </c>
      <c r="H928" s="90">
        <f t="shared" si="908"/>
        <v>0</v>
      </c>
      <c r="I928" s="90">
        <f t="shared" si="909"/>
        <v>0</v>
      </c>
      <c r="J928" s="90">
        <f t="shared" si="910"/>
        <v>0</v>
      </c>
      <c r="K928" s="90">
        <v>0</v>
      </c>
      <c r="L928" s="90">
        <f t="shared" si="911"/>
        <v>0</v>
      </c>
      <c r="M928" s="91" t="s">
        <v>622</v>
      </c>
      <c r="O928" s="90"/>
      <c r="P928" s="90"/>
      <c r="Z928" s="90">
        <f t="shared" si="912"/>
        <v>0</v>
      </c>
      <c r="AB928" s="90">
        <f t="shared" si="913"/>
        <v>0</v>
      </c>
      <c r="AC928" s="90">
        <f t="shared" si="914"/>
        <v>0</v>
      </c>
      <c r="AD928" s="90">
        <f t="shared" si="915"/>
        <v>0</v>
      </c>
      <c r="AE928" s="90">
        <f t="shared" si="916"/>
        <v>0</v>
      </c>
      <c r="AF928" s="90">
        <f t="shared" si="917"/>
        <v>0</v>
      </c>
      <c r="AG928" s="90">
        <f t="shared" si="918"/>
        <v>0</v>
      </c>
      <c r="AH928" s="90">
        <f t="shared" si="919"/>
        <v>0</v>
      </c>
      <c r="AI928" s="154" t="s">
        <v>61</v>
      </c>
      <c r="AJ928" s="90">
        <f t="shared" si="920"/>
        <v>0</v>
      </c>
      <c r="AK928" s="90">
        <f t="shared" si="921"/>
        <v>0</v>
      </c>
      <c r="AL928" s="90">
        <f t="shared" si="922"/>
        <v>0</v>
      </c>
      <c r="AN928" s="90">
        <v>15</v>
      </c>
      <c r="AO928" s="90">
        <f t="shared" si="923"/>
        <v>0</v>
      </c>
      <c r="AP928" s="90">
        <f t="shared" si="924"/>
        <v>3110</v>
      </c>
      <c r="AQ928" s="91" t="s">
        <v>79</v>
      </c>
      <c r="AV928" s="90">
        <f t="shared" si="925"/>
        <v>0</v>
      </c>
      <c r="AW928" s="90">
        <f t="shared" si="926"/>
        <v>0</v>
      </c>
      <c r="AX928" s="90">
        <f t="shared" si="927"/>
        <v>0</v>
      </c>
      <c r="AY928" s="91" t="s">
        <v>649</v>
      </c>
      <c r="AZ928" s="91" t="s">
        <v>1643</v>
      </c>
      <c r="BA928" s="154" t="s">
        <v>1649</v>
      </c>
      <c r="BC928" s="90">
        <f t="shared" si="928"/>
        <v>0</v>
      </c>
      <c r="BD928" s="90">
        <f t="shared" si="929"/>
        <v>3110</v>
      </c>
      <c r="BE928" s="90">
        <v>0</v>
      </c>
      <c r="BF928" s="90">
        <f t="shared" si="930"/>
        <v>0</v>
      </c>
      <c r="BH928" s="90">
        <f t="shared" si="931"/>
        <v>0</v>
      </c>
      <c r="BI928" s="90">
        <f t="shared" si="932"/>
        <v>0</v>
      </c>
      <c r="BJ928" s="90">
        <f t="shared" si="933"/>
        <v>0</v>
      </c>
    </row>
    <row r="929" spans="1:62" ht="12.75" hidden="1">
      <c r="A929" s="88" t="s">
        <v>2133</v>
      </c>
      <c r="B929" s="88" t="s">
        <v>61</v>
      </c>
      <c r="C929" s="88" t="s">
        <v>1222</v>
      </c>
      <c r="D929" s="88" t="s">
        <v>1523</v>
      </c>
      <c r="E929" s="88" t="s">
        <v>611</v>
      </c>
      <c r="F929" s="90"/>
      <c r="G929" s="90">
        <v>350</v>
      </c>
      <c r="H929" s="90">
        <f t="shared" si="908"/>
        <v>0</v>
      </c>
      <c r="I929" s="90">
        <f t="shared" si="909"/>
        <v>0</v>
      </c>
      <c r="J929" s="90">
        <f t="shared" si="910"/>
        <v>0</v>
      </c>
      <c r="K929" s="90">
        <v>0</v>
      </c>
      <c r="L929" s="90">
        <f t="shared" si="911"/>
        <v>0</v>
      </c>
      <c r="M929" s="91" t="s">
        <v>622</v>
      </c>
      <c r="O929" s="90"/>
      <c r="P929" s="90"/>
      <c r="Z929" s="90">
        <f t="shared" si="912"/>
        <v>0</v>
      </c>
      <c r="AB929" s="90">
        <f t="shared" si="913"/>
        <v>0</v>
      </c>
      <c r="AC929" s="90">
        <f t="shared" si="914"/>
        <v>0</v>
      </c>
      <c r="AD929" s="90">
        <f t="shared" si="915"/>
        <v>0</v>
      </c>
      <c r="AE929" s="90">
        <f t="shared" si="916"/>
        <v>0</v>
      </c>
      <c r="AF929" s="90">
        <f t="shared" si="917"/>
        <v>0</v>
      </c>
      <c r="AG929" s="90">
        <f t="shared" si="918"/>
        <v>0</v>
      </c>
      <c r="AH929" s="90">
        <f t="shared" si="919"/>
        <v>0</v>
      </c>
      <c r="AI929" s="154" t="s">
        <v>61</v>
      </c>
      <c r="AJ929" s="90">
        <f t="shared" si="920"/>
        <v>0</v>
      </c>
      <c r="AK929" s="90">
        <f t="shared" si="921"/>
        <v>0</v>
      </c>
      <c r="AL929" s="90">
        <f t="shared" si="922"/>
        <v>0</v>
      </c>
      <c r="AN929" s="90">
        <v>15</v>
      </c>
      <c r="AO929" s="90">
        <f t="shared" si="923"/>
        <v>0</v>
      </c>
      <c r="AP929" s="90">
        <f t="shared" si="924"/>
        <v>350</v>
      </c>
      <c r="AQ929" s="91" t="s">
        <v>79</v>
      </c>
      <c r="AV929" s="90">
        <f t="shared" si="925"/>
        <v>0</v>
      </c>
      <c r="AW929" s="90">
        <f t="shared" si="926"/>
        <v>0</v>
      </c>
      <c r="AX929" s="90">
        <f t="shared" si="927"/>
        <v>0</v>
      </c>
      <c r="AY929" s="91" t="s">
        <v>649</v>
      </c>
      <c r="AZ929" s="91" t="s">
        <v>1643</v>
      </c>
      <c r="BA929" s="154" t="s">
        <v>1649</v>
      </c>
      <c r="BC929" s="90">
        <f t="shared" si="928"/>
        <v>0</v>
      </c>
      <c r="BD929" s="90">
        <f t="shared" si="929"/>
        <v>350</v>
      </c>
      <c r="BE929" s="90">
        <v>0</v>
      </c>
      <c r="BF929" s="90">
        <f t="shared" si="930"/>
        <v>0</v>
      </c>
      <c r="BH929" s="90">
        <f t="shared" si="931"/>
        <v>0</v>
      </c>
      <c r="BI929" s="90">
        <f t="shared" si="932"/>
        <v>0</v>
      </c>
      <c r="BJ929" s="90">
        <f t="shared" si="933"/>
        <v>0</v>
      </c>
    </row>
    <row r="930" spans="1:62" ht="12.75" hidden="1">
      <c r="A930" s="88" t="s">
        <v>2134</v>
      </c>
      <c r="B930" s="88" t="s">
        <v>61</v>
      </c>
      <c r="C930" s="88" t="s">
        <v>1223</v>
      </c>
      <c r="D930" s="88" t="s">
        <v>1524</v>
      </c>
      <c r="E930" s="88" t="s">
        <v>606</v>
      </c>
      <c r="F930" s="90"/>
      <c r="G930" s="90">
        <v>3420</v>
      </c>
      <c r="H930" s="90">
        <f t="shared" si="908"/>
        <v>0</v>
      </c>
      <c r="I930" s="90">
        <f t="shared" si="909"/>
        <v>0</v>
      </c>
      <c r="J930" s="90">
        <f t="shared" si="910"/>
        <v>0</v>
      </c>
      <c r="K930" s="90">
        <v>0</v>
      </c>
      <c r="L930" s="90">
        <f t="shared" si="911"/>
        <v>0</v>
      </c>
      <c r="M930" s="91" t="s">
        <v>622</v>
      </c>
      <c r="O930" s="90"/>
      <c r="P930" s="90"/>
      <c r="Z930" s="90">
        <f t="shared" si="912"/>
        <v>0</v>
      </c>
      <c r="AB930" s="90">
        <f t="shared" si="913"/>
        <v>0</v>
      </c>
      <c r="AC930" s="90">
        <f t="shared" si="914"/>
        <v>0</v>
      </c>
      <c r="AD930" s="90">
        <f t="shared" si="915"/>
        <v>0</v>
      </c>
      <c r="AE930" s="90">
        <f t="shared" si="916"/>
        <v>0</v>
      </c>
      <c r="AF930" s="90">
        <f t="shared" si="917"/>
        <v>0</v>
      </c>
      <c r="AG930" s="90">
        <f t="shared" si="918"/>
        <v>0</v>
      </c>
      <c r="AH930" s="90">
        <f t="shared" si="919"/>
        <v>0</v>
      </c>
      <c r="AI930" s="154" t="s">
        <v>61</v>
      </c>
      <c r="AJ930" s="90">
        <f t="shared" si="920"/>
        <v>0</v>
      </c>
      <c r="AK930" s="90">
        <f t="shared" si="921"/>
        <v>0</v>
      </c>
      <c r="AL930" s="90">
        <f t="shared" si="922"/>
        <v>0</v>
      </c>
      <c r="AN930" s="90">
        <v>15</v>
      </c>
      <c r="AO930" s="90">
        <f t="shared" si="923"/>
        <v>0</v>
      </c>
      <c r="AP930" s="90">
        <f t="shared" si="924"/>
        <v>3420</v>
      </c>
      <c r="AQ930" s="91" t="s">
        <v>79</v>
      </c>
      <c r="AV930" s="90">
        <f t="shared" si="925"/>
        <v>0</v>
      </c>
      <c r="AW930" s="90">
        <f t="shared" si="926"/>
        <v>0</v>
      </c>
      <c r="AX930" s="90">
        <f t="shared" si="927"/>
        <v>0</v>
      </c>
      <c r="AY930" s="91" t="s">
        <v>649</v>
      </c>
      <c r="AZ930" s="91" t="s">
        <v>1643</v>
      </c>
      <c r="BA930" s="154" t="s">
        <v>1649</v>
      </c>
      <c r="BC930" s="90">
        <f t="shared" si="928"/>
        <v>0</v>
      </c>
      <c r="BD930" s="90">
        <f t="shared" si="929"/>
        <v>3420.0000000000005</v>
      </c>
      <c r="BE930" s="90">
        <v>0</v>
      </c>
      <c r="BF930" s="90">
        <f t="shared" si="930"/>
        <v>0</v>
      </c>
      <c r="BH930" s="90">
        <f t="shared" si="931"/>
        <v>0</v>
      </c>
      <c r="BI930" s="90">
        <f t="shared" si="932"/>
        <v>0</v>
      </c>
      <c r="BJ930" s="90">
        <f t="shared" si="933"/>
        <v>0</v>
      </c>
    </row>
    <row r="931" spans="1:62" ht="12.75" hidden="1">
      <c r="A931" s="88" t="s">
        <v>2135</v>
      </c>
      <c r="B931" s="88" t="s">
        <v>61</v>
      </c>
      <c r="C931" s="88" t="s">
        <v>417</v>
      </c>
      <c r="D931" s="88" t="s">
        <v>604</v>
      </c>
      <c r="E931" s="88" t="s">
        <v>611</v>
      </c>
      <c r="F931" s="90"/>
      <c r="G931" s="90">
        <v>270</v>
      </c>
      <c r="H931" s="90">
        <f t="shared" si="908"/>
        <v>0</v>
      </c>
      <c r="I931" s="90">
        <f t="shared" si="909"/>
        <v>0</v>
      </c>
      <c r="J931" s="90">
        <f t="shared" si="910"/>
        <v>0</v>
      </c>
      <c r="K931" s="90">
        <v>0</v>
      </c>
      <c r="L931" s="90">
        <f t="shared" si="911"/>
        <v>0</v>
      </c>
      <c r="M931" s="91" t="s">
        <v>622</v>
      </c>
      <c r="O931" s="90"/>
      <c r="P931" s="90"/>
      <c r="Z931" s="90">
        <f t="shared" si="912"/>
        <v>0</v>
      </c>
      <c r="AB931" s="90">
        <f t="shared" si="913"/>
        <v>0</v>
      </c>
      <c r="AC931" s="90">
        <f t="shared" si="914"/>
        <v>0</v>
      </c>
      <c r="AD931" s="90">
        <f t="shared" si="915"/>
        <v>0</v>
      </c>
      <c r="AE931" s="90">
        <f t="shared" si="916"/>
        <v>0</v>
      </c>
      <c r="AF931" s="90">
        <f t="shared" si="917"/>
        <v>0</v>
      </c>
      <c r="AG931" s="90">
        <f t="shared" si="918"/>
        <v>0</v>
      </c>
      <c r="AH931" s="90">
        <f t="shared" si="919"/>
        <v>0</v>
      </c>
      <c r="AI931" s="154" t="s">
        <v>61</v>
      </c>
      <c r="AJ931" s="90">
        <f t="shared" si="920"/>
        <v>0</v>
      </c>
      <c r="AK931" s="90">
        <f t="shared" si="921"/>
        <v>0</v>
      </c>
      <c r="AL931" s="90">
        <f t="shared" si="922"/>
        <v>0</v>
      </c>
      <c r="AN931" s="90">
        <v>15</v>
      </c>
      <c r="AO931" s="90">
        <f t="shared" si="923"/>
        <v>0</v>
      </c>
      <c r="AP931" s="90">
        <f t="shared" si="924"/>
        <v>270</v>
      </c>
      <c r="AQ931" s="91" t="s">
        <v>79</v>
      </c>
      <c r="AV931" s="90">
        <f t="shared" si="925"/>
        <v>0</v>
      </c>
      <c r="AW931" s="90">
        <f t="shared" si="926"/>
        <v>0</v>
      </c>
      <c r="AX931" s="90">
        <f t="shared" si="927"/>
        <v>0</v>
      </c>
      <c r="AY931" s="91" t="s">
        <v>649</v>
      </c>
      <c r="AZ931" s="91" t="s">
        <v>1643</v>
      </c>
      <c r="BA931" s="154" t="s">
        <v>1649</v>
      </c>
      <c r="BC931" s="90">
        <f t="shared" si="928"/>
        <v>0</v>
      </c>
      <c r="BD931" s="90">
        <f t="shared" si="929"/>
        <v>270</v>
      </c>
      <c r="BE931" s="90">
        <v>0</v>
      </c>
      <c r="BF931" s="90">
        <f t="shared" si="930"/>
        <v>0</v>
      </c>
      <c r="BH931" s="90">
        <f t="shared" si="931"/>
        <v>0</v>
      </c>
      <c r="BI931" s="90">
        <f t="shared" si="932"/>
        <v>0</v>
      </c>
      <c r="BJ931" s="90">
        <f t="shared" si="933"/>
        <v>0</v>
      </c>
    </row>
    <row r="932" spans="1:16" ht="12.75" hidden="1">
      <c r="A932" s="162"/>
      <c r="B932" s="163" t="s">
        <v>62</v>
      </c>
      <c r="C932" s="163"/>
      <c r="D932" s="163" t="s">
        <v>68</v>
      </c>
      <c r="E932" s="162" t="s">
        <v>57</v>
      </c>
      <c r="F932" s="162"/>
      <c r="G932" s="162" t="s">
        <v>57</v>
      </c>
      <c r="H932" s="164">
        <f>H933+H936+H938+H942+H957+H959+H961</f>
        <v>0</v>
      </c>
      <c r="I932" s="164">
        <f>I933+I936+I938+I942+I957+I959+I961</f>
        <v>0</v>
      </c>
      <c r="J932" s="164">
        <f>J933+J936+J938+J942+J957+J959+J961</f>
        <v>0</v>
      </c>
      <c r="K932" s="165"/>
      <c r="L932" s="164">
        <f>L933+L936+L938+L942+L957+L959+L961</f>
        <v>0</v>
      </c>
      <c r="M932" s="165"/>
      <c r="O932" s="162"/>
      <c r="P932" s="162"/>
    </row>
    <row r="933" spans="1:47" ht="12.75" hidden="1">
      <c r="A933" s="159"/>
      <c r="B933" s="160" t="s">
        <v>62</v>
      </c>
      <c r="C933" s="160" t="s">
        <v>87</v>
      </c>
      <c r="D933" s="160" t="s">
        <v>1672</v>
      </c>
      <c r="E933" s="159" t="s">
        <v>57</v>
      </c>
      <c r="F933" s="159"/>
      <c r="G933" s="159" t="s">
        <v>57</v>
      </c>
      <c r="H933" s="161">
        <f>SUM(H934:H935)</f>
        <v>0</v>
      </c>
      <c r="I933" s="161">
        <f>SUM(I934:I935)</f>
        <v>0</v>
      </c>
      <c r="J933" s="161">
        <f>SUM(J934:J935)</f>
        <v>0</v>
      </c>
      <c r="K933" s="154"/>
      <c r="L933" s="161">
        <f>SUM(L934:L935)</f>
        <v>0</v>
      </c>
      <c r="M933" s="154"/>
      <c r="O933" s="159"/>
      <c r="P933" s="159"/>
      <c r="AI933" s="154" t="s">
        <v>62</v>
      </c>
      <c r="AS933" s="161">
        <f>SUM(AJ934:AJ935)</f>
        <v>0</v>
      </c>
      <c r="AT933" s="161">
        <f>SUM(AK934:AK935)</f>
        <v>0</v>
      </c>
      <c r="AU933" s="161">
        <f>SUM(AL934:AL935)</f>
        <v>0</v>
      </c>
    </row>
    <row r="934" spans="1:62" ht="12.75" hidden="1">
      <c r="A934" s="88" t="s">
        <v>2136</v>
      </c>
      <c r="B934" s="88" t="s">
        <v>62</v>
      </c>
      <c r="C934" s="88" t="s">
        <v>385</v>
      </c>
      <c r="D934" s="88" t="s">
        <v>571</v>
      </c>
      <c r="E934" s="88" t="s">
        <v>606</v>
      </c>
      <c r="F934" s="90"/>
      <c r="G934" s="90">
        <v>0</v>
      </c>
      <c r="H934" s="90">
        <f>F934*AO934</f>
        <v>0</v>
      </c>
      <c r="I934" s="90">
        <f>F934*AP934</f>
        <v>0</v>
      </c>
      <c r="J934" s="90">
        <f>F934*G934</f>
        <v>0</v>
      </c>
      <c r="K934" s="90">
        <v>0</v>
      </c>
      <c r="L934" s="90">
        <f>F934*K934</f>
        <v>0</v>
      </c>
      <c r="M934" s="91" t="s">
        <v>1693</v>
      </c>
      <c r="O934" s="90"/>
      <c r="P934" s="90"/>
      <c r="Z934" s="90">
        <f>IF(AQ934="5",BJ934,0)</f>
        <v>0</v>
      </c>
      <c r="AB934" s="90">
        <f>IF(AQ934="1",BH934,0)</f>
        <v>0</v>
      </c>
      <c r="AC934" s="90">
        <f>IF(AQ934="1",BI934,0)</f>
        <v>0</v>
      </c>
      <c r="AD934" s="90">
        <f>IF(AQ934="7",BH934,0)</f>
        <v>0</v>
      </c>
      <c r="AE934" s="90">
        <f>IF(AQ934="7",BI934,0)</f>
        <v>0</v>
      </c>
      <c r="AF934" s="90">
        <f>IF(AQ934="2",BH934,0)</f>
        <v>0</v>
      </c>
      <c r="AG934" s="90">
        <f>IF(AQ934="2",BI934,0)</f>
        <v>0</v>
      </c>
      <c r="AH934" s="90">
        <f>IF(AQ934="0",BJ934,0)</f>
        <v>0</v>
      </c>
      <c r="AI934" s="154" t="s">
        <v>62</v>
      </c>
      <c r="AJ934" s="90">
        <f>IF(AN934=0,J934,0)</f>
        <v>0</v>
      </c>
      <c r="AK934" s="90">
        <f>IF(AN934=15,J934,0)</f>
        <v>0</v>
      </c>
      <c r="AL934" s="90">
        <f>IF(AN934=21,J934,0)</f>
        <v>0</v>
      </c>
      <c r="AN934" s="90">
        <v>15</v>
      </c>
      <c r="AO934" s="90">
        <f>G934*0</f>
        <v>0</v>
      </c>
      <c r="AP934" s="90">
        <f>G934*(1-0)</f>
        <v>0</v>
      </c>
      <c r="AQ934" s="91" t="s">
        <v>79</v>
      </c>
      <c r="AV934" s="90">
        <f>AW934+AX934</f>
        <v>0</v>
      </c>
      <c r="AW934" s="90">
        <f>F934*AO934</f>
        <v>0</v>
      </c>
      <c r="AX934" s="90">
        <f>F934*AP934</f>
        <v>0</v>
      </c>
      <c r="AY934" s="91" t="s">
        <v>1694</v>
      </c>
      <c r="AZ934" s="91" t="s">
        <v>1701</v>
      </c>
      <c r="BA934" s="154" t="s">
        <v>1703</v>
      </c>
      <c r="BC934" s="90">
        <f>AW934+AX934</f>
        <v>0</v>
      </c>
      <c r="BD934" s="90">
        <f>G934/(100-BE934)*100</f>
        <v>0</v>
      </c>
      <c r="BE934" s="90">
        <v>0</v>
      </c>
      <c r="BF934" s="90">
        <f>L934</f>
        <v>0</v>
      </c>
      <c r="BH934" s="90">
        <f>F934*AO934</f>
        <v>0</v>
      </c>
      <c r="BI934" s="90">
        <f>F934*AP934</f>
        <v>0</v>
      </c>
      <c r="BJ934" s="90">
        <f>F934*G934</f>
        <v>0</v>
      </c>
    </row>
    <row r="935" spans="1:62" ht="12.75" hidden="1">
      <c r="A935" s="88" t="s">
        <v>2137</v>
      </c>
      <c r="B935" s="88" t="s">
        <v>62</v>
      </c>
      <c r="C935" s="88" t="s">
        <v>387</v>
      </c>
      <c r="D935" s="88" t="s">
        <v>573</v>
      </c>
      <c r="E935" s="88" t="s">
        <v>609</v>
      </c>
      <c r="F935" s="90"/>
      <c r="G935" s="90">
        <v>0</v>
      </c>
      <c r="H935" s="90">
        <f>F935*AO935</f>
        <v>0</v>
      </c>
      <c r="I935" s="90">
        <f>F935*AP935</f>
        <v>0</v>
      </c>
      <c r="J935" s="90">
        <f>F935*G935</f>
        <v>0</v>
      </c>
      <c r="K935" s="90">
        <v>0</v>
      </c>
      <c r="L935" s="90">
        <f>F935*K935</f>
        <v>0</v>
      </c>
      <c r="M935" s="91" t="s">
        <v>1693</v>
      </c>
      <c r="O935" s="90"/>
      <c r="P935" s="90"/>
      <c r="Z935" s="90">
        <f>IF(AQ935="5",BJ935,0)</f>
        <v>0</v>
      </c>
      <c r="AB935" s="90">
        <f>IF(AQ935="1",BH935,0)</f>
        <v>0</v>
      </c>
      <c r="AC935" s="90">
        <f>IF(AQ935="1",BI935,0)</f>
        <v>0</v>
      </c>
      <c r="AD935" s="90">
        <f>IF(AQ935="7",BH935,0)</f>
        <v>0</v>
      </c>
      <c r="AE935" s="90">
        <f>IF(AQ935="7",BI935,0)</f>
        <v>0</v>
      </c>
      <c r="AF935" s="90">
        <f>IF(AQ935="2",BH935,0)</f>
        <v>0</v>
      </c>
      <c r="AG935" s="90">
        <f>IF(AQ935="2",BI935,0)</f>
        <v>0</v>
      </c>
      <c r="AH935" s="90">
        <f>IF(AQ935="0",BJ935,0)</f>
        <v>0</v>
      </c>
      <c r="AI935" s="154" t="s">
        <v>62</v>
      </c>
      <c r="AJ935" s="90">
        <f>IF(AN935=0,J935,0)</f>
        <v>0</v>
      </c>
      <c r="AK935" s="90">
        <f>IF(AN935=15,J935,0)</f>
        <v>0</v>
      </c>
      <c r="AL935" s="90">
        <f>IF(AN935=21,J935,0)</f>
        <v>0</v>
      </c>
      <c r="AN935" s="90">
        <v>15</v>
      </c>
      <c r="AO935" s="90">
        <f>G935*0</f>
        <v>0</v>
      </c>
      <c r="AP935" s="90">
        <f>G935*(1-0)</f>
        <v>0</v>
      </c>
      <c r="AQ935" s="91" t="s">
        <v>79</v>
      </c>
      <c r="AV935" s="90">
        <f>AW935+AX935</f>
        <v>0</v>
      </c>
      <c r="AW935" s="90">
        <f>F935*AO935</f>
        <v>0</v>
      </c>
      <c r="AX935" s="90">
        <f>F935*AP935</f>
        <v>0</v>
      </c>
      <c r="AY935" s="91" t="s">
        <v>1694</v>
      </c>
      <c r="AZ935" s="91" t="s">
        <v>1701</v>
      </c>
      <c r="BA935" s="154" t="s">
        <v>1703</v>
      </c>
      <c r="BC935" s="90">
        <f>AW935+AX935</f>
        <v>0</v>
      </c>
      <c r="BD935" s="90">
        <f>G935/(100-BE935)*100</f>
        <v>0</v>
      </c>
      <c r="BE935" s="90">
        <v>0</v>
      </c>
      <c r="BF935" s="90">
        <f>L935</f>
        <v>0</v>
      </c>
      <c r="BH935" s="90">
        <f>F935*AO935</f>
        <v>0</v>
      </c>
      <c r="BI935" s="90">
        <f>F935*AP935</f>
        <v>0</v>
      </c>
      <c r="BJ935" s="90">
        <f>F935*G935</f>
        <v>0</v>
      </c>
    </row>
    <row r="936" spans="1:47" ht="12.75" hidden="1">
      <c r="A936" s="159"/>
      <c r="B936" s="160" t="s">
        <v>62</v>
      </c>
      <c r="C936" s="160" t="s">
        <v>1650</v>
      </c>
      <c r="D936" s="160" t="s">
        <v>1673</v>
      </c>
      <c r="E936" s="159" t="s">
        <v>57</v>
      </c>
      <c r="F936" s="159"/>
      <c r="G936" s="159" t="s">
        <v>57</v>
      </c>
      <c r="H936" s="161">
        <f>SUM(H937:H937)</f>
        <v>0</v>
      </c>
      <c r="I936" s="161">
        <f>SUM(I937:I937)</f>
        <v>0</v>
      </c>
      <c r="J936" s="161">
        <f>SUM(J937:J937)</f>
        <v>0</v>
      </c>
      <c r="K936" s="154"/>
      <c r="L936" s="161">
        <f>SUM(L937:L937)</f>
        <v>0</v>
      </c>
      <c r="M936" s="154"/>
      <c r="O936" s="159"/>
      <c r="P936" s="159"/>
      <c r="AI936" s="154" t="s">
        <v>62</v>
      </c>
      <c r="AS936" s="161">
        <f>SUM(AJ937:AJ937)</f>
        <v>0</v>
      </c>
      <c r="AT936" s="161">
        <f>SUM(AK937:AK937)</f>
        <v>0</v>
      </c>
      <c r="AU936" s="161">
        <f>SUM(AL937:AL937)</f>
        <v>0</v>
      </c>
    </row>
    <row r="937" spans="1:62" ht="12.75" hidden="1">
      <c r="A937" s="88" t="s">
        <v>2138</v>
      </c>
      <c r="B937" s="88" t="s">
        <v>62</v>
      </c>
      <c r="C937" s="88" t="s">
        <v>388</v>
      </c>
      <c r="D937" s="88" t="s">
        <v>1674</v>
      </c>
      <c r="E937" s="88" t="s">
        <v>606</v>
      </c>
      <c r="F937" s="90"/>
      <c r="G937" s="90">
        <v>0</v>
      </c>
      <c r="H937" s="90">
        <f>F937*AO937</f>
        <v>0</v>
      </c>
      <c r="I937" s="90">
        <f>F937*AP937</f>
        <v>0</v>
      </c>
      <c r="J937" s="90">
        <f>F937*G937</f>
        <v>0</v>
      </c>
      <c r="K937" s="90">
        <v>0</v>
      </c>
      <c r="L937" s="90">
        <f>F937*K937</f>
        <v>0</v>
      </c>
      <c r="M937" s="91" t="s">
        <v>1693</v>
      </c>
      <c r="O937" s="90"/>
      <c r="P937" s="90"/>
      <c r="Z937" s="90">
        <f>IF(AQ937="5",BJ937,0)</f>
        <v>0</v>
      </c>
      <c r="AB937" s="90">
        <f>IF(AQ937="1",BH937,0)</f>
        <v>0</v>
      </c>
      <c r="AC937" s="90">
        <f>IF(AQ937="1",BI937,0)</f>
        <v>0</v>
      </c>
      <c r="AD937" s="90">
        <f>IF(AQ937="7",BH937,0)</f>
        <v>0</v>
      </c>
      <c r="AE937" s="90">
        <f>IF(AQ937="7",BI937,0)</f>
        <v>0</v>
      </c>
      <c r="AF937" s="90">
        <f>IF(AQ937="2",BH937,0)</f>
        <v>0</v>
      </c>
      <c r="AG937" s="90">
        <f>IF(AQ937="2",BI937,0)</f>
        <v>0</v>
      </c>
      <c r="AH937" s="90">
        <f>IF(AQ937="0",BJ937,0)</f>
        <v>0</v>
      </c>
      <c r="AI937" s="154" t="s">
        <v>62</v>
      </c>
      <c r="AJ937" s="90">
        <f>IF(AN937=0,J937,0)</f>
        <v>0</v>
      </c>
      <c r="AK937" s="90">
        <f>IF(AN937=15,J937,0)</f>
        <v>0</v>
      </c>
      <c r="AL937" s="90">
        <f>IF(AN937=21,J937,0)</f>
        <v>0</v>
      </c>
      <c r="AN937" s="90">
        <v>15</v>
      </c>
      <c r="AO937" s="90">
        <f>G937*0</f>
        <v>0</v>
      </c>
      <c r="AP937" s="90">
        <f>G937*(1-0)</f>
        <v>0</v>
      </c>
      <c r="AQ937" s="91" t="s">
        <v>85</v>
      </c>
      <c r="AV937" s="90">
        <f>AW937+AX937</f>
        <v>0</v>
      </c>
      <c r="AW937" s="90">
        <f>F937*AO937</f>
        <v>0</v>
      </c>
      <c r="AX937" s="90">
        <f>F937*AP937</f>
        <v>0</v>
      </c>
      <c r="AY937" s="91" t="s">
        <v>1695</v>
      </c>
      <c r="AZ937" s="91" t="s">
        <v>1702</v>
      </c>
      <c r="BA937" s="154" t="s">
        <v>1703</v>
      </c>
      <c r="BC937" s="90">
        <f>AW937+AX937</f>
        <v>0</v>
      </c>
      <c r="BD937" s="90">
        <f>G937/(100-BE937)*100</f>
        <v>0</v>
      </c>
      <c r="BE937" s="90">
        <v>0</v>
      </c>
      <c r="BF937" s="90">
        <f>L937</f>
        <v>0</v>
      </c>
      <c r="BH937" s="90">
        <f>F937*AO937</f>
        <v>0</v>
      </c>
      <c r="BI937" s="90">
        <f>F937*AP937</f>
        <v>0</v>
      </c>
      <c r="BJ937" s="90">
        <f>F937*G937</f>
        <v>0</v>
      </c>
    </row>
    <row r="938" spans="1:47" ht="12.75" hidden="1">
      <c r="A938" s="159"/>
      <c r="B938" s="160" t="s">
        <v>62</v>
      </c>
      <c r="C938" s="160" t="s">
        <v>1651</v>
      </c>
      <c r="D938" s="160" t="s">
        <v>1675</v>
      </c>
      <c r="E938" s="159" t="s">
        <v>57</v>
      </c>
      <c r="F938" s="159"/>
      <c r="G938" s="159" t="s">
        <v>57</v>
      </c>
      <c r="H938" s="161">
        <f>SUM(H939:H941)</f>
        <v>0</v>
      </c>
      <c r="I938" s="161">
        <f>SUM(I939:I941)</f>
        <v>0</v>
      </c>
      <c r="J938" s="161">
        <f>SUM(J939:J941)</f>
        <v>0</v>
      </c>
      <c r="K938" s="154"/>
      <c r="L938" s="161">
        <f>SUM(L939:L941)</f>
        <v>0</v>
      </c>
      <c r="M938" s="154"/>
      <c r="O938" s="159"/>
      <c r="P938" s="159"/>
      <c r="AI938" s="154" t="s">
        <v>62</v>
      </c>
      <c r="AS938" s="161">
        <f>SUM(AJ939:AJ941)</f>
        <v>0</v>
      </c>
      <c r="AT938" s="161">
        <f>SUM(AK939:AK941)</f>
        <v>0</v>
      </c>
      <c r="AU938" s="161">
        <f>SUM(AL939:AL941)</f>
        <v>0</v>
      </c>
    </row>
    <row r="939" spans="1:62" ht="12.75" hidden="1">
      <c r="A939" s="88" t="s">
        <v>2139</v>
      </c>
      <c r="B939" s="88" t="s">
        <v>62</v>
      </c>
      <c r="C939" s="88" t="s">
        <v>392</v>
      </c>
      <c r="D939" s="88" t="s">
        <v>1676</v>
      </c>
      <c r="E939" s="88" t="s">
        <v>611</v>
      </c>
      <c r="F939" s="90"/>
      <c r="G939" s="90">
        <v>0</v>
      </c>
      <c r="H939" s="90">
        <f>F939*AO939</f>
        <v>0</v>
      </c>
      <c r="I939" s="90">
        <f>F939*AP939</f>
        <v>0</v>
      </c>
      <c r="J939" s="90">
        <f>F939*G939</f>
        <v>0</v>
      </c>
      <c r="K939" s="90">
        <v>0</v>
      </c>
      <c r="L939" s="90">
        <f>F939*K939</f>
        <v>0</v>
      </c>
      <c r="M939" s="91" t="s">
        <v>1693</v>
      </c>
      <c r="O939" s="90"/>
      <c r="P939" s="90"/>
      <c r="Z939" s="90">
        <f>IF(AQ939="5",BJ939,0)</f>
        <v>0</v>
      </c>
      <c r="AB939" s="90">
        <f>IF(AQ939="1",BH939,0)</f>
        <v>0</v>
      </c>
      <c r="AC939" s="90">
        <f>IF(AQ939="1",BI939,0)</f>
        <v>0</v>
      </c>
      <c r="AD939" s="90">
        <f>IF(AQ939="7",BH939,0)</f>
        <v>0</v>
      </c>
      <c r="AE939" s="90">
        <f>IF(AQ939="7",BI939,0)</f>
        <v>0</v>
      </c>
      <c r="AF939" s="90">
        <f>IF(AQ939="2",BH939,0)</f>
        <v>0</v>
      </c>
      <c r="AG939" s="90">
        <f>IF(AQ939="2",BI939,0)</f>
        <v>0</v>
      </c>
      <c r="AH939" s="90">
        <f>IF(AQ939="0",BJ939,0)</f>
        <v>0</v>
      </c>
      <c r="AI939" s="154" t="s">
        <v>62</v>
      </c>
      <c r="AJ939" s="90">
        <f>IF(AN939=0,J939,0)</f>
        <v>0</v>
      </c>
      <c r="AK939" s="90">
        <f>IF(AN939=15,J939,0)</f>
        <v>0</v>
      </c>
      <c r="AL939" s="90">
        <f>IF(AN939=21,J939,0)</f>
        <v>0</v>
      </c>
      <c r="AN939" s="90">
        <v>15</v>
      </c>
      <c r="AO939" s="90">
        <f>G939*0</f>
        <v>0</v>
      </c>
      <c r="AP939" s="90">
        <f>G939*(1-0)</f>
        <v>0</v>
      </c>
      <c r="AQ939" s="91" t="s">
        <v>85</v>
      </c>
      <c r="AV939" s="90">
        <f>AW939+AX939</f>
        <v>0</v>
      </c>
      <c r="AW939" s="90">
        <f>F939*AO939</f>
        <v>0</v>
      </c>
      <c r="AX939" s="90">
        <f>F939*AP939</f>
        <v>0</v>
      </c>
      <c r="AY939" s="91" t="s">
        <v>1696</v>
      </c>
      <c r="AZ939" s="91" t="s">
        <v>1702</v>
      </c>
      <c r="BA939" s="154" t="s">
        <v>1703</v>
      </c>
      <c r="BC939" s="90">
        <f>AW939+AX939</f>
        <v>0</v>
      </c>
      <c r="BD939" s="90">
        <f>G939/(100-BE939)*100</f>
        <v>0</v>
      </c>
      <c r="BE939" s="90">
        <v>0</v>
      </c>
      <c r="BF939" s="90">
        <f>L939</f>
        <v>0</v>
      </c>
      <c r="BH939" s="90">
        <f>F939*AO939</f>
        <v>0</v>
      </c>
      <c r="BI939" s="90">
        <f>F939*AP939</f>
        <v>0</v>
      </c>
      <c r="BJ939" s="90">
        <f>F939*G939</f>
        <v>0</v>
      </c>
    </row>
    <row r="940" spans="1:62" ht="12.75" hidden="1">
      <c r="A940" s="88" t="s">
        <v>2140</v>
      </c>
      <c r="B940" s="88" t="s">
        <v>62</v>
      </c>
      <c r="C940" s="88" t="s">
        <v>1652</v>
      </c>
      <c r="D940" s="88" t="s">
        <v>1677</v>
      </c>
      <c r="E940" s="88" t="s">
        <v>611</v>
      </c>
      <c r="F940" s="90"/>
      <c r="G940" s="90">
        <v>0</v>
      </c>
      <c r="H940" s="90">
        <f>F940*AO940</f>
        <v>0</v>
      </c>
      <c r="I940" s="90">
        <f>F940*AP940</f>
        <v>0</v>
      </c>
      <c r="J940" s="90">
        <f>F940*G940</f>
        <v>0</v>
      </c>
      <c r="K940" s="90">
        <v>0</v>
      </c>
      <c r="L940" s="90">
        <f>F940*K940</f>
        <v>0</v>
      </c>
      <c r="M940" s="91" t="s">
        <v>1693</v>
      </c>
      <c r="O940" s="90"/>
      <c r="P940" s="90"/>
      <c r="Z940" s="90">
        <f>IF(AQ940="5",BJ940,0)</f>
        <v>0</v>
      </c>
      <c r="AB940" s="90">
        <f>IF(AQ940="1",BH940,0)</f>
        <v>0</v>
      </c>
      <c r="AC940" s="90">
        <f>IF(AQ940="1",BI940,0)</f>
        <v>0</v>
      </c>
      <c r="AD940" s="90">
        <f>IF(AQ940="7",BH940,0)</f>
        <v>0</v>
      </c>
      <c r="AE940" s="90">
        <f>IF(AQ940="7",BI940,0)</f>
        <v>0</v>
      </c>
      <c r="AF940" s="90">
        <f>IF(AQ940="2",BH940,0)</f>
        <v>0</v>
      </c>
      <c r="AG940" s="90">
        <f>IF(AQ940="2",BI940,0)</f>
        <v>0</v>
      </c>
      <c r="AH940" s="90">
        <f>IF(AQ940="0",BJ940,0)</f>
        <v>0</v>
      </c>
      <c r="AI940" s="154" t="s">
        <v>62</v>
      </c>
      <c r="AJ940" s="90">
        <f>IF(AN940=0,J940,0)</f>
        <v>0</v>
      </c>
      <c r="AK940" s="90">
        <f>IF(AN940=15,J940,0)</f>
        <v>0</v>
      </c>
      <c r="AL940" s="90">
        <f>IF(AN940=21,J940,0)</f>
        <v>0</v>
      </c>
      <c r="AN940" s="90">
        <v>15</v>
      </c>
      <c r="AO940" s="90">
        <f>G940*0</f>
        <v>0</v>
      </c>
      <c r="AP940" s="90">
        <f>G940*(1-0)</f>
        <v>0</v>
      </c>
      <c r="AQ940" s="91" t="s">
        <v>85</v>
      </c>
      <c r="AV940" s="90">
        <f>AW940+AX940</f>
        <v>0</v>
      </c>
      <c r="AW940" s="90">
        <f>F940*AO940</f>
        <v>0</v>
      </c>
      <c r="AX940" s="90">
        <f>F940*AP940</f>
        <v>0</v>
      </c>
      <c r="AY940" s="91" t="s">
        <v>1696</v>
      </c>
      <c r="AZ940" s="91" t="s">
        <v>1702</v>
      </c>
      <c r="BA940" s="154" t="s">
        <v>1703</v>
      </c>
      <c r="BC940" s="90">
        <f>AW940+AX940</f>
        <v>0</v>
      </c>
      <c r="BD940" s="90">
        <f>G940/(100-BE940)*100</f>
        <v>0</v>
      </c>
      <c r="BE940" s="90">
        <v>0</v>
      </c>
      <c r="BF940" s="90">
        <f>L940</f>
        <v>0</v>
      </c>
      <c r="BH940" s="90">
        <f>F940*AO940</f>
        <v>0</v>
      </c>
      <c r="BI940" s="90">
        <f>F940*AP940</f>
        <v>0</v>
      </c>
      <c r="BJ940" s="90">
        <f>F940*G940</f>
        <v>0</v>
      </c>
    </row>
    <row r="941" spans="1:62" ht="12.75" hidden="1">
      <c r="A941" s="88" t="s">
        <v>2141</v>
      </c>
      <c r="B941" s="88" t="s">
        <v>62</v>
      </c>
      <c r="C941" s="88" t="s">
        <v>392</v>
      </c>
      <c r="D941" s="88" t="s">
        <v>578</v>
      </c>
      <c r="E941" s="88" t="s">
        <v>611</v>
      </c>
      <c r="F941" s="90"/>
      <c r="G941" s="90">
        <v>0</v>
      </c>
      <c r="H941" s="90">
        <f>F941*AO941</f>
        <v>0</v>
      </c>
      <c r="I941" s="90">
        <f>F941*AP941</f>
        <v>0</v>
      </c>
      <c r="J941" s="90">
        <f>F941*G941</f>
        <v>0</v>
      </c>
      <c r="K941" s="90">
        <v>0</v>
      </c>
      <c r="L941" s="90">
        <f>F941*K941</f>
        <v>0</v>
      </c>
      <c r="M941" s="91" t="s">
        <v>1693</v>
      </c>
      <c r="O941" s="90"/>
      <c r="P941" s="90"/>
      <c r="Z941" s="90">
        <f>IF(AQ941="5",BJ941,0)</f>
        <v>0</v>
      </c>
      <c r="AB941" s="90">
        <f>IF(AQ941="1",BH941,0)</f>
        <v>0</v>
      </c>
      <c r="AC941" s="90">
        <f>IF(AQ941="1",BI941,0)</f>
        <v>0</v>
      </c>
      <c r="AD941" s="90">
        <f>IF(AQ941="7",BH941,0)</f>
        <v>0</v>
      </c>
      <c r="AE941" s="90">
        <f>IF(AQ941="7",BI941,0)</f>
        <v>0</v>
      </c>
      <c r="AF941" s="90">
        <f>IF(AQ941="2",BH941,0)</f>
        <v>0</v>
      </c>
      <c r="AG941" s="90">
        <f>IF(AQ941="2",BI941,0)</f>
        <v>0</v>
      </c>
      <c r="AH941" s="90">
        <f>IF(AQ941="0",BJ941,0)</f>
        <v>0</v>
      </c>
      <c r="AI941" s="154" t="s">
        <v>62</v>
      </c>
      <c r="AJ941" s="90">
        <f>IF(AN941=0,J941,0)</f>
        <v>0</v>
      </c>
      <c r="AK941" s="90">
        <f>IF(AN941=15,J941,0)</f>
        <v>0</v>
      </c>
      <c r="AL941" s="90">
        <f>IF(AN941=21,J941,0)</f>
        <v>0</v>
      </c>
      <c r="AN941" s="90">
        <v>15</v>
      </c>
      <c r="AO941" s="90">
        <f>G941*0</f>
        <v>0</v>
      </c>
      <c r="AP941" s="90">
        <f>G941*(1-0)</f>
        <v>0</v>
      </c>
      <c r="AQ941" s="91" t="s">
        <v>85</v>
      </c>
      <c r="AV941" s="90">
        <f>AW941+AX941</f>
        <v>0</v>
      </c>
      <c r="AW941" s="90">
        <f>F941*AO941</f>
        <v>0</v>
      </c>
      <c r="AX941" s="90">
        <f>F941*AP941</f>
        <v>0</v>
      </c>
      <c r="AY941" s="91" t="s">
        <v>1696</v>
      </c>
      <c r="AZ941" s="91" t="s">
        <v>1702</v>
      </c>
      <c r="BA941" s="154" t="s">
        <v>1703</v>
      </c>
      <c r="BC941" s="90">
        <f>AW941+AX941</f>
        <v>0</v>
      </c>
      <c r="BD941" s="90">
        <f>G941/(100-BE941)*100</f>
        <v>0</v>
      </c>
      <c r="BE941" s="90">
        <v>0</v>
      </c>
      <c r="BF941" s="90">
        <f>L941</f>
        <v>0</v>
      </c>
      <c r="BH941" s="90">
        <f>F941*AO941</f>
        <v>0</v>
      </c>
      <c r="BI941" s="90">
        <f>F941*AP941</f>
        <v>0</v>
      </c>
      <c r="BJ941" s="90">
        <f>F941*G941</f>
        <v>0</v>
      </c>
    </row>
    <row r="942" spans="1:47" ht="12.75" hidden="1">
      <c r="A942" s="159"/>
      <c r="B942" s="160" t="s">
        <v>62</v>
      </c>
      <c r="C942" s="160" t="s">
        <v>1653</v>
      </c>
      <c r="D942" s="160" t="s">
        <v>1678</v>
      </c>
      <c r="E942" s="159" t="s">
        <v>57</v>
      </c>
      <c r="F942" s="159"/>
      <c r="G942" s="159" t="s">
        <v>57</v>
      </c>
      <c r="H942" s="161">
        <f>SUM(H943:H956)</f>
        <v>0</v>
      </c>
      <c r="I942" s="161">
        <f>SUM(I943:I956)</f>
        <v>0</v>
      </c>
      <c r="J942" s="161">
        <f>SUM(J943:J956)</f>
        <v>0</v>
      </c>
      <c r="K942" s="154"/>
      <c r="L942" s="161">
        <f>SUM(L943:L956)</f>
        <v>0</v>
      </c>
      <c r="M942" s="154"/>
      <c r="O942" s="159"/>
      <c r="P942" s="159"/>
      <c r="AI942" s="154" t="s">
        <v>62</v>
      </c>
      <c r="AS942" s="161">
        <f>SUM(AJ943:AJ956)</f>
        <v>0</v>
      </c>
      <c r="AT942" s="161">
        <f>SUM(AK943:AK956)</f>
        <v>0</v>
      </c>
      <c r="AU942" s="161">
        <f>SUM(AL943:AL956)</f>
        <v>0</v>
      </c>
    </row>
    <row r="943" spans="1:62" ht="12.75" hidden="1">
      <c r="A943" s="88" t="s">
        <v>2142</v>
      </c>
      <c r="B943" s="88" t="s">
        <v>62</v>
      </c>
      <c r="C943" s="88" t="s">
        <v>1654</v>
      </c>
      <c r="D943" s="88" t="s">
        <v>1679</v>
      </c>
      <c r="E943" s="88" t="s">
        <v>609</v>
      </c>
      <c r="F943" s="90"/>
      <c r="G943" s="90">
        <v>0</v>
      </c>
      <c r="H943" s="90">
        <f aca="true" t="shared" si="934" ref="H943:H956">F943*AO943</f>
        <v>0</v>
      </c>
      <c r="I943" s="90">
        <f aca="true" t="shared" si="935" ref="I943:I956">F943*AP943</f>
        <v>0</v>
      </c>
      <c r="J943" s="90">
        <f aca="true" t="shared" si="936" ref="J943:J956">F943*G943</f>
        <v>0</v>
      </c>
      <c r="K943" s="90">
        <v>0</v>
      </c>
      <c r="L943" s="90">
        <f aca="true" t="shared" si="937" ref="L943:L956">F943*K943</f>
        <v>0</v>
      </c>
      <c r="M943" s="91" t="s">
        <v>1693</v>
      </c>
      <c r="O943" s="90"/>
      <c r="P943" s="90"/>
      <c r="Z943" s="90">
        <f aca="true" t="shared" si="938" ref="Z943:Z956">IF(AQ943="5",BJ943,0)</f>
        <v>0</v>
      </c>
      <c r="AB943" s="90">
        <f aca="true" t="shared" si="939" ref="AB943:AB956">IF(AQ943="1",BH943,0)</f>
        <v>0</v>
      </c>
      <c r="AC943" s="90">
        <f aca="true" t="shared" si="940" ref="AC943:AC956">IF(AQ943="1",BI943,0)</f>
        <v>0</v>
      </c>
      <c r="AD943" s="90">
        <f aca="true" t="shared" si="941" ref="AD943:AD956">IF(AQ943="7",BH943,0)</f>
        <v>0</v>
      </c>
      <c r="AE943" s="90">
        <f aca="true" t="shared" si="942" ref="AE943:AE956">IF(AQ943="7",BI943,0)</f>
        <v>0</v>
      </c>
      <c r="AF943" s="90">
        <f aca="true" t="shared" si="943" ref="AF943:AF956">IF(AQ943="2",BH943,0)</f>
        <v>0</v>
      </c>
      <c r="AG943" s="90">
        <f aca="true" t="shared" si="944" ref="AG943:AG956">IF(AQ943="2",BI943,0)</f>
        <v>0</v>
      </c>
      <c r="AH943" s="90">
        <f aca="true" t="shared" si="945" ref="AH943:AH956">IF(AQ943="0",BJ943,0)</f>
        <v>0</v>
      </c>
      <c r="AI943" s="154" t="s">
        <v>62</v>
      </c>
      <c r="AJ943" s="90">
        <f aca="true" t="shared" si="946" ref="AJ943:AJ956">IF(AN943=0,J943,0)</f>
        <v>0</v>
      </c>
      <c r="AK943" s="90">
        <f aca="true" t="shared" si="947" ref="AK943:AK956">IF(AN943=15,J943,0)</f>
        <v>0</v>
      </c>
      <c r="AL943" s="90">
        <f aca="true" t="shared" si="948" ref="AL943:AL956">IF(AN943=21,J943,0)</f>
        <v>0</v>
      </c>
      <c r="AN943" s="90">
        <v>15</v>
      </c>
      <c r="AO943" s="90">
        <f aca="true" t="shared" si="949" ref="AO943:AO956">G943*0</f>
        <v>0</v>
      </c>
      <c r="AP943" s="90">
        <f aca="true" t="shared" si="950" ref="AP943:AP956">G943*(1-0)</f>
        <v>0</v>
      </c>
      <c r="AQ943" s="91" t="s">
        <v>85</v>
      </c>
      <c r="AV943" s="90">
        <f aca="true" t="shared" si="951" ref="AV943:AV956">AW943+AX943</f>
        <v>0</v>
      </c>
      <c r="AW943" s="90">
        <f aca="true" t="shared" si="952" ref="AW943:AW956">F943*AO943</f>
        <v>0</v>
      </c>
      <c r="AX943" s="90">
        <f aca="true" t="shared" si="953" ref="AX943:AX956">F943*AP943</f>
        <v>0</v>
      </c>
      <c r="AY943" s="91" t="s">
        <v>1697</v>
      </c>
      <c r="AZ943" s="91" t="s">
        <v>1702</v>
      </c>
      <c r="BA943" s="154" t="s">
        <v>1703</v>
      </c>
      <c r="BC943" s="90">
        <f aca="true" t="shared" si="954" ref="BC943:BC956">AW943+AX943</f>
        <v>0</v>
      </c>
      <c r="BD943" s="90">
        <f aca="true" t="shared" si="955" ref="BD943:BD956">G943/(100-BE943)*100</f>
        <v>0</v>
      </c>
      <c r="BE943" s="90">
        <v>0</v>
      </c>
      <c r="BF943" s="90">
        <f aca="true" t="shared" si="956" ref="BF943:BF956">L943</f>
        <v>0</v>
      </c>
      <c r="BH943" s="90">
        <f aca="true" t="shared" si="957" ref="BH943:BH956">F943*AO943</f>
        <v>0</v>
      </c>
      <c r="BI943" s="90">
        <f aca="true" t="shared" si="958" ref="BI943:BI956">F943*AP943</f>
        <v>0</v>
      </c>
      <c r="BJ943" s="90">
        <f aca="true" t="shared" si="959" ref="BJ943:BJ956">F943*G943</f>
        <v>0</v>
      </c>
    </row>
    <row r="944" spans="1:62" ht="12.75" hidden="1">
      <c r="A944" s="88" t="s">
        <v>2143</v>
      </c>
      <c r="B944" s="88" t="s">
        <v>62</v>
      </c>
      <c r="C944" s="88" t="s">
        <v>1655</v>
      </c>
      <c r="D944" s="88" t="s">
        <v>1680</v>
      </c>
      <c r="E944" s="88" t="s">
        <v>609</v>
      </c>
      <c r="F944" s="90"/>
      <c r="G944" s="90">
        <v>0</v>
      </c>
      <c r="H944" s="90">
        <f t="shared" si="934"/>
        <v>0</v>
      </c>
      <c r="I944" s="90">
        <f t="shared" si="935"/>
        <v>0</v>
      </c>
      <c r="J944" s="90">
        <f t="shared" si="936"/>
        <v>0</v>
      </c>
      <c r="K944" s="90">
        <v>0</v>
      </c>
      <c r="L944" s="90">
        <f t="shared" si="937"/>
        <v>0</v>
      </c>
      <c r="M944" s="91" t="s">
        <v>1693</v>
      </c>
      <c r="O944" s="90"/>
      <c r="P944" s="90"/>
      <c r="Z944" s="90">
        <f t="shared" si="938"/>
        <v>0</v>
      </c>
      <c r="AB944" s="90">
        <f t="shared" si="939"/>
        <v>0</v>
      </c>
      <c r="AC944" s="90">
        <f t="shared" si="940"/>
        <v>0</v>
      </c>
      <c r="AD944" s="90">
        <f t="shared" si="941"/>
        <v>0</v>
      </c>
      <c r="AE944" s="90">
        <f t="shared" si="942"/>
        <v>0</v>
      </c>
      <c r="AF944" s="90">
        <f t="shared" si="943"/>
        <v>0</v>
      </c>
      <c r="AG944" s="90">
        <f t="shared" si="944"/>
        <v>0</v>
      </c>
      <c r="AH944" s="90">
        <f t="shared" si="945"/>
        <v>0</v>
      </c>
      <c r="AI944" s="154" t="s">
        <v>62</v>
      </c>
      <c r="AJ944" s="90">
        <f t="shared" si="946"/>
        <v>0</v>
      </c>
      <c r="AK944" s="90">
        <f t="shared" si="947"/>
        <v>0</v>
      </c>
      <c r="AL944" s="90">
        <f t="shared" si="948"/>
        <v>0</v>
      </c>
      <c r="AN944" s="90">
        <v>15</v>
      </c>
      <c r="AO944" s="90">
        <f t="shared" si="949"/>
        <v>0</v>
      </c>
      <c r="AP944" s="90">
        <f t="shared" si="950"/>
        <v>0</v>
      </c>
      <c r="AQ944" s="91" t="s">
        <v>85</v>
      </c>
      <c r="AV944" s="90">
        <f t="shared" si="951"/>
        <v>0</v>
      </c>
      <c r="AW944" s="90">
        <f t="shared" si="952"/>
        <v>0</v>
      </c>
      <c r="AX944" s="90">
        <f t="shared" si="953"/>
        <v>0</v>
      </c>
      <c r="AY944" s="91" t="s">
        <v>1697</v>
      </c>
      <c r="AZ944" s="91" t="s">
        <v>1702</v>
      </c>
      <c r="BA944" s="154" t="s">
        <v>1703</v>
      </c>
      <c r="BC944" s="90">
        <f t="shared" si="954"/>
        <v>0</v>
      </c>
      <c r="BD944" s="90">
        <f t="shared" si="955"/>
        <v>0</v>
      </c>
      <c r="BE944" s="90">
        <v>0</v>
      </c>
      <c r="BF944" s="90">
        <f t="shared" si="956"/>
        <v>0</v>
      </c>
      <c r="BH944" s="90">
        <f t="shared" si="957"/>
        <v>0</v>
      </c>
      <c r="BI944" s="90">
        <f t="shared" si="958"/>
        <v>0</v>
      </c>
      <c r="BJ944" s="90">
        <f t="shared" si="959"/>
        <v>0</v>
      </c>
    </row>
    <row r="945" spans="1:62" ht="12.75" hidden="1">
      <c r="A945" s="88" t="s">
        <v>2144</v>
      </c>
      <c r="B945" s="88" t="s">
        <v>62</v>
      </c>
      <c r="C945" s="88" t="s">
        <v>1656</v>
      </c>
      <c r="D945" s="88" t="s">
        <v>1681</v>
      </c>
      <c r="E945" s="88" t="s">
        <v>609</v>
      </c>
      <c r="F945" s="90"/>
      <c r="G945" s="90">
        <v>0</v>
      </c>
      <c r="H945" s="90">
        <f t="shared" si="934"/>
        <v>0</v>
      </c>
      <c r="I945" s="90">
        <f t="shared" si="935"/>
        <v>0</v>
      </c>
      <c r="J945" s="90">
        <f t="shared" si="936"/>
        <v>0</v>
      </c>
      <c r="K945" s="90">
        <v>0</v>
      </c>
      <c r="L945" s="90">
        <f t="shared" si="937"/>
        <v>0</v>
      </c>
      <c r="M945" s="91" t="s">
        <v>1693</v>
      </c>
      <c r="O945" s="90"/>
      <c r="P945" s="90"/>
      <c r="Z945" s="90">
        <f t="shared" si="938"/>
        <v>0</v>
      </c>
      <c r="AB945" s="90">
        <f t="shared" si="939"/>
        <v>0</v>
      </c>
      <c r="AC945" s="90">
        <f t="shared" si="940"/>
        <v>0</v>
      </c>
      <c r="AD945" s="90">
        <f t="shared" si="941"/>
        <v>0</v>
      </c>
      <c r="AE945" s="90">
        <f t="shared" si="942"/>
        <v>0</v>
      </c>
      <c r="AF945" s="90">
        <f t="shared" si="943"/>
        <v>0</v>
      </c>
      <c r="AG945" s="90">
        <f t="shared" si="944"/>
        <v>0</v>
      </c>
      <c r="AH945" s="90">
        <f t="shared" si="945"/>
        <v>0</v>
      </c>
      <c r="AI945" s="154" t="s">
        <v>62</v>
      </c>
      <c r="AJ945" s="90">
        <f t="shared" si="946"/>
        <v>0</v>
      </c>
      <c r="AK945" s="90">
        <f t="shared" si="947"/>
        <v>0</v>
      </c>
      <c r="AL945" s="90">
        <f t="shared" si="948"/>
        <v>0</v>
      </c>
      <c r="AN945" s="90">
        <v>15</v>
      </c>
      <c r="AO945" s="90">
        <f t="shared" si="949"/>
        <v>0</v>
      </c>
      <c r="AP945" s="90">
        <f t="shared" si="950"/>
        <v>0</v>
      </c>
      <c r="AQ945" s="91" t="s">
        <v>85</v>
      </c>
      <c r="AV945" s="90">
        <f t="shared" si="951"/>
        <v>0</v>
      </c>
      <c r="AW945" s="90">
        <f t="shared" si="952"/>
        <v>0</v>
      </c>
      <c r="AX945" s="90">
        <f t="shared" si="953"/>
        <v>0</v>
      </c>
      <c r="AY945" s="91" t="s">
        <v>1697</v>
      </c>
      <c r="AZ945" s="91" t="s">
        <v>1702</v>
      </c>
      <c r="BA945" s="154" t="s">
        <v>1703</v>
      </c>
      <c r="BC945" s="90">
        <f t="shared" si="954"/>
        <v>0</v>
      </c>
      <c r="BD945" s="90">
        <f t="shared" si="955"/>
        <v>0</v>
      </c>
      <c r="BE945" s="90">
        <v>0</v>
      </c>
      <c r="BF945" s="90">
        <f t="shared" si="956"/>
        <v>0</v>
      </c>
      <c r="BH945" s="90">
        <f t="shared" si="957"/>
        <v>0</v>
      </c>
      <c r="BI945" s="90">
        <f t="shared" si="958"/>
        <v>0</v>
      </c>
      <c r="BJ945" s="90">
        <f t="shared" si="959"/>
        <v>0</v>
      </c>
    </row>
    <row r="946" spans="1:62" ht="12.75" hidden="1">
      <c r="A946" s="88" t="s">
        <v>2145</v>
      </c>
      <c r="B946" s="88" t="s">
        <v>62</v>
      </c>
      <c r="C946" s="88" t="s">
        <v>1657</v>
      </c>
      <c r="D946" s="88" t="s">
        <v>1681</v>
      </c>
      <c r="E946" s="88" t="s">
        <v>609</v>
      </c>
      <c r="F946" s="90"/>
      <c r="G946" s="90">
        <v>0</v>
      </c>
      <c r="H946" s="90">
        <f t="shared" si="934"/>
        <v>0</v>
      </c>
      <c r="I946" s="90">
        <f t="shared" si="935"/>
        <v>0</v>
      </c>
      <c r="J946" s="90">
        <f t="shared" si="936"/>
        <v>0</v>
      </c>
      <c r="K946" s="90">
        <v>0</v>
      </c>
      <c r="L946" s="90">
        <f t="shared" si="937"/>
        <v>0</v>
      </c>
      <c r="M946" s="91" t="s">
        <v>1693</v>
      </c>
      <c r="O946" s="90"/>
      <c r="P946" s="90"/>
      <c r="Z946" s="90">
        <f t="shared" si="938"/>
        <v>0</v>
      </c>
      <c r="AB946" s="90">
        <f t="shared" si="939"/>
        <v>0</v>
      </c>
      <c r="AC946" s="90">
        <f t="shared" si="940"/>
        <v>0</v>
      </c>
      <c r="AD946" s="90">
        <f t="shared" si="941"/>
        <v>0</v>
      </c>
      <c r="AE946" s="90">
        <f t="shared" si="942"/>
        <v>0</v>
      </c>
      <c r="AF946" s="90">
        <f t="shared" si="943"/>
        <v>0</v>
      </c>
      <c r="AG946" s="90">
        <f t="shared" si="944"/>
        <v>0</v>
      </c>
      <c r="AH946" s="90">
        <f t="shared" si="945"/>
        <v>0</v>
      </c>
      <c r="AI946" s="154" t="s">
        <v>62</v>
      </c>
      <c r="AJ946" s="90">
        <f t="shared" si="946"/>
        <v>0</v>
      </c>
      <c r="AK946" s="90">
        <f t="shared" si="947"/>
        <v>0</v>
      </c>
      <c r="AL946" s="90">
        <f t="shared" si="948"/>
        <v>0</v>
      </c>
      <c r="AN946" s="90">
        <v>15</v>
      </c>
      <c r="AO946" s="90">
        <f t="shared" si="949"/>
        <v>0</v>
      </c>
      <c r="AP946" s="90">
        <f t="shared" si="950"/>
        <v>0</v>
      </c>
      <c r="AQ946" s="91" t="s">
        <v>85</v>
      </c>
      <c r="AV946" s="90">
        <f t="shared" si="951"/>
        <v>0</v>
      </c>
      <c r="AW946" s="90">
        <f t="shared" si="952"/>
        <v>0</v>
      </c>
      <c r="AX946" s="90">
        <f t="shared" si="953"/>
        <v>0</v>
      </c>
      <c r="AY946" s="91" t="s">
        <v>1697</v>
      </c>
      <c r="AZ946" s="91" t="s">
        <v>1702</v>
      </c>
      <c r="BA946" s="154" t="s">
        <v>1703</v>
      </c>
      <c r="BC946" s="90">
        <f t="shared" si="954"/>
        <v>0</v>
      </c>
      <c r="BD946" s="90">
        <f t="shared" si="955"/>
        <v>0</v>
      </c>
      <c r="BE946" s="90">
        <v>0</v>
      </c>
      <c r="BF946" s="90">
        <f t="shared" si="956"/>
        <v>0</v>
      </c>
      <c r="BH946" s="90">
        <f t="shared" si="957"/>
        <v>0</v>
      </c>
      <c r="BI946" s="90">
        <f t="shared" si="958"/>
        <v>0</v>
      </c>
      <c r="BJ946" s="90">
        <f t="shared" si="959"/>
        <v>0</v>
      </c>
    </row>
    <row r="947" spans="1:62" ht="12.75" hidden="1">
      <c r="A947" s="88" t="s">
        <v>2146</v>
      </c>
      <c r="B947" s="88" t="s">
        <v>62</v>
      </c>
      <c r="C947" s="88" t="s">
        <v>1658</v>
      </c>
      <c r="D947" s="88" t="s">
        <v>1682</v>
      </c>
      <c r="E947" s="88" t="s">
        <v>609</v>
      </c>
      <c r="F947" s="90"/>
      <c r="G947" s="90">
        <v>0</v>
      </c>
      <c r="H947" s="90">
        <f t="shared" si="934"/>
        <v>0</v>
      </c>
      <c r="I947" s="90">
        <f t="shared" si="935"/>
        <v>0</v>
      </c>
      <c r="J947" s="90">
        <f t="shared" si="936"/>
        <v>0</v>
      </c>
      <c r="K947" s="90">
        <v>0</v>
      </c>
      <c r="L947" s="90">
        <f t="shared" si="937"/>
        <v>0</v>
      </c>
      <c r="M947" s="91" t="s">
        <v>1693</v>
      </c>
      <c r="O947" s="90"/>
      <c r="P947" s="90"/>
      <c r="Z947" s="90">
        <f t="shared" si="938"/>
        <v>0</v>
      </c>
      <c r="AB947" s="90">
        <f t="shared" si="939"/>
        <v>0</v>
      </c>
      <c r="AC947" s="90">
        <f t="shared" si="940"/>
        <v>0</v>
      </c>
      <c r="AD947" s="90">
        <f t="shared" si="941"/>
        <v>0</v>
      </c>
      <c r="AE947" s="90">
        <f t="shared" si="942"/>
        <v>0</v>
      </c>
      <c r="AF947" s="90">
        <f t="shared" si="943"/>
        <v>0</v>
      </c>
      <c r="AG947" s="90">
        <f t="shared" si="944"/>
        <v>0</v>
      </c>
      <c r="AH947" s="90">
        <f t="shared" si="945"/>
        <v>0</v>
      </c>
      <c r="AI947" s="154" t="s">
        <v>62</v>
      </c>
      <c r="AJ947" s="90">
        <f t="shared" si="946"/>
        <v>0</v>
      </c>
      <c r="AK947" s="90">
        <f t="shared" si="947"/>
        <v>0</v>
      </c>
      <c r="AL947" s="90">
        <f t="shared" si="948"/>
        <v>0</v>
      </c>
      <c r="AN947" s="90">
        <v>15</v>
      </c>
      <c r="AO947" s="90">
        <f t="shared" si="949"/>
        <v>0</v>
      </c>
      <c r="AP947" s="90">
        <f t="shared" si="950"/>
        <v>0</v>
      </c>
      <c r="AQ947" s="91" t="s">
        <v>85</v>
      </c>
      <c r="AV947" s="90">
        <f t="shared" si="951"/>
        <v>0</v>
      </c>
      <c r="AW947" s="90">
        <f t="shared" si="952"/>
        <v>0</v>
      </c>
      <c r="AX947" s="90">
        <f t="shared" si="953"/>
        <v>0</v>
      </c>
      <c r="AY947" s="91" t="s">
        <v>1697</v>
      </c>
      <c r="AZ947" s="91" t="s">
        <v>1702</v>
      </c>
      <c r="BA947" s="154" t="s">
        <v>1703</v>
      </c>
      <c r="BC947" s="90">
        <f t="shared" si="954"/>
        <v>0</v>
      </c>
      <c r="BD947" s="90">
        <f t="shared" si="955"/>
        <v>0</v>
      </c>
      <c r="BE947" s="90">
        <v>0</v>
      </c>
      <c r="BF947" s="90">
        <f t="shared" si="956"/>
        <v>0</v>
      </c>
      <c r="BH947" s="90">
        <f t="shared" si="957"/>
        <v>0</v>
      </c>
      <c r="BI947" s="90">
        <f t="shared" si="958"/>
        <v>0</v>
      </c>
      <c r="BJ947" s="90">
        <f t="shared" si="959"/>
        <v>0</v>
      </c>
    </row>
    <row r="948" spans="1:62" ht="12.75" hidden="1">
      <c r="A948" s="88" t="s">
        <v>2147</v>
      </c>
      <c r="B948" s="88" t="s">
        <v>62</v>
      </c>
      <c r="C948" s="88" t="s">
        <v>1659</v>
      </c>
      <c r="D948" s="88" t="s">
        <v>1682</v>
      </c>
      <c r="E948" s="88" t="s">
        <v>609</v>
      </c>
      <c r="F948" s="90"/>
      <c r="G948" s="90">
        <v>0</v>
      </c>
      <c r="H948" s="90">
        <f t="shared" si="934"/>
        <v>0</v>
      </c>
      <c r="I948" s="90">
        <f t="shared" si="935"/>
        <v>0</v>
      </c>
      <c r="J948" s="90">
        <f t="shared" si="936"/>
        <v>0</v>
      </c>
      <c r="K948" s="90">
        <v>0</v>
      </c>
      <c r="L948" s="90">
        <f t="shared" si="937"/>
        <v>0</v>
      </c>
      <c r="M948" s="91" t="s">
        <v>1693</v>
      </c>
      <c r="O948" s="90"/>
      <c r="P948" s="90"/>
      <c r="Z948" s="90">
        <f t="shared" si="938"/>
        <v>0</v>
      </c>
      <c r="AB948" s="90">
        <f t="shared" si="939"/>
        <v>0</v>
      </c>
      <c r="AC948" s="90">
        <f t="shared" si="940"/>
        <v>0</v>
      </c>
      <c r="AD948" s="90">
        <f t="shared" si="941"/>
        <v>0</v>
      </c>
      <c r="AE948" s="90">
        <f t="shared" si="942"/>
        <v>0</v>
      </c>
      <c r="AF948" s="90">
        <f t="shared" si="943"/>
        <v>0</v>
      </c>
      <c r="AG948" s="90">
        <f t="shared" si="944"/>
        <v>0</v>
      </c>
      <c r="AH948" s="90">
        <f t="shared" si="945"/>
        <v>0</v>
      </c>
      <c r="AI948" s="154" t="s">
        <v>62</v>
      </c>
      <c r="AJ948" s="90">
        <f t="shared" si="946"/>
        <v>0</v>
      </c>
      <c r="AK948" s="90">
        <f t="shared" si="947"/>
        <v>0</v>
      </c>
      <c r="AL948" s="90">
        <f t="shared" si="948"/>
        <v>0</v>
      </c>
      <c r="AN948" s="90">
        <v>15</v>
      </c>
      <c r="AO948" s="90">
        <f t="shared" si="949"/>
        <v>0</v>
      </c>
      <c r="AP948" s="90">
        <f t="shared" si="950"/>
        <v>0</v>
      </c>
      <c r="AQ948" s="91" t="s">
        <v>85</v>
      </c>
      <c r="AV948" s="90">
        <f t="shared" si="951"/>
        <v>0</v>
      </c>
      <c r="AW948" s="90">
        <f t="shared" si="952"/>
        <v>0</v>
      </c>
      <c r="AX948" s="90">
        <f t="shared" si="953"/>
        <v>0</v>
      </c>
      <c r="AY948" s="91" t="s">
        <v>1697</v>
      </c>
      <c r="AZ948" s="91" t="s">
        <v>1702</v>
      </c>
      <c r="BA948" s="154" t="s">
        <v>1703</v>
      </c>
      <c r="BC948" s="90">
        <f t="shared" si="954"/>
        <v>0</v>
      </c>
      <c r="BD948" s="90">
        <f t="shared" si="955"/>
        <v>0</v>
      </c>
      <c r="BE948" s="90">
        <v>0</v>
      </c>
      <c r="BF948" s="90">
        <f t="shared" si="956"/>
        <v>0</v>
      </c>
      <c r="BH948" s="90">
        <f t="shared" si="957"/>
        <v>0</v>
      </c>
      <c r="BI948" s="90">
        <f t="shared" si="958"/>
        <v>0</v>
      </c>
      <c r="BJ948" s="90">
        <f t="shared" si="959"/>
        <v>0</v>
      </c>
    </row>
    <row r="949" spans="1:62" ht="12.75" hidden="1">
      <c r="A949" s="88" t="s">
        <v>2148</v>
      </c>
      <c r="B949" s="88" t="s">
        <v>62</v>
      </c>
      <c r="C949" s="88" t="s">
        <v>1660</v>
      </c>
      <c r="D949" s="88" t="s">
        <v>1683</v>
      </c>
      <c r="E949" s="88" t="s">
        <v>613</v>
      </c>
      <c r="F949" s="90"/>
      <c r="G949" s="90">
        <v>0</v>
      </c>
      <c r="H949" s="90">
        <f t="shared" si="934"/>
        <v>0</v>
      </c>
      <c r="I949" s="90">
        <f t="shared" si="935"/>
        <v>0</v>
      </c>
      <c r="J949" s="90">
        <f t="shared" si="936"/>
        <v>0</v>
      </c>
      <c r="K949" s="90">
        <v>0</v>
      </c>
      <c r="L949" s="90">
        <f t="shared" si="937"/>
        <v>0</v>
      </c>
      <c r="M949" s="91" t="s">
        <v>1693</v>
      </c>
      <c r="O949" s="90"/>
      <c r="P949" s="90"/>
      <c r="Z949" s="90">
        <f t="shared" si="938"/>
        <v>0</v>
      </c>
      <c r="AB949" s="90">
        <f t="shared" si="939"/>
        <v>0</v>
      </c>
      <c r="AC949" s="90">
        <f t="shared" si="940"/>
        <v>0</v>
      </c>
      <c r="AD949" s="90">
        <f t="shared" si="941"/>
        <v>0</v>
      </c>
      <c r="AE949" s="90">
        <f t="shared" si="942"/>
        <v>0</v>
      </c>
      <c r="AF949" s="90">
        <f t="shared" si="943"/>
        <v>0</v>
      </c>
      <c r="AG949" s="90">
        <f t="shared" si="944"/>
        <v>0</v>
      </c>
      <c r="AH949" s="90">
        <f t="shared" si="945"/>
        <v>0</v>
      </c>
      <c r="AI949" s="154" t="s">
        <v>62</v>
      </c>
      <c r="AJ949" s="90">
        <f t="shared" si="946"/>
        <v>0</v>
      </c>
      <c r="AK949" s="90">
        <f t="shared" si="947"/>
        <v>0</v>
      </c>
      <c r="AL949" s="90">
        <f t="shared" si="948"/>
        <v>0</v>
      </c>
      <c r="AN949" s="90">
        <v>15</v>
      </c>
      <c r="AO949" s="90">
        <f t="shared" si="949"/>
        <v>0</v>
      </c>
      <c r="AP949" s="90">
        <f t="shared" si="950"/>
        <v>0</v>
      </c>
      <c r="AQ949" s="91" t="s">
        <v>85</v>
      </c>
      <c r="AV949" s="90">
        <f t="shared" si="951"/>
        <v>0</v>
      </c>
      <c r="AW949" s="90">
        <f t="shared" si="952"/>
        <v>0</v>
      </c>
      <c r="AX949" s="90">
        <f t="shared" si="953"/>
        <v>0</v>
      </c>
      <c r="AY949" s="91" t="s">
        <v>1697</v>
      </c>
      <c r="AZ949" s="91" t="s">
        <v>1702</v>
      </c>
      <c r="BA949" s="154" t="s">
        <v>1703</v>
      </c>
      <c r="BC949" s="90">
        <f t="shared" si="954"/>
        <v>0</v>
      </c>
      <c r="BD949" s="90">
        <f t="shared" si="955"/>
        <v>0</v>
      </c>
      <c r="BE949" s="90">
        <v>0</v>
      </c>
      <c r="BF949" s="90">
        <f t="shared" si="956"/>
        <v>0</v>
      </c>
      <c r="BH949" s="90">
        <f t="shared" si="957"/>
        <v>0</v>
      </c>
      <c r="BI949" s="90">
        <f t="shared" si="958"/>
        <v>0</v>
      </c>
      <c r="BJ949" s="90">
        <f t="shared" si="959"/>
        <v>0</v>
      </c>
    </row>
    <row r="950" spans="1:62" ht="12.75" hidden="1">
      <c r="A950" s="88" t="s">
        <v>2149</v>
      </c>
      <c r="B950" s="88" t="s">
        <v>62</v>
      </c>
      <c r="C950" s="88" t="s">
        <v>1661</v>
      </c>
      <c r="D950" s="88" t="s">
        <v>1683</v>
      </c>
      <c r="E950" s="88" t="s">
        <v>613</v>
      </c>
      <c r="F950" s="90"/>
      <c r="G950" s="90">
        <v>0</v>
      </c>
      <c r="H950" s="90">
        <f t="shared" si="934"/>
        <v>0</v>
      </c>
      <c r="I950" s="90">
        <f t="shared" si="935"/>
        <v>0</v>
      </c>
      <c r="J950" s="90">
        <f t="shared" si="936"/>
        <v>0</v>
      </c>
      <c r="K950" s="90">
        <v>0</v>
      </c>
      <c r="L950" s="90">
        <f t="shared" si="937"/>
        <v>0</v>
      </c>
      <c r="M950" s="91" t="s">
        <v>1693</v>
      </c>
      <c r="O950" s="90"/>
      <c r="P950" s="90"/>
      <c r="Z950" s="90">
        <f t="shared" si="938"/>
        <v>0</v>
      </c>
      <c r="AB950" s="90">
        <f t="shared" si="939"/>
        <v>0</v>
      </c>
      <c r="AC950" s="90">
        <f t="shared" si="940"/>
        <v>0</v>
      </c>
      <c r="AD950" s="90">
        <f t="shared" si="941"/>
        <v>0</v>
      </c>
      <c r="AE950" s="90">
        <f t="shared" si="942"/>
        <v>0</v>
      </c>
      <c r="AF950" s="90">
        <f t="shared" si="943"/>
        <v>0</v>
      </c>
      <c r="AG950" s="90">
        <f t="shared" si="944"/>
        <v>0</v>
      </c>
      <c r="AH950" s="90">
        <f t="shared" si="945"/>
        <v>0</v>
      </c>
      <c r="AI950" s="154" t="s">
        <v>62</v>
      </c>
      <c r="AJ950" s="90">
        <f t="shared" si="946"/>
        <v>0</v>
      </c>
      <c r="AK950" s="90">
        <f t="shared" si="947"/>
        <v>0</v>
      </c>
      <c r="AL950" s="90">
        <f t="shared" si="948"/>
        <v>0</v>
      </c>
      <c r="AN950" s="90">
        <v>15</v>
      </c>
      <c r="AO950" s="90">
        <f t="shared" si="949"/>
        <v>0</v>
      </c>
      <c r="AP950" s="90">
        <f t="shared" si="950"/>
        <v>0</v>
      </c>
      <c r="AQ950" s="91" t="s">
        <v>85</v>
      </c>
      <c r="AV950" s="90">
        <f t="shared" si="951"/>
        <v>0</v>
      </c>
      <c r="AW950" s="90">
        <f t="shared" si="952"/>
        <v>0</v>
      </c>
      <c r="AX950" s="90">
        <f t="shared" si="953"/>
        <v>0</v>
      </c>
      <c r="AY950" s="91" t="s">
        <v>1697</v>
      </c>
      <c r="AZ950" s="91" t="s">
        <v>1702</v>
      </c>
      <c r="BA950" s="154" t="s">
        <v>1703</v>
      </c>
      <c r="BC950" s="90">
        <f t="shared" si="954"/>
        <v>0</v>
      </c>
      <c r="BD950" s="90">
        <f t="shared" si="955"/>
        <v>0</v>
      </c>
      <c r="BE950" s="90">
        <v>0</v>
      </c>
      <c r="BF950" s="90">
        <f t="shared" si="956"/>
        <v>0</v>
      </c>
      <c r="BH950" s="90">
        <f t="shared" si="957"/>
        <v>0</v>
      </c>
      <c r="BI950" s="90">
        <f t="shared" si="958"/>
        <v>0</v>
      </c>
      <c r="BJ950" s="90">
        <f t="shared" si="959"/>
        <v>0</v>
      </c>
    </row>
    <row r="951" spans="1:62" ht="12.75" hidden="1">
      <c r="A951" s="88" t="s">
        <v>2150</v>
      </c>
      <c r="B951" s="88" t="s">
        <v>62</v>
      </c>
      <c r="C951" s="88" t="s">
        <v>1662</v>
      </c>
      <c r="D951" s="88" t="s">
        <v>1684</v>
      </c>
      <c r="E951" s="88" t="s">
        <v>613</v>
      </c>
      <c r="F951" s="90"/>
      <c r="G951" s="90">
        <v>0</v>
      </c>
      <c r="H951" s="90">
        <f t="shared" si="934"/>
        <v>0</v>
      </c>
      <c r="I951" s="90">
        <f t="shared" si="935"/>
        <v>0</v>
      </c>
      <c r="J951" s="90">
        <f t="shared" si="936"/>
        <v>0</v>
      </c>
      <c r="K951" s="90">
        <v>0</v>
      </c>
      <c r="L951" s="90">
        <f t="shared" si="937"/>
        <v>0</v>
      </c>
      <c r="M951" s="91" t="s">
        <v>1693</v>
      </c>
      <c r="O951" s="90"/>
      <c r="P951" s="90"/>
      <c r="Z951" s="90">
        <f t="shared" si="938"/>
        <v>0</v>
      </c>
      <c r="AB951" s="90">
        <f t="shared" si="939"/>
        <v>0</v>
      </c>
      <c r="AC951" s="90">
        <f t="shared" si="940"/>
        <v>0</v>
      </c>
      <c r="AD951" s="90">
        <f t="shared" si="941"/>
        <v>0</v>
      </c>
      <c r="AE951" s="90">
        <f t="shared" si="942"/>
        <v>0</v>
      </c>
      <c r="AF951" s="90">
        <f t="shared" si="943"/>
        <v>0</v>
      </c>
      <c r="AG951" s="90">
        <f t="shared" si="944"/>
        <v>0</v>
      </c>
      <c r="AH951" s="90">
        <f t="shared" si="945"/>
        <v>0</v>
      </c>
      <c r="AI951" s="154" t="s">
        <v>62</v>
      </c>
      <c r="AJ951" s="90">
        <f t="shared" si="946"/>
        <v>0</v>
      </c>
      <c r="AK951" s="90">
        <f t="shared" si="947"/>
        <v>0</v>
      </c>
      <c r="AL951" s="90">
        <f t="shared" si="948"/>
        <v>0</v>
      </c>
      <c r="AN951" s="90">
        <v>15</v>
      </c>
      <c r="AO951" s="90">
        <f t="shared" si="949"/>
        <v>0</v>
      </c>
      <c r="AP951" s="90">
        <f t="shared" si="950"/>
        <v>0</v>
      </c>
      <c r="AQ951" s="91" t="s">
        <v>85</v>
      </c>
      <c r="AV951" s="90">
        <f t="shared" si="951"/>
        <v>0</v>
      </c>
      <c r="AW951" s="90">
        <f t="shared" si="952"/>
        <v>0</v>
      </c>
      <c r="AX951" s="90">
        <f t="shared" si="953"/>
        <v>0</v>
      </c>
      <c r="AY951" s="91" t="s">
        <v>1697</v>
      </c>
      <c r="AZ951" s="91" t="s">
        <v>1702</v>
      </c>
      <c r="BA951" s="154" t="s">
        <v>1703</v>
      </c>
      <c r="BC951" s="90">
        <f t="shared" si="954"/>
        <v>0</v>
      </c>
      <c r="BD951" s="90">
        <f t="shared" si="955"/>
        <v>0</v>
      </c>
      <c r="BE951" s="90">
        <v>0</v>
      </c>
      <c r="BF951" s="90">
        <f t="shared" si="956"/>
        <v>0</v>
      </c>
      <c r="BH951" s="90">
        <f t="shared" si="957"/>
        <v>0</v>
      </c>
      <c r="BI951" s="90">
        <f t="shared" si="958"/>
        <v>0</v>
      </c>
      <c r="BJ951" s="90">
        <f t="shared" si="959"/>
        <v>0</v>
      </c>
    </row>
    <row r="952" spans="1:62" ht="12.75" hidden="1">
      <c r="A952" s="88" t="s">
        <v>2151</v>
      </c>
      <c r="B952" s="88" t="s">
        <v>62</v>
      </c>
      <c r="C952" s="88" t="s">
        <v>1663</v>
      </c>
      <c r="D952" s="88" t="s">
        <v>1684</v>
      </c>
      <c r="E952" s="88" t="s">
        <v>613</v>
      </c>
      <c r="F952" s="90"/>
      <c r="G952" s="90">
        <v>0</v>
      </c>
      <c r="H952" s="90">
        <f t="shared" si="934"/>
        <v>0</v>
      </c>
      <c r="I952" s="90">
        <f t="shared" si="935"/>
        <v>0</v>
      </c>
      <c r="J952" s="90">
        <f t="shared" si="936"/>
        <v>0</v>
      </c>
      <c r="K952" s="90">
        <v>0</v>
      </c>
      <c r="L952" s="90">
        <f t="shared" si="937"/>
        <v>0</v>
      </c>
      <c r="M952" s="91" t="s">
        <v>1693</v>
      </c>
      <c r="O952" s="90"/>
      <c r="P952" s="90"/>
      <c r="Z952" s="90">
        <f t="shared" si="938"/>
        <v>0</v>
      </c>
      <c r="AB952" s="90">
        <f t="shared" si="939"/>
        <v>0</v>
      </c>
      <c r="AC952" s="90">
        <f t="shared" si="940"/>
        <v>0</v>
      </c>
      <c r="AD952" s="90">
        <f t="shared" si="941"/>
        <v>0</v>
      </c>
      <c r="AE952" s="90">
        <f t="shared" si="942"/>
        <v>0</v>
      </c>
      <c r="AF952" s="90">
        <f t="shared" si="943"/>
        <v>0</v>
      </c>
      <c r="AG952" s="90">
        <f t="shared" si="944"/>
        <v>0</v>
      </c>
      <c r="AH952" s="90">
        <f t="shared" si="945"/>
        <v>0</v>
      </c>
      <c r="AI952" s="154" t="s">
        <v>62</v>
      </c>
      <c r="AJ952" s="90">
        <f t="shared" si="946"/>
        <v>0</v>
      </c>
      <c r="AK952" s="90">
        <f t="shared" si="947"/>
        <v>0</v>
      </c>
      <c r="AL952" s="90">
        <f t="shared" si="948"/>
        <v>0</v>
      </c>
      <c r="AN952" s="90">
        <v>15</v>
      </c>
      <c r="AO952" s="90">
        <f t="shared" si="949"/>
        <v>0</v>
      </c>
      <c r="AP952" s="90">
        <f t="shared" si="950"/>
        <v>0</v>
      </c>
      <c r="AQ952" s="91" t="s">
        <v>85</v>
      </c>
      <c r="AV952" s="90">
        <f t="shared" si="951"/>
        <v>0</v>
      </c>
      <c r="AW952" s="90">
        <f t="shared" si="952"/>
        <v>0</v>
      </c>
      <c r="AX952" s="90">
        <f t="shared" si="953"/>
        <v>0</v>
      </c>
      <c r="AY952" s="91" t="s">
        <v>1697</v>
      </c>
      <c r="AZ952" s="91" t="s">
        <v>1702</v>
      </c>
      <c r="BA952" s="154" t="s">
        <v>1703</v>
      </c>
      <c r="BC952" s="90">
        <f t="shared" si="954"/>
        <v>0</v>
      </c>
      <c r="BD952" s="90">
        <f t="shared" si="955"/>
        <v>0</v>
      </c>
      <c r="BE952" s="90">
        <v>0</v>
      </c>
      <c r="BF952" s="90">
        <f t="shared" si="956"/>
        <v>0</v>
      </c>
      <c r="BH952" s="90">
        <f t="shared" si="957"/>
        <v>0</v>
      </c>
      <c r="BI952" s="90">
        <f t="shared" si="958"/>
        <v>0</v>
      </c>
      <c r="BJ952" s="90">
        <f t="shared" si="959"/>
        <v>0</v>
      </c>
    </row>
    <row r="953" spans="1:62" ht="12.75" hidden="1">
      <c r="A953" s="88" t="s">
        <v>2152</v>
      </c>
      <c r="B953" s="88" t="s">
        <v>62</v>
      </c>
      <c r="C953" s="88" t="s">
        <v>1664</v>
      </c>
      <c r="D953" s="88" t="s">
        <v>1685</v>
      </c>
      <c r="E953" s="88" t="s">
        <v>613</v>
      </c>
      <c r="F953" s="90"/>
      <c r="G953" s="90">
        <v>0</v>
      </c>
      <c r="H953" s="90">
        <f t="shared" si="934"/>
        <v>0</v>
      </c>
      <c r="I953" s="90">
        <f t="shared" si="935"/>
        <v>0</v>
      </c>
      <c r="J953" s="90">
        <f t="shared" si="936"/>
        <v>0</v>
      </c>
      <c r="K953" s="90">
        <v>0</v>
      </c>
      <c r="L953" s="90">
        <f t="shared" si="937"/>
        <v>0</v>
      </c>
      <c r="M953" s="91" t="s">
        <v>1693</v>
      </c>
      <c r="O953" s="90"/>
      <c r="P953" s="90"/>
      <c r="Z953" s="90">
        <f t="shared" si="938"/>
        <v>0</v>
      </c>
      <c r="AB953" s="90">
        <f t="shared" si="939"/>
        <v>0</v>
      </c>
      <c r="AC953" s="90">
        <f t="shared" si="940"/>
        <v>0</v>
      </c>
      <c r="AD953" s="90">
        <f t="shared" si="941"/>
        <v>0</v>
      </c>
      <c r="AE953" s="90">
        <f t="shared" si="942"/>
        <v>0</v>
      </c>
      <c r="AF953" s="90">
        <f t="shared" si="943"/>
        <v>0</v>
      </c>
      <c r="AG953" s="90">
        <f t="shared" si="944"/>
        <v>0</v>
      </c>
      <c r="AH953" s="90">
        <f t="shared" si="945"/>
        <v>0</v>
      </c>
      <c r="AI953" s="154" t="s">
        <v>62</v>
      </c>
      <c r="AJ953" s="90">
        <f t="shared" si="946"/>
        <v>0</v>
      </c>
      <c r="AK953" s="90">
        <f t="shared" si="947"/>
        <v>0</v>
      </c>
      <c r="AL953" s="90">
        <f t="shared" si="948"/>
        <v>0</v>
      </c>
      <c r="AN953" s="90">
        <v>15</v>
      </c>
      <c r="AO953" s="90">
        <f t="shared" si="949"/>
        <v>0</v>
      </c>
      <c r="AP953" s="90">
        <f t="shared" si="950"/>
        <v>0</v>
      </c>
      <c r="AQ953" s="91" t="s">
        <v>85</v>
      </c>
      <c r="AV953" s="90">
        <f t="shared" si="951"/>
        <v>0</v>
      </c>
      <c r="AW953" s="90">
        <f t="shared" si="952"/>
        <v>0</v>
      </c>
      <c r="AX953" s="90">
        <f t="shared" si="953"/>
        <v>0</v>
      </c>
      <c r="AY953" s="91" t="s">
        <v>1697</v>
      </c>
      <c r="AZ953" s="91" t="s">
        <v>1702</v>
      </c>
      <c r="BA953" s="154" t="s">
        <v>1703</v>
      </c>
      <c r="BC953" s="90">
        <f t="shared" si="954"/>
        <v>0</v>
      </c>
      <c r="BD953" s="90">
        <f t="shared" si="955"/>
        <v>0</v>
      </c>
      <c r="BE953" s="90">
        <v>0</v>
      </c>
      <c r="BF953" s="90">
        <f t="shared" si="956"/>
        <v>0</v>
      </c>
      <c r="BH953" s="90">
        <f t="shared" si="957"/>
        <v>0</v>
      </c>
      <c r="BI953" s="90">
        <f t="shared" si="958"/>
        <v>0</v>
      </c>
      <c r="BJ953" s="90">
        <f t="shared" si="959"/>
        <v>0</v>
      </c>
    </row>
    <row r="954" spans="1:62" ht="12.75" hidden="1">
      <c r="A954" s="88" t="s">
        <v>2153</v>
      </c>
      <c r="B954" s="88" t="s">
        <v>62</v>
      </c>
      <c r="C954" s="88" t="s">
        <v>1665</v>
      </c>
      <c r="D954" s="88" t="s">
        <v>1685</v>
      </c>
      <c r="E954" s="88" t="s">
        <v>613</v>
      </c>
      <c r="F954" s="90"/>
      <c r="G954" s="90">
        <v>0</v>
      </c>
      <c r="H954" s="90">
        <f t="shared" si="934"/>
        <v>0</v>
      </c>
      <c r="I954" s="90">
        <f t="shared" si="935"/>
        <v>0</v>
      </c>
      <c r="J954" s="90">
        <f t="shared" si="936"/>
        <v>0</v>
      </c>
      <c r="K954" s="90">
        <v>0</v>
      </c>
      <c r="L954" s="90">
        <f t="shared" si="937"/>
        <v>0</v>
      </c>
      <c r="M954" s="91" t="s">
        <v>1693</v>
      </c>
      <c r="O954" s="90"/>
      <c r="P954" s="90"/>
      <c r="Z954" s="90">
        <f t="shared" si="938"/>
        <v>0</v>
      </c>
      <c r="AB954" s="90">
        <f t="shared" si="939"/>
        <v>0</v>
      </c>
      <c r="AC954" s="90">
        <f t="shared" si="940"/>
        <v>0</v>
      </c>
      <c r="AD954" s="90">
        <f t="shared" si="941"/>
        <v>0</v>
      </c>
      <c r="AE954" s="90">
        <f t="shared" si="942"/>
        <v>0</v>
      </c>
      <c r="AF954" s="90">
        <f t="shared" si="943"/>
        <v>0</v>
      </c>
      <c r="AG954" s="90">
        <f t="shared" si="944"/>
        <v>0</v>
      </c>
      <c r="AH954" s="90">
        <f t="shared" si="945"/>
        <v>0</v>
      </c>
      <c r="AI954" s="154" t="s">
        <v>62</v>
      </c>
      <c r="AJ954" s="90">
        <f t="shared" si="946"/>
        <v>0</v>
      </c>
      <c r="AK954" s="90">
        <f t="shared" si="947"/>
        <v>0</v>
      </c>
      <c r="AL954" s="90">
        <f t="shared" si="948"/>
        <v>0</v>
      </c>
      <c r="AN954" s="90">
        <v>15</v>
      </c>
      <c r="AO954" s="90">
        <f t="shared" si="949"/>
        <v>0</v>
      </c>
      <c r="AP954" s="90">
        <f t="shared" si="950"/>
        <v>0</v>
      </c>
      <c r="AQ954" s="91" t="s">
        <v>85</v>
      </c>
      <c r="AV954" s="90">
        <f t="shared" si="951"/>
        <v>0</v>
      </c>
      <c r="AW954" s="90">
        <f t="shared" si="952"/>
        <v>0</v>
      </c>
      <c r="AX954" s="90">
        <f t="shared" si="953"/>
        <v>0</v>
      </c>
      <c r="AY954" s="91" t="s">
        <v>1697</v>
      </c>
      <c r="AZ954" s="91" t="s">
        <v>1702</v>
      </c>
      <c r="BA954" s="154" t="s">
        <v>1703</v>
      </c>
      <c r="BC954" s="90">
        <f t="shared" si="954"/>
        <v>0</v>
      </c>
      <c r="BD954" s="90">
        <f t="shared" si="955"/>
        <v>0</v>
      </c>
      <c r="BE954" s="90">
        <v>0</v>
      </c>
      <c r="BF954" s="90">
        <f t="shared" si="956"/>
        <v>0</v>
      </c>
      <c r="BH954" s="90">
        <f t="shared" si="957"/>
        <v>0</v>
      </c>
      <c r="BI954" s="90">
        <f t="shared" si="958"/>
        <v>0</v>
      </c>
      <c r="BJ954" s="90">
        <f t="shared" si="959"/>
        <v>0</v>
      </c>
    </row>
    <row r="955" spans="1:62" ht="12.75" hidden="1">
      <c r="A955" s="88" t="s">
        <v>2154</v>
      </c>
      <c r="B955" s="88" t="s">
        <v>62</v>
      </c>
      <c r="C955" s="88" t="s">
        <v>1666</v>
      </c>
      <c r="D955" s="88" t="s">
        <v>1686</v>
      </c>
      <c r="E955" s="88" t="s">
        <v>607</v>
      </c>
      <c r="F955" s="90"/>
      <c r="G955" s="90">
        <v>0</v>
      </c>
      <c r="H955" s="90">
        <f t="shared" si="934"/>
        <v>0</v>
      </c>
      <c r="I955" s="90">
        <f t="shared" si="935"/>
        <v>0</v>
      </c>
      <c r="J955" s="90">
        <f t="shared" si="936"/>
        <v>0</v>
      </c>
      <c r="K955" s="90">
        <v>0</v>
      </c>
      <c r="L955" s="90">
        <f t="shared" si="937"/>
        <v>0</v>
      </c>
      <c r="M955" s="91" t="s">
        <v>1693</v>
      </c>
      <c r="O955" s="90"/>
      <c r="P955" s="90"/>
      <c r="Z955" s="90">
        <f t="shared" si="938"/>
        <v>0</v>
      </c>
      <c r="AB955" s="90">
        <f t="shared" si="939"/>
        <v>0</v>
      </c>
      <c r="AC955" s="90">
        <f t="shared" si="940"/>
        <v>0</v>
      </c>
      <c r="AD955" s="90">
        <f t="shared" si="941"/>
        <v>0</v>
      </c>
      <c r="AE955" s="90">
        <f t="shared" si="942"/>
        <v>0</v>
      </c>
      <c r="AF955" s="90">
        <f t="shared" si="943"/>
        <v>0</v>
      </c>
      <c r="AG955" s="90">
        <f t="shared" si="944"/>
        <v>0</v>
      </c>
      <c r="AH955" s="90">
        <f t="shared" si="945"/>
        <v>0</v>
      </c>
      <c r="AI955" s="154" t="s">
        <v>62</v>
      </c>
      <c r="AJ955" s="90">
        <f t="shared" si="946"/>
        <v>0</v>
      </c>
      <c r="AK955" s="90">
        <f t="shared" si="947"/>
        <v>0</v>
      </c>
      <c r="AL955" s="90">
        <f t="shared" si="948"/>
        <v>0</v>
      </c>
      <c r="AN955" s="90">
        <v>15</v>
      </c>
      <c r="AO955" s="90">
        <f t="shared" si="949"/>
        <v>0</v>
      </c>
      <c r="AP955" s="90">
        <f t="shared" si="950"/>
        <v>0</v>
      </c>
      <c r="AQ955" s="91" t="s">
        <v>85</v>
      </c>
      <c r="AV955" s="90">
        <f t="shared" si="951"/>
        <v>0</v>
      </c>
      <c r="AW955" s="90">
        <f t="shared" si="952"/>
        <v>0</v>
      </c>
      <c r="AX955" s="90">
        <f t="shared" si="953"/>
        <v>0</v>
      </c>
      <c r="AY955" s="91" t="s">
        <v>1697</v>
      </c>
      <c r="AZ955" s="91" t="s">
        <v>1702</v>
      </c>
      <c r="BA955" s="154" t="s">
        <v>1703</v>
      </c>
      <c r="BC955" s="90">
        <f t="shared" si="954"/>
        <v>0</v>
      </c>
      <c r="BD955" s="90">
        <f t="shared" si="955"/>
        <v>0</v>
      </c>
      <c r="BE955" s="90">
        <v>0</v>
      </c>
      <c r="BF955" s="90">
        <f t="shared" si="956"/>
        <v>0</v>
      </c>
      <c r="BH955" s="90">
        <f t="shared" si="957"/>
        <v>0</v>
      </c>
      <c r="BI955" s="90">
        <f t="shared" si="958"/>
        <v>0</v>
      </c>
      <c r="BJ955" s="90">
        <f t="shared" si="959"/>
        <v>0</v>
      </c>
    </row>
    <row r="956" spans="1:62" ht="12.75" hidden="1">
      <c r="A956" s="88" t="s">
        <v>2155</v>
      </c>
      <c r="B956" s="88" t="s">
        <v>62</v>
      </c>
      <c r="C956" s="88" t="s">
        <v>1667</v>
      </c>
      <c r="D956" s="88" t="s">
        <v>1686</v>
      </c>
      <c r="E956" s="88" t="s">
        <v>607</v>
      </c>
      <c r="F956" s="90"/>
      <c r="G956" s="90">
        <v>0</v>
      </c>
      <c r="H956" s="90">
        <f t="shared" si="934"/>
        <v>0</v>
      </c>
      <c r="I956" s="90">
        <f t="shared" si="935"/>
        <v>0</v>
      </c>
      <c r="J956" s="90">
        <f t="shared" si="936"/>
        <v>0</v>
      </c>
      <c r="K956" s="90">
        <v>0</v>
      </c>
      <c r="L956" s="90">
        <f t="shared" si="937"/>
        <v>0</v>
      </c>
      <c r="M956" s="91" t="s">
        <v>1693</v>
      </c>
      <c r="O956" s="90"/>
      <c r="P956" s="90"/>
      <c r="Z956" s="90">
        <f t="shared" si="938"/>
        <v>0</v>
      </c>
      <c r="AB956" s="90">
        <f t="shared" si="939"/>
        <v>0</v>
      </c>
      <c r="AC956" s="90">
        <f t="shared" si="940"/>
        <v>0</v>
      </c>
      <c r="AD956" s="90">
        <f t="shared" si="941"/>
        <v>0</v>
      </c>
      <c r="AE956" s="90">
        <f t="shared" si="942"/>
        <v>0</v>
      </c>
      <c r="AF956" s="90">
        <f t="shared" si="943"/>
        <v>0</v>
      </c>
      <c r="AG956" s="90">
        <f t="shared" si="944"/>
        <v>0</v>
      </c>
      <c r="AH956" s="90">
        <f t="shared" si="945"/>
        <v>0</v>
      </c>
      <c r="AI956" s="154" t="s">
        <v>62</v>
      </c>
      <c r="AJ956" s="90">
        <f t="shared" si="946"/>
        <v>0</v>
      </c>
      <c r="AK956" s="90">
        <f t="shared" si="947"/>
        <v>0</v>
      </c>
      <c r="AL956" s="90">
        <f t="shared" si="948"/>
        <v>0</v>
      </c>
      <c r="AN956" s="90">
        <v>15</v>
      </c>
      <c r="AO956" s="90">
        <f t="shared" si="949"/>
        <v>0</v>
      </c>
      <c r="AP956" s="90">
        <f t="shared" si="950"/>
        <v>0</v>
      </c>
      <c r="AQ956" s="91" t="s">
        <v>85</v>
      </c>
      <c r="AV956" s="90">
        <f t="shared" si="951"/>
        <v>0</v>
      </c>
      <c r="AW956" s="90">
        <f t="shared" si="952"/>
        <v>0</v>
      </c>
      <c r="AX956" s="90">
        <f t="shared" si="953"/>
        <v>0</v>
      </c>
      <c r="AY956" s="91" t="s">
        <v>1697</v>
      </c>
      <c r="AZ956" s="91" t="s">
        <v>1702</v>
      </c>
      <c r="BA956" s="154" t="s">
        <v>1703</v>
      </c>
      <c r="BC956" s="90">
        <f t="shared" si="954"/>
        <v>0</v>
      </c>
      <c r="BD956" s="90">
        <f t="shared" si="955"/>
        <v>0</v>
      </c>
      <c r="BE956" s="90">
        <v>0</v>
      </c>
      <c r="BF956" s="90">
        <f t="shared" si="956"/>
        <v>0</v>
      </c>
      <c r="BH956" s="90">
        <f t="shared" si="957"/>
        <v>0</v>
      </c>
      <c r="BI956" s="90">
        <f t="shared" si="958"/>
        <v>0</v>
      </c>
      <c r="BJ956" s="90">
        <f t="shared" si="959"/>
        <v>0</v>
      </c>
    </row>
    <row r="957" spans="1:47" ht="12.75" hidden="1">
      <c r="A957" s="159"/>
      <c r="B957" s="160" t="s">
        <v>62</v>
      </c>
      <c r="C957" s="160" t="s">
        <v>1668</v>
      </c>
      <c r="D957" s="160" t="s">
        <v>1687</v>
      </c>
      <c r="E957" s="159" t="s">
        <v>57</v>
      </c>
      <c r="F957" s="159"/>
      <c r="G957" s="159" t="s">
        <v>57</v>
      </c>
      <c r="H957" s="161">
        <f>SUM(H958:H958)</f>
        <v>0</v>
      </c>
      <c r="I957" s="161">
        <f>SUM(I958:I958)</f>
        <v>0</v>
      </c>
      <c r="J957" s="161">
        <f>SUM(J958:J958)</f>
        <v>0</v>
      </c>
      <c r="K957" s="154"/>
      <c r="L957" s="161">
        <f>SUM(L958:L958)</f>
        <v>0</v>
      </c>
      <c r="M957" s="154"/>
      <c r="O957" s="159"/>
      <c r="P957" s="159"/>
      <c r="AI957" s="154" t="s">
        <v>62</v>
      </c>
      <c r="AS957" s="161">
        <f>SUM(AJ958:AJ958)</f>
        <v>0</v>
      </c>
      <c r="AT957" s="161">
        <f>SUM(AK958:AK958)</f>
        <v>0</v>
      </c>
      <c r="AU957" s="161">
        <f>SUM(AL958:AL958)</f>
        <v>0</v>
      </c>
    </row>
    <row r="958" spans="1:62" ht="12.75" hidden="1">
      <c r="A958" s="88" t="s">
        <v>2156</v>
      </c>
      <c r="B958" s="88" t="s">
        <v>62</v>
      </c>
      <c r="C958" s="88" t="s">
        <v>412</v>
      </c>
      <c r="D958" s="88" t="s">
        <v>1688</v>
      </c>
      <c r="E958" s="88" t="s">
        <v>614</v>
      </c>
      <c r="F958" s="90"/>
      <c r="G958" s="90">
        <v>0</v>
      </c>
      <c r="H958" s="90">
        <f>F958*AO958</f>
        <v>0</v>
      </c>
      <c r="I958" s="90">
        <f>F958*AP958</f>
        <v>0</v>
      </c>
      <c r="J958" s="90">
        <f>F958*G958</f>
        <v>0</v>
      </c>
      <c r="K958" s="90">
        <v>0</v>
      </c>
      <c r="L958" s="90">
        <f>F958*K958</f>
        <v>0</v>
      </c>
      <c r="M958" s="91" t="s">
        <v>1693</v>
      </c>
      <c r="O958" s="90"/>
      <c r="P958" s="90"/>
      <c r="Z958" s="90">
        <f>IF(AQ958="5",BJ958,0)</f>
        <v>0</v>
      </c>
      <c r="AB958" s="90">
        <f>IF(AQ958="1",BH958,0)</f>
        <v>0</v>
      </c>
      <c r="AC958" s="90">
        <f>IF(AQ958="1",BI958,0)</f>
        <v>0</v>
      </c>
      <c r="AD958" s="90">
        <f>IF(AQ958="7",BH958,0)</f>
        <v>0</v>
      </c>
      <c r="AE958" s="90">
        <f>IF(AQ958="7",BI958,0)</f>
        <v>0</v>
      </c>
      <c r="AF958" s="90">
        <f>IF(AQ958="2",BH958,0)</f>
        <v>0</v>
      </c>
      <c r="AG958" s="90">
        <f>IF(AQ958="2",BI958,0)</f>
        <v>0</v>
      </c>
      <c r="AH958" s="90">
        <f>IF(AQ958="0",BJ958,0)</f>
        <v>0</v>
      </c>
      <c r="AI958" s="154" t="s">
        <v>62</v>
      </c>
      <c r="AJ958" s="90">
        <f>IF(AN958=0,J958,0)</f>
        <v>0</v>
      </c>
      <c r="AK958" s="90">
        <f>IF(AN958=15,J958,0)</f>
        <v>0</v>
      </c>
      <c r="AL958" s="90">
        <f>IF(AN958=21,J958,0)</f>
        <v>0</v>
      </c>
      <c r="AN958" s="90">
        <v>15</v>
      </c>
      <c r="AO958" s="90">
        <f>G958*0</f>
        <v>0</v>
      </c>
      <c r="AP958" s="90">
        <f>G958*(1-0)</f>
        <v>0</v>
      </c>
      <c r="AQ958" s="91" t="s">
        <v>85</v>
      </c>
      <c r="AV958" s="90">
        <f>AW958+AX958</f>
        <v>0</v>
      </c>
      <c r="AW958" s="90">
        <f>F958*AO958</f>
        <v>0</v>
      </c>
      <c r="AX958" s="90">
        <f>F958*AP958</f>
        <v>0</v>
      </c>
      <c r="AY958" s="91" t="s">
        <v>1698</v>
      </c>
      <c r="AZ958" s="91" t="s">
        <v>1702</v>
      </c>
      <c r="BA958" s="154" t="s">
        <v>1703</v>
      </c>
      <c r="BC958" s="90">
        <f>AW958+AX958</f>
        <v>0</v>
      </c>
      <c r="BD958" s="90">
        <f>G958/(100-BE958)*100</f>
        <v>0</v>
      </c>
      <c r="BE958" s="90">
        <v>0</v>
      </c>
      <c r="BF958" s="90">
        <f>L958</f>
        <v>0</v>
      </c>
      <c r="BH958" s="90">
        <f>F958*AO958</f>
        <v>0</v>
      </c>
      <c r="BI958" s="90">
        <f>F958*AP958</f>
        <v>0</v>
      </c>
      <c r="BJ958" s="90">
        <f>F958*G958</f>
        <v>0</v>
      </c>
    </row>
    <row r="959" spans="1:47" ht="12.75" hidden="1">
      <c r="A959" s="159"/>
      <c r="B959" s="160" t="s">
        <v>62</v>
      </c>
      <c r="C959" s="160" t="s">
        <v>1669</v>
      </c>
      <c r="D959" s="160" t="s">
        <v>1689</v>
      </c>
      <c r="E959" s="159" t="s">
        <v>57</v>
      </c>
      <c r="F959" s="159"/>
      <c r="G959" s="159" t="s">
        <v>57</v>
      </c>
      <c r="H959" s="161">
        <f>SUM(H960:H960)</f>
        <v>0</v>
      </c>
      <c r="I959" s="161">
        <f>SUM(I960:I960)</f>
        <v>0</v>
      </c>
      <c r="J959" s="161">
        <f>SUM(J960:J960)</f>
        <v>0</v>
      </c>
      <c r="K959" s="154"/>
      <c r="L959" s="161">
        <f>SUM(L960:L960)</f>
        <v>0</v>
      </c>
      <c r="M959" s="154"/>
      <c r="O959" s="159"/>
      <c r="P959" s="159"/>
      <c r="AI959" s="154" t="s">
        <v>62</v>
      </c>
      <c r="AS959" s="161">
        <f>SUM(AJ960:AJ960)</f>
        <v>0</v>
      </c>
      <c r="AT959" s="161">
        <f>SUM(AK960:AK960)</f>
        <v>0</v>
      </c>
      <c r="AU959" s="161">
        <f>SUM(AL960:AL960)</f>
        <v>0</v>
      </c>
    </row>
    <row r="960" spans="1:62" ht="12.75" hidden="1">
      <c r="A960" s="88" t="s">
        <v>2157</v>
      </c>
      <c r="B960" s="88" t="s">
        <v>62</v>
      </c>
      <c r="C960" s="88" t="s">
        <v>413</v>
      </c>
      <c r="D960" s="88" t="s">
        <v>1522</v>
      </c>
      <c r="E960" s="88" t="s">
        <v>613</v>
      </c>
      <c r="F960" s="90"/>
      <c r="G960" s="90">
        <v>0</v>
      </c>
      <c r="H960" s="90">
        <f>F960*AO960</f>
        <v>0</v>
      </c>
      <c r="I960" s="90">
        <f>F960*AP960</f>
        <v>0</v>
      </c>
      <c r="J960" s="90">
        <f>F960*G960</f>
        <v>0</v>
      </c>
      <c r="K960" s="90">
        <v>0</v>
      </c>
      <c r="L960" s="90">
        <f>F960*K960</f>
        <v>0</v>
      </c>
      <c r="M960" s="91" t="s">
        <v>1693</v>
      </c>
      <c r="O960" s="90"/>
      <c r="P960" s="90"/>
      <c r="Z960" s="90">
        <f>IF(AQ960="5",BJ960,0)</f>
        <v>0</v>
      </c>
      <c r="AB960" s="90">
        <f>IF(AQ960="1",BH960,0)</f>
        <v>0</v>
      </c>
      <c r="AC960" s="90">
        <f>IF(AQ960="1",BI960,0)</f>
        <v>0</v>
      </c>
      <c r="AD960" s="90">
        <f>IF(AQ960="7",BH960,0)</f>
        <v>0</v>
      </c>
      <c r="AE960" s="90">
        <f>IF(AQ960="7",BI960,0)</f>
        <v>0</v>
      </c>
      <c r="AF960" s="90">
        <f>IF(AQ960="2",BH960,0)</f>
        <v>0</v>
      </c>
      <c r="AG960" s="90">
        <f>IF(AQ960="2",BI960,0)</f>
        <v>0</v>
      </c>
      <c r="AH960" s="90">
        <f>IF(AQ960="0",BJ960,0)</f>
        <v>0</v>
      </c>
      <c r="AI960" s="154" t="s">
        <v>62</v>
      </c>
      <c r="AJ960" s="90">
        <f>IF(AN960=0,J960,0)</f>
        <v>0</v>
      </c>
      <c r="AK960" s="90">
        <f>IF(AN960=15,J960,0)</f>
        <v>0</v>
      </c>
      <c r="AL960" s="90">
        <f>IF(AN960=21,J960,0)</f>
        <v>0</v>
      </c>
      <c r="AN960" s="90">
        <v>15</v>
      </c>
      <c r="AO960" s="90">
        <f>G960*0</f>
        <v>0</v>
      </c>
      <c r="AP960" s="90">
        <f>G960*(1-0)</f>
        <v>0</v>
      </c>
      <c r="AQ960" s="91" t="s">
        <v>79</v>
      </c>
      <c r="AV960" s="90">
        <f>AW960+AX960</f>
        <v>0</v>
      </c>
      <c r="AW960" s="90">
        <f>F960*AO960</f>
        <v>0</v>
      </c>
      <c r="AX960" s="90">
        <f>F960*AP960</f>
        <v>0</v>
      </c>
      <c r="AY960" s="91" t="s">
        <v>1699</v>
      </c>
      <c r="AZ960" s="91" t="s">
        <v>1701</v>
      </c>
      <c r="BA960" s="154" t="s">
        <v>1703</v>
      </c>
      <c r="BC960" s="90">
        <f>AW960+AX960</f>
        <v>0</v>
      </c>
      <c r="BD960" s="90">
        <f>G960/(100-BE960)*100</f>
        <v>0</v>
      </c>
      <c r="BE960" s="90">
        <v>0</v>
      </c>
      <c r="BF960" s="90">
        <f>L960</f>
        <v>0</v>
      </c>
      <c r="BH960" s="90">
        <f>F960*AO960</f>
        <v>0</v>
      </c>
      <c r="BI960" s="90">
        <f>F960*AP960</f>
        <v>0</v>
      </c>
      <c r="BJ960" s="90">
        <f>F960*G960</f>
        <v>0</v>
      </c>
    </row>
    <row r="961" spans="1:47" ht="12.75" hidden="1">
      <c r="A961" s="159"/>
      <c r="B961" s="160" t="s">
        <v>62</v>
      </c>
      <c r="C961" s="160" t="s">
        <v>1670</v>
      </c>
      <c r="D961" s="160" t="s">
        <v>1690</v>
      </c>
      <c r="E961" s="159" t="s">
        <v>57</v>
      </c>
      <c r="F961" s="159"/>
      <c r="G961" s="159" t="s">
        <v>57</v>
      </c>
      <c r="H961" s="161">
        <f>SUM(H962:H965)</f>
        <v>0</v>
      </c>
      <c r="I961" s="161">
        <f>SUM(I962:I965)</f>
        <v>0</v>
      </c>
      <c r="J961" s="161">
        <f>SUM(J962:J965)</f>
        <v>0</v>
      </c>
      <c r="K961" s="154"/>
      <c r="L961" s="161">
        <f>SUM(L962:L965)</f>
        <v>0</v>
      </c>
      <c r="M961" s="154"/>
      <c r="O961" s="159"/>
      <c r="P961" s="159"/>
      <c r="AI961" s="154" t="s">
        <v>62</v>
      </c>
      <c r="AS961" s="161">
        <f>SUM(AJ962:AJ965)</f>
        <v>0</v>
      </c>
      <c r="AT961" s="161">
        <f>SUM(AK962:AK965)</f>
        <v>0</v>
      </c>
      <c r="AU961" s="161">
        <f>SUM(AL962:AL965)</f>
        <v>0</v>
      </c>
    </row>
    <row r="962" spans="1:62" ht="12.75" hidden="1">
      <c r="A962" s="88" t="s">
        <v>2158</v>
      </c>
      <c r="B962" s="88" t="s">
        <v>62</v>
      </c>
      <c r="C962" s="88" t="s">
        <v>415</v>
      </c>
      <c r="D962" s="88" t="s">
        <v>1691</v>
      </c>
      <c r="E962" s="88" t="s">
        <v>609</v>
      </c>
      <c r="F962" s="90"/>
      <c r="G962" s="90">
        <v>0</v>
      </c>
      <c r="H962" s="90">
        <f>F962*AO962</f>
        <v>0</v>
      </c>
      <c r="I962" s="90">
        <f>F962*AP962</f>
        <v>0</v>
      </c>
      <c r="J962" s="90">
        <f>F962*G962</f>
        <v>0</v>
      </c>
      <c r="K962" s="90">
        <v>0</v>
      </c>
      <c r="L962" s="90">
        <f>F962*K962</f>
        <v>0</v>
      </c>
      <c r="M962" s="91" t="s">
        <v>1693</v>
      </c>
      <c r="O962" s="90"/>
      <c r="P962" s="90"/>
      <c r="Z962" s="90">
        <f>IF(AQ962="5",BJ962,0)</f>
        <v>0</v>
      </c>
      <c r="AB962" s="90">
        <f>IF(AQ962="1",BH962,0)</f>
        <v>0</v>
      </c>
      <c r="AC962" s="90">
        <f>IF(AQ962="1",BI962,0)</f>
        <v>0</v>
      </c>
      <c r="AD962" s="90">
        <f>IF(AQ962="7",BH962,0)</f>
        <v>0</v>
      </c>
      <c r="AE962" s="90">
        <f>IF(AQ962="7",BI962,0)</f>
        <v>0</v>
      </c>
      <c r="AF962" s="90">
        <f>IF(AQ962="2",BH962,0)</f>
        <v>0</v>
      </c>
      <c r="AG962" s="90">
        <f>IF(AQ962="2",BI962,0)</f>
        <v>0</v>
      </c>
      <c r="AH962" s="90">
        <f>IF(AQ962="0",BJ962,0)</f>
        <v>0</v>
      </c>
      <c r="AI962" s="154" t="s">
        <v>62</v>
      </c>
      <c r="AJ962" s="90">
        <f>IF(AN962=0,J962,0)</f>
        <v>0</v>
      </c>
      <c r="AK962" s="90">
        <f>IF(AN962=15,J962,0)</f>
        <v>0</v>
      </c>
      <c r="AL962" s="90">
        <f>IF(AN962=21,J962,0)</f>
        <v>0</v>
      </c>
      <c r="AN962" s="90">
        <v>15</v>
      </c>
      <c r="AO962" s="90">
        <f>G962*0</f>
        <v>0</v>
      </c>
      <c r="AP962" s="90">
        <f>G962*(1-0)</f>
        <v>0</v>
      </c>
      <c r="AQ962" s="91" t="s">
        <v>79</v>
      </c>
      <c r="AV962" s="90">
        <f>AW962+AX962</f>
        <v>0</v>
      </c>
      <c r="AW962" s="90">
        <f>F962*AO962</f>
        <v>0</v>
      </c>
      <c r="AX962" s="90">
        <f>F962*AP962</f>
        <v>0</v>
      </c>
      <c r="AY962" s="91" t="s">
        <v>1700</v>
      </c>
      <c r="AZ962" s="91" t="s">
        <v>1701</v>
      </c>
      <c r="BA962" s="154" t="s">
        <v>1703</v>
      </c>
      <c r="BC962" s="90">
        <f>AW962+AX962</f>
        <v>0</v>
      </c>
      <c r="BD962" s="90">
        <f>G962/(100-BE962)*100</f>
        <v>0</v>
      </c>
      <c r="BE962" s="90">
        <v>0</v>
      </c>
      <c r="BF962" s="90">
        <f>L962</f>
        <v>0</v>
      </c>
      <c r="BH962" s="90">
        <f>F962*AO962</f>
        <v>0</v>
      </c>
      <c r="BI962" s="90">
        <f>F962*AP962</f>
        <v>0</v>
      </c>
      <c r="BJ962" s="90">
        <f>F962*G962</f>
        <v>0</v>
      </c>
    </row>
    <row r="963" spans="1:62" ht="12.75" hidden="1">
      <c r="A963" s="88" t="s">
        <v>2159</v>
      </c>
      <c r="B963" s="88" t="s">
        <v>62</v>
      </c>
      <c r="C963" s="88" t="s">
        <v>416</v>
      </c>
      <c r="D963" s="88" t="s">
        <v>603</v>
      </c>
      <c r="E963" s="88" t="s">
        <v>616</v>
      </c>
      <c r="F963" s="90"/>
      <c r="G963" s="90">
        <v>0</v>
      </c>
      <c r="H963" s="90">
        <f>F963*AO963</f>
        <v>0</v>
      </c>
      <c r="I963" s="90">
        <f>F963*AP963</f>
        <v>0</v>
      </c>
      <c r="J963" s="90">
        <f>F963*G963</f>
        <v>0</v>
      </c>
      <c r="K963" s="90">
        <v>0</v>
      </c>
      <c r="L963" s="90">
        <f>F963*K963</f>
        <v>0</v>
      </c>
      <c r="M963" s="91" t="s">
        <v>1693</v>
      </c>
      <c r="O963" s="90"/>
      <c r="P963" s="90"/>
      <c r="Z963" s="90">
        <f>IF(AQ963="5",BJ963,0)</f>
        <v>0</v>
      </c>
      <c r="AB963" s="90">
        <f>IF(AQ963="1",BH963,0)</f>
        <v>0</v>
      </c>
      <c r="AC963" s="90">
        <f>IF(AQ963="1",BI963,0)</f>
        <v>0</v>
      </c>
      <c r="AD963" s="90">
        <f>IF(AQ963="7",BH963,0)</f>
        <v>0</v>
      </c>
      <c r="AE963" s="90">
        <f>IF(AQ963="7",BI963,0)</f>
        <v>0</v>
      </c>
      <c r="AF963" s="90">
        <f>IF(AQ963="2",BH963,0)</f>
        <v>0</v>
      </c>
      <c r="AG963" s="90">
        <f>IF(AQ963="2",BI963,0)</f>
        <v>0</v>
      </c>
      <c r="AH963" s="90">
        <f>IF(AQ963="0",BJ963,0)</f>
        <v>0</v>
      </c>
      <c r="AI963" s="154" t="s">
        <v>62</v>
      </c>
      <c r="AJ963" s="90">
        <f>IF(AN963=0,J963,0)</f>
        <v>0</v>
      </c>
      <c r="AK963" s="90">
        <f>IF(AN963=15,J963,0)</f>
        <v>0</v>
      </c>
      <c r="AL963" s="90">
        <f>IF(AN963=21,J963,0)</f>
        <v>0</v>
      </c>
      <c r="AN963" s="90">
        <v>15</v>
      </c>
      <c r="AO963" s="90">
        <f>G963*0</f>
        <v>0</v>
      </c>
      <c r="AP963" s="90">
        <f>G963*(1-0)</f>
        <v>0</v>
      </c>
      <c r="AQ963" s="91" t="s">
        <v>79</v>
      </c>
      <c r="AV963" s="90">
        <f>AW963+AX963</f>
        <v>0</v>
      </c>
      <c r="AW963" s="90">
        <f>F963*AO963</f>
        <v>0</v>
      </c>
      <c r="AX963" s="90">
        <f>F963*AP963</f>
        <v>0</v>
      </c>
      <c r="AY963" s="91" t="s">
        <v>1700</v>
      </c>
      <c r="AZ963" s="91" t="s">
        <v>1701</v>
      </c>
      <c r="BA963" s="154" t="s">
        <v>1703</v>
      </c>
      <c r="BC963" s="90">
        <f>AW963+AX963</f>
        <v>0</v>
      </c>
      <c r="BD963" s="90">
        <f>G963/(100-BE963)*100</f>
        <v>0</v>
      </c>
      <c r="BE963" s="90">
        <v>0</v>
      </c>
      <c r="BF963" s="90">
        <f>L963</f>
        <v>0</v>
      </c>
      <c r="BH963" s="90">
        <f>F963*AO963</f>
        <v>0</v>
      </c>
      <c r="BI963" s="90">
        <f>F963*AP963</f>
        <v>0</v>
      </c>
      <c r="BJ963" s="90">
        <f>F963*G963</f>
        <v>0</v>
      </c>
    </row>
    <row r="964" spans="1:62" ht="12.75" hidden="1">
      <c r="A964" s="88" t="s">
        <v>2160</v>
      </c>
      <c r="B964" s="88" t="s">
        <v>62</v>
      </c>
      <c r="C964" s="88" t="s">
        <v>1671</v>
      </c>
      <c r="D964" s="88" t="s">
        <v>1692</v>
      </c>
      <c r="E964" s="88" t="s">
        <v>608</v>
      </c>
      <c r="F964" s="90"/>
      <c r="G964" s="90">
        <v>0</v>
      </c>
      <c r="H964" s="90">
        <f>F964*AO964</f>
        <v>0</v>
      </c>
      <c r="I964" s="90">
        <f>F964*AP964</f>
        <v>0</v>
      </c>
      <c r="J964" s="90">
        <f>F964*G964</f>
        <v>0</v>
      </c>
      <c r="K964" s="90">
        <v>0</v>
      </c>
      <c r="L964" s="90">
        <f>F964*K964</f>
        <v>0</v>
      </c>
      <c r="M964" s="91" t="s">
        <v>1693</v>
      </c>
      <c r="O964" s="90"/>
      <c r="P964" s="90"/>
      <c r="Z964" s="90">
        <f>IF(AQ964="5",BJ964,0)</f>
        <v>0</v>
      </c>
      <c r="AB964" s="90">
        <f>IF(AQ964="1",BH964,0)</f>
        <v>0</v>
      </c>
      <c r="AC964" s="90">
        <f>IF(AQ964="1",BI964,0)</f>
        <v>0</v>
      </c>
      <c r="AD964" s="90">
        <f>IF(AQ964="7",BH964,0)</f>
        <v>0</v>
      </c>
      <c r="AE964" s="90">
        <f>IF(AQ964="7",BI964,0)</f>
        <v>0</v>
      </c>
      <c r="AF964" s="90">
        <f>IF(AQ964="2",BH964,0)</f>
        <v>0</v>
      </c>
      <c r="AG964" s="90">
        <f>IF(AQ964="2",BI964,0)</f>
        <v>0</v>
      </c>
      <c r="AH964" s="90">
        <f>IF(AQ964="0",BJ964,0)</f>
        <v>0</v>
      </c>
      <c r="AI964" s="154" t="s">
        <v>62</v>
      </c>
      <c r="AJ964" s="90">
        <f>IF(AN964=0,J964,0)</f>
        <v>0</v>
      </c>
      <c r="AK964" s="90">
        <f>IF(AN964=15,J964,0)</f>
        <v>0</v>
      </c>
      <c r="AL964" s="90">
        <f>IF(AN964=21,J964,0)</f>
        <v>0</v>
      </c>
      <c r="AN964" s="90">
        <v>15</v>
      </c>
      <c r="AO964" s="90">
        <f>G964*0</f>
        <v>0</v>
      </c>
      <c r="AP964" s="90">
        <f>G964*(1-0)</f>
        <v>0</v>
      </c>
      <c r="AQ964" s="91" t="s">
        <v>79</v>
      </c>
      <c r="AV964" s="90">
        <f>AW964+AX964</f>
        <v>0</v>
      </c>
      <c r="AW964" s="90">
        <f>F964*AO964</f>
        <v>0</v>
      </c>
      <c r="AX964" s="90">
        <f>F964*AP964</f>
        <v>0</v>
      </c>
      <c r="AY964" s="91" t="s">
        <v>1700</v>
      </c>
      <c r="AZ964" s="91" t="s">
        <v>1701</v>
      </c>
      <c r="BA964" s="154" t="s">
        <v>1703</v>
      </c>
      <c r="BC964" s="90">
        <f>AW964+AX964</f>
        <v>0</v>
      </c>
      <c r="BD964" s="90">
        <f>G964/(100-BE964)*100</f>
        <v>0</v>
      </c>
      <c r="BE964" s="90">
        <v>0</v>
      </c>
      <c r="BF964" s="90">
        <f>L964</f>
        <v>0</v>
      </c>
      <c r="BH964" s="90">
        <f>F964*AO964</f>
        <v>0</v>
      </c>
      <c r="BI964" s="90">
        <f>F964*AP964</f>
        <v>0</v>
      </c>
      <c r="BJ964" s="90">
        <f>F964*G964</f>
        <v>0</v>
      </c>
    </row>
    <row r="965" spans="1:62" ht="12.75" hidden="1">
      <c r="A965" s="88" t="s">
        <v>2161</v>
      </c>
      <c r="B965" s="88" t="s">
        <v>62</v>
      </c>
      <c r="C965" s="88" t="s">
        <v>417</v>
      </c>
      <c r="D965" s="88" t="s">
        <v>604</v>
      </c>
      <c r="E965" s="88" t="s">
        <v>611</v>
      </c>
      <c r="F965" s="90"/>
      <c r="G965" s="90">
        <v>0</v>
      </c>
      <c r="H965" s="90">
        <f>F965*AO965</f>
        <v>0</v>
      </c>
      <c r="I965" s="90">
        <f>F965*AP965</f>
        <v>0</v>
      </c>
      <c r="J965" s="90">
        <f>F965*G965</f>
        <v>0</v>
      </c>
      <c r="K965" s="90">
        <v>0</v>
      </c>
      <c r="L965" s="90">
        <f>F965*K965</f>
        <v>0</v>
      </c>
      <c r="M965" s="91" t="s">
        <v>1693</v>
      </c>
      <c r="O965" s="90"/>
      <c r="P965" s="90"/>
      <c r="Z965" s="90">
        <f>IF(AQ965="5",BJ965,0)</f>
        <v>0</v>
      </c>
      <c r="AB965" s="90">
        <f>IF(AQ965="1",BH965,0)</f>
        <v>0</v>
      </c>
      <c r="AC965" s="90">
        <f>IF(AQ965="1",BI965,0)</f>
        <v>0</v>
      </c>
      <c r="AD965" s="90">
        <f>IF(AQ965="7",BH965,0)</f>
        <v>0</v>
      </c>
      <c r="AE965" s="90">
        <f>IF(AQ965="7",BI965,0)</f>
        <v>0</v>
      </c>
      <c r="AF965" s="90">
        <f>IF(AQ965="2",BH965,0)</f>
        <v>0</v>
      </c>
      <c r="AG965" s="90">
        <f>IF(AQ965="2",BI965,0)</f>
        <v>0</v>
      </c>
      <c r="AH965" s="90">
        <f>IF(AQ965="0",BJ965,0)</f>
        <v>0</v>
      </c>
      <c r="AI965" s="154" t="s">
        <v>62</v>
      </c>
      <c r="AJ965" s="90">
        <f>IF(AN965=0,J965,0)</f>
        <v>0</v>
      </c>
      <c r="AK965" s="90">
        <f>IF(AN965=15,J965,0)</f>
        <v>0</v>
      </c>
      <c r="AL965" s="90">
        <f>IF(AN965=21,J965,0)</f>
        <v>0</v>
      </c>
      <c r="AN965" s="90">
        <v>15</v>
      </c>
      <c r="AO965" s="90">
        <f>G965*0</f>
        <v>0</v>
      </c>
      <c r="AP965" s="90">
        <f>G965*(1-0)</f>
        <v>0</v>
      </c>
      <c r="AQ965" s="91" t="s">
        <v>79</v>
      </c>
      <c r="AV965" s="90">
        <f>AW965+AX965</f>
        <v>0</v>
      </c>
      <c r="AW965" s="90">
        <f>F965*AO965</f>
        <v>0</v>
      </c>
      <c r="AX965" s="90">
        <f>F965*AP965</f>
        <v>0</v>
      </c>
      <c r="AY965" s="91" t="s">
        <v>1700</v>
      </c>
      <c r="AZ965" s="91" t="s">
        <v>1701</v>
      </c>
      <c r="BA965" s="154" t="s">
        <v>1703</v>
      </c>
      <c r="BC965" s="90">
        <f>AW965+AX965</f>
        <v>0</v>
      </c>
      <c r="BD965" s="90">
        <f>G965/(100-BE965)*100</f>
        <v>0</v>
      </c>
      <c r="BE965" s="90">
        <v>0</v>
      </c>
      <c r="BF965" s="90">
        <f>L965</f>
        <v>0</v>
      </c>
      <c r="BH965" s="90">
        <f>F965*AO965</f>
        <v>0</v>
      </c>
      <c r="BI965" s="90">
        <f>F965*AP965</f>
        <v>0</v>
      </c>
      <c r="BJ965" s="90">
        <f>F965*G965</f>
        <v>0</v>
      </c>
    </row>
    <row r="966" spans="1:16" ht="12.75">
      <c r="A966" s="162"/>
      <c r="B966" s="163" t="s">
        <v>63</v>
      </c>
      <c r="C966" s="163"/>
      <c r="D966" s="163" t="s">
        <v>69</v>
      </c>
      <c r="E966" s="162" t="s">
        <v>57</v>
      </c>
      <c r="F966" s="162" t="s">
        <v>57</v>
      </c>
      <c r="G966" s="162" t="s">
        <v>57</v>
      </c>
      <c r="H966" s="164">
        <f>H967</f>
        <v>0</v>
      </c>
      <c r="I966" s="164">
        <f>I967</f>
        <v>0</v>
      </c>
      <c r="J966" s="164">
        <f>J967</f>
        <v>0</v>
      </c>
      <c r="K966" s="165"/>
      <c r="L966" s="164">
        <f>L967</f>
        <v>0</v>
      </c>
      <c r="M966" s="165"/>
      <c r="O966" s="162"/>
      <c r="P966" s="162"/>
    </row>
    <row r="967" spans="1:47" ht="12.75">
      <c r="A967" s="159"/>
      <c r="B967" s="160" t="s">
        <v>63</v>
      </c>
      <c r="C967" s="160" t="s">
        <v>1705</v>
      </c>
      <c r="D967" s="160" t="s">
        <v>1716</v>
      </c>
      <c r="E967" s="159" t="s">
        <v>57</v>
      </c>
      <c r="F967" s="159" t="s">
        <v>57</v>
      </c>
      <c r="G967" s="159" t="s">
        <v>57</v>
      </c>
      <c r="H967" s="161">
        <f>SUM(H968:H977)</f>
        <v>0</v>
      </c>
      <c r="I967" s="161">
        <f>SUM(I968:I977)</f>
        <v>0</v>
      </c>
      <c r="J967" s="161">
        <f>SUM(J968:J977)</f>
        <v>0</v>
      </c>
      <c r="K967" s="154"/>
      <c r="L967" s="161">
        <f>SUM(L968:L977)</f>
        <v>0</v>
      </c>
      <c r="M967" s="154"/>
      <c r="O967" s="159"/>
      <c r="P967" s="159"/>
      <c r="AI967" s="154" t="s">
        <v>63</v>
      </c>
      <c r="AS967" s="161">
        <f>SUM(AJ968:AJ977)</f>
        <v>0</v>
      </c>
      <c r="AT967" s="161">
        <f>SUM(AK968:AK977)</f>
        <v>0</v>
      </c>
      <c r="AU967" s="161">
        <f>SUM(AL968:AL977)</f>
        <v>0</v>
      </c>
    </row>
    <row r="968" spans="1:62" ht="12.75">
      <c r="A968" s="88" t="s">
        <v>2162</v>
      </c>
      <c r="B968" s="88" t="s">
        <v>63</v>
      </c>
      <c r="C968" s="88" t="s">
        <v>1706</v>
      </c>
      <c r="D968" s="88" t="s">
        <v>1717</v>
      </c>
      <c r="E968" s="88" t="s">
        <v>606</v>
      </c>
      <c r="F968" s="90">
        <v>1</v>
      </c>
      <c r="G968" s="90">
        <f>'Stavební rozpočet (VRN)'!$G$14</f>
        <v>0</v>
      </c>
      <c r="H968" s="90">
        <f aca="true" t="shared" si="960" ref="H968:H977">F968*AO968</f>
        <v>0</v>
      </c>
      <c r="I968" s="90">
        <f aca="true" t="shared" si="961" ref="I968:I977">F968*AP968</f>
        <v>0</v>
      </c>
      <c r="J968" s="90">
        <f aca="true" t="shared" si="962" ref="J968:J977">F968*G968</f>
        <v>0</v>
      </c>
      <c r="K968" s="90">
        <v>0</v>
      </c>
      <c r="L968" s="90">
        <f aca="true" t="shared" si="963" ref="L968:L977">F968*K968</f>
        <v>0</v>
      </c>
      <c r="M968" s="91" t="s">
        <v>622</v>
      </c>
      <c r="O968" s="90"/>
      <c r="P968" s="90"/>
      <c r="Z968" s="90">
        <f aca="true" t="shared" si="964" ref="Z968:Z977">IF(AQ968="5",BJ968,0)</f>
        <v>0</v>
      </c>
      <c r="AB968" s="90">
        <f aca="true" t="shared" si="965" ref="AB968:AB977">IF(AQ968="1",BH968,0)</f>
        <v>0</v>
      </c>
      <c r="AC968" s="90">
        <f aca="true" t="shared" si="966" ref="AC968:AC977">IF(AQ968="1",BI968,0)</f>
        <v>0</v>
      </c>
      <c r="AD968" s="90">
        <f aca="true" t="shared" si="967" ref="AD968:AD977">IF(AQ968="7",BH968,0)</f>
        <v>0</v>
      </c>
      <c r="AE968" s="90">
        <f aca="true" t="shared" si="968" ref="AE968:AE977">IF(AQ968="7",BI968,0)</f>
        <v>0</v>
      </c>
      <c r="AF968" s="90">
        <f aca="true" t="shared" si="969" ref="AF968:AF977">IF(AQ968="2",BH968,0)</f>
        <v>0</v>
      </c>
      <c r="AG968" s="90">
        <f aca="true" t="shared" si="970" ref="AG968:AG977">IF(AQ968="2",BI968,0)</f>
        <v>0</v>
      </c>
      <c r="AH968" s="90">
        <f aca="true" t="shared" si="971" ref="AH968:AH977">IF(AQ968="0",BJ968,0)</f>
        <v>0</v>
      </c>
      <c r="AI968" s="154" t="s">
        <v>63</v>
      </c>
      <c r="AJ968" s="90">
        <f aca="true" t="shared" si="972" ref="AJ968:AJ977">IF(AN968=0,J968,0)</f>
        <v>0</v>
      </c>
      <c r="AK968" s="90">
        <f aca="true" t="shared" si="973" ref="AK968:AK977">IF(AN968=15,J968,0)</f>
        <v>0</v>
      </c>
      <c r="AL968" s="90">
        <f aca="true" t="shared" si="974" ref="AL968:AL977">IF(AN968=21,J968,0)</f>
        <v>0</v>
      </c>
      <c r="AN968" s="90">
        <v>21</v>
      </c>
      <c r="AO968" s="90">
        <f aca="true" t="shared" si="975" ref="AO968:AO977">G968*0</f>
        <v>0</v>
      </c>
      <c r="AP968" s="90">
        <f aca="true" t="shared" si="976" ref="AP968:AP977">G968*(1-0)</f>
        <v>0</v>
      </c>
      <c r="AQ968" s="91" t="s">
        <v>79</v>
      </c>
      <c r="AV968" s="90">
        <f aca="true" t="shared" si="977" ref="AV968:AV977">AW968+AX968</f>
        <v>0</v>
      </c>
      <c r="AW968" s="90">
        <f aca="true" t="shared" si="978" ref="AW968:AW977">F968*AO968</f>
        <v>0</v>
      </c>
      <c r="AX968" s="90">
        <f aca="true" t="shared" si="979" ref="AX968:AX977">F968*AP968</f>
        <v>0</v>
      </c>
      <c r="AY968" s="91" t="s">
        <v>1736</v>
      </c>
      <c r="AZ968" s="91" t="s">
        <v>1737</v>
      </c>
      <c r="BA968" s="154" t="s">
        <v>1738</v>
      </c>
      <c r="BC968" s="90">
        <f aca="true" t="shared" si="980" ref="BC968:BC977">AW968+AX968</f>
        <v>0</v>
      </c>
      <c r="BD968" s="90">
        <f aca="true" t="shared" si="981" ref="BD968:BD977">G968/(100-BE968)*100</f>
        <v>0</v>
      </c>
      <c r="BE968" s="90">
        <v>0</v>
      </c>
      <c r="BF968" s="90">
        <f aca="true" t="shared" si="982" ref="BF968:BF977">L968</f>
        <v>0</v>
      </c>
      <c r="BH968" s="90">
        <f aca="true" t="shared" si="983" ref="BH968:BH977">F968*AO968</f>
        <v>0</v>
      </c>
      <c r="BI968" s="90">
        <f aca="true" t="shared" si="984" ref="BI968:BI977">F968*AP968</f>
        <v>0</v>
      </c>
      <c r="BJ968" s="90">
        <f aca="true" t="shared" si="985" ref="BJ968:BJ977">F968*G968</f>
        <v>0</v>
      </c>
    </row>
    <row r="969" spans="1:62" ht="12.75">
      <c r="A969" s="88" t="s">
        <v>2163</v>
      </c>
      <c r="B969" s="88" t="s">
        <v>63</v>
      </c>
      <c r="C969" s="88" t="s">
        <v>1707</v>
      </c>
      <c r="D969" s="88" t="s">
        <v>1719</v>
      </c>
      <c r="E969" s="88" t="s">
        <v>606</v>
      </c>
      <c r="F969" s="90">
        <v>1</v>
      </c>
      <c r="G969" s="90">
        <f>'Stavební rozpočet (VRN)'!$G$16</f>
        <v>0</v>
      </c>
      <c r="H969" s="90">
        <f t="shared" si="960"/>
        <v>0</v>
      </c>
      <c r="I969" s="90">
        <f t="shared" si="961"/>
        <v>0</v>
      </c>
      <c r="J969" s="90">
        <f t="shared" si="962"/>
        <v>0</v>
      </c>
      <c r="K969" s="90">
        <v>0</v>
      </c>
      <c r="L969" s="90">
        <f t="shared" si="963"/>
        <v>0</v>
      </c>
      <c r="M969" s="91" t="s">
        <v>622</v>
      </c>
      <c r="O969" s="90"/>
      <c r="P969" s="90"/>
      <c r="Z969" s="90">
        <f t="shared" si="964"/>
        <v>0</v>
      </c>
      <c r="AB969" s="90">
        <f t="shared" si="965"/>
        <v>0</v>
      </c>
      <c r="AC969" s="90">
        <f t="shared" si="966"/>
        <v>0</v>
      </c>
      <c r="AD969" s="90">
        <f t="shared" si="967"/>
        <v>0</v>
      </c>
      <c r="AE969" s="90">
        <f t="shared" si="968"/>
        <v>0</v>
      </c>
      <c r="AF969" s="90">
        <f t="shared" si="969"/>
        <v>0</v>
      </c>
      <c r="AG969" s="90">
        <f t="shared" si="970"/>
        <v>0</v>
      </c>
      <c r="AH969" s="90">
        <f t="shared" si="971"/>
        <v>0</v>
      </c>
      <c r="AI969" s="154" t="s">
        <v>63</v>
      </c>
      <c r="AJ969" s="90">
        <f t="shared" si="972"/>
        <v>0</v>
      </c>
      <c r="AK969" s="90">
        <f t="shared" si="973"/>
        <v>0</v>
      </c>
      <c r="AL969" s="90">
        <f t="shared" si="974"/>
        <v>0</v>
      </c>
      <c r="AN969" s="90">
        <v>21</v>
      </c>
      <c r="AO969" s="90">
        <f t="shared" si="975"/>
        <v>0</v>
      </c>
      <c r="AP969" s="90">
        <f t="shared" si="976"/>
        <v>0</v>
      </c>
      <c r="AQ969" s="91" t="s">
        <v>79</v>
      </c>
      <c r="AV969" s="90">
        <f t="shared" si="977"/>
        <v>0</v>
      </c>
      <c r="AW969" s="90">
        <f t="shared" si="978"/>
        <v>0</v>
      </c>
      <c r="AX969" s="90">
        <f t="shared" si="979"/>
        <v>0</v>
      </c>
      <c r="AY969" s="91" t="s">
        <v>1736</v>
      </c>
      <c r="AZ969" s="91" t="s">
        <v>1737</v>
      </c>
      <c r="BA969" s="154" t="s">
        <v>1738</v>
      </c>
      <c r="BC969" s="90">
        <f t="shared" si="980"/>
        <v>0</v>
      </c>
      <c r="BD969" s="90">
        <f t="shared" si="981"/>
        <v>0</v>
      </c>
      <c r="BE969" s="90">
        <v>0</v>
      </c>
      <c r="BF969" s="90">
        <f t="shared" si="982"/>
        <v>0</v>
      </c>
      <c r="BH969" s="90">
        <f t="shared" si="983"/>
        <v>0</v>
      </c>
      <c r="BI969" s="90">
        <f t="shared" si="984"/>
        <v>0</v>
      </c>
      <c r="BJ969" s="90">
        <f t="shared" si="985"/>
        <v>0</v>
      </c>
    </row>
    <row r="970" spans="1:62" ht="12.75">
      <c r="A970" s="88" t="s">
        <v>2164</v>
      </c>
      <c r="B970" s="88" t="s">
        <v>63</v>
      </c>
      <c r="C970" s="88" t="s">
        <v>1708</v>
      </c>
      <c r="D970" s="88" t="s">
        <v>1721</v>
      </c>
      <c r="E970" s="88" t="s">
        <v>606</v>
      </c>
      <c r="F970" s="90">
        <v>1</v>
      </c>
      <c r="G970" s="90">
        <f>'Stavební rozpočet (VRN)'!$G$18</f>
        <v>0</v>
      </c>
      <c r="H970" s="90">
        <f t="shared" si="960"/>
        <v>0</v>
      </c>
      <c r="I970" s="90">
        <f t="shared" si="961"/>
        <v>0</v>
      </c>
      <c r="J970" s="90">
        <f t="shared" si="962"/>
        <v>0</v>
      </c>
      <c r="K970" s="90">
        <v>0</v>
      </c>
      <c r="L970" s="90">
        <f t="shared" si="963"/>
        <v>0</v>
      </c>
      <c r="M970" s="91" t="s">
        <v>622</v>
      </c>
      <c r="O970" s="90"/>
      <c r="P970" s="90"/>
      <c r="Z970" s="90">
        <f t="shared" si="964"/>
        <v>0</v>
      </c>
      <c r="AB970" s="90">
        <f t="shared" si="965"/>
        <v>0</v>
      </c>
      <c r="AC970" s="90">
        <f t="shared" si="966"/>
        <v>0</v>
      </c>
      <c r="AD970" s="90">
        <f t="shared" si="967"/>
        <v>0</v>
      </c>
      <c r="AE970" s="90">
        <f t="shared" si="968"/>
        <v>0</v>
      </c>
      <c r="AF970" s="90">
        <f t="shared" si="969"/>
        <v>0</v>
      </c>
      <c r="AG970" s="90">
        <f t="shared" si="970"/>
        <v>0</v>
      </c>
      <c r="AH970" s="90">
        <f t="shared" si="971"/>
        <v>0</v>
      </c>
      <c r="AI970" s="154" t="s">
        <v>63</v>
      </c>
      <c r="AJ970" s="90">
        <f t="shared" si="972"/>
        <v>0</v>
      </c>
      <c r="AK970" s="90">
        <f t="shared" si="973"/>
        <v>0</v>
      </c>
      <c r="AL970" s="90">
        <f t="shared" si="974"/>
        <v>0</v>
      </c>
      <c r="AN970" s="90">
        <v>21</v>
      </c>
      <c r="AO970" s="90">
        <f t="shared" si="975"/>
        <v>0</v>
      </c>
      <c r="AP970" s="90">
        <f t="shared" si="976"/>
        <v>0</v>
      </c>
      <c r="AQ970" s="91" t="s">
        <v>79</v>
      </c>
      <c r="AV970" s="90">
        <f t="shared" si="977"/>
        <v>0</v>
      </c>
      <c r="AW970" s="90">
        <f t="shared" si="978"/>
        <v>0</v>
      </c>
      <c r="AX970" s="90">
        <f t="shared" si="979"/>
        <v>0</v>
      </c>
      <c r="AY970" s="91" t="s">
        <v>1736</v>
      </c>
      <c r="AZ970" s="91" t="s">
        <v>1737</v>
      </c>
      <c r="BA970" s="154" t="s">
        <v>1738</v>
      </c>
      <c r="BC970" s="90">
        <f t="shared" si="980"/>
        <v>0</v>
      </c>
      <c r="BD970" s="90">
        <f t="shared" si="981"/>
        <v>0</v>
      </c>
      <c r="BE970" s="90">
        <v>0</v>
      </c>
      <c r="BF970" s="90">
        <f t="shared" si="982"/>
        <v>0</v>
      </c>
      <c r="BH970" s="90">
        <f t="shared" si="983"/>
        <v>0</v>
      </c>
      <c r="BI970" s="90">
        <f t="shared" si="984"/>
        <v>0</v>
      </c>
      <c r="BJ970" s="90">
        <f t="shared" si="985"/>
        <v>0</v>
      </c>
    </row>
    <row r="971" spans="1:62" ht="12.75">
      <c r="A971" s="88" t="s">
        <v>2165</v>
      </c>
      <c r="B971" s="88" t="s">
        <v>63</v>
      </c>
      <c r="C971" s="88" t="s">
        <v>1709</v>
      </c>
      <c r="D971" s="88" t="s">
        <v>38</v>
      </c>
      <c r="E971" s="88" t="s">
        <v>606</v>
      </c>
      <c r="F971" s="90">
        <v>1</v>
      </c>
      <c r="G971" s="90">
        <f>'Stavební rozpočet (VRN)'!$G$20</f>
        <v>0</v>
      </c>
      <c r="H971" s="90">
        <f t="shared" si="960"/>
        <v>0</v>
      </c>
      <c r="I971" s="90">
        <f t="shared" si="961"/>
        <v>0</v>
      </c>
      <c r="J971" s="90">
        <f t="shared" si="962"/>
        <v>0</v>
      </c>
      <c r="K971" s="90">
        <v>0</v>
      </c>
      <c r="L971" s="90">
        <f t="shared" si="963"/>
        <v>0</v>
      </c>
      <c r="M971" s="91" t="s">
        <v>622</v>
      </c>
      <c r="O971" s="90"/>
      <c r="P971" s="90"/>
      <c r="Z971" s="90">
        <f t="shared" si="964"/>
        <v>0</v>
      </c>
      <c r="AB971" s="90">
        <f t="shared" si="965"/>
        <v>0</v>
      </c>
      <c r="AC971" s="90">
        <f t="shared" si="966"/>
        <v>0</v>
      </c>
      <c r="AD971" s="90">
        <f t="shared" si="967"/>
        <v>0</v>
      </c>
      <c r="AE971" s="90">
        <f t="shared" si="968"/>
        <v>0</v>
      </c>
      <c r="AF971" s="90">
        <f t="shared" si="969"/>
        <v>0</v>
      </c>
      <c r="AG971" s="90">
        <f t="shared" si="970"/>
        <v>0</v>
      </c>
      <c r="AH971" s="90">
        <f t="shared" si="971"/>
        <v>0</v>
      </c>
      <c r="AI971" s="154" t="s">
        <v>63</v>
      </c>
      <c r="AJ971" s="90">
        <f t="shared" si="972"/>
        <v>0</v>
      </c>
      <c r="AK971" s="90">
        <f t="shared" si="973"/>
        <v>0</v>
      </c>
      <c r="AL971" s="90">
        <f t="shared" si="974"/>
        <v>0</v>
      </c>
      <c r="AN971" s="90">
        <v>21</v>
      </c>
      <c r="AO971" s="90">
        <f t="shared" si="975"/>
        <v>0</v>
      </c>
      <c r="AP971" s="90">
        <f t="shared" si="976"/>
        <v>0</v>
      </c>
      <c r="AQ971" s="91" t="s">
        <v>79</v>
      </c>
      <c r="AV971" s="90">
        <f t="shared" si="977"/>
        <v>0</v>
      </c>
      <c r="AW971" s="90">
        <f t="shared" si="978"/>
        <v>0</v>
      </c>
      <c r="AX971" s="90">
        <f t="shared" si="979"/>
        <v>0</v>
      </c>
      <c r="AY971" s="91" t="s">
        <v>1736</v>
      </c>
      <c r="AZ971" s="91" t="s">
        <v>1737</v>
      </c>
      <c r="BA971" s="154" t="s">
        <v>1738</v>
      </c>
      <c r="BC971" s="90">
        <f t="shared" si="980"/>
        <v>0</v>
      </c>
      <c r="BD971" s="90">
        <f t="shared" si="981"/>
        <v>0</v>
      </c>
      <c r="BE971" s="90">
        <v>0</v>
      </c>
      <c r="BF971" s="90">
        <f t="shared" si="982"/>
        <v>0</v>
      </c>
      <c r="BH971" s="90">
        <f t="shared" si="983"/>
        <v>0</v>
      </c>
      <c r="BI971" s="90">
        <f t="shared" si="984"/>
        <v>0</v>
      </c>
      <c r="BJ971" s="90">
        <f t="shared" si="985"/>
        <v>0</v>
      </c>
    </row>
    <row r="972" spans="1:62" ht="12.75">
      <c r="A972" s="88" t="s">
        <v>2166</v>
      </c>
      <c r="B972" s="88" t="s">
        <v>63</v>
      </c>
      <c r="C972" s="88" t="s">
        <v>1710</v>
      </c>
      <c r="D972" s="88" t="s">
        <v>1724</v>
      </c>
      <c r="E972" s="88" t="s">
        <v>606</v>
      </c>
      <c r="F972" s="90">
        <v>1</v>
      </c>
      <c r="G972" s="90">
        <f>'Stavební rozpočet (VRN)'!$G$22</f>
        <v>0</v>
      </c>
      <c r="H972" s="90">
        <f t="shared" si="960"/>
        <v>0</v>
      </c>
      <c r="I972" s="90">
        <f t="shared" si="961"/>
        <v>0</v>
      </c>
      <c r="J972" s="90">
        <f t="shared" si="962"/>
        <v>0</v>
      </c>
      <c r="K972" s="90">
        <v>0</v>
      </c>
      <c r="L972" s="90">
        <f t="shared" si="963"/>
        <v>0</v>
      </c>
      <c r="M972" s="91" t="s">
        <v>622</v>
      </c>
      <c r="O972" s="90"/>
      <c r="P972" s="90"/>
      <c r="Z972" s="90">
        <f t="shared" si="964"/>
        <v>0</v>
      </c>
      <c r="AB972" s="90">
        <f t="shared" si="965"/>
        <v>0</v>
      </c>
      <c r="AC972" s="90">
        <f t="shared" si="966"/>
        <v>0</v>
      </c>
      <c r="AD972" s="90">
        <f t="shared" si="967"/>
        <v>0</v>
      </c>
      <c r="AE972" s="90">
        <f t="shared" si="968"/>
        <v>0</v>
      </c>
      <c r="AF972" s="90">
        <f t="shared" si="969"/>
        <v>0</v>
      </c>
      <c r="AG972" s="90">
        <f t="shared" si="970"/>
        <v>0</v>
      </c>
      <c r="AH972" s="90">
        <f t="shared" si="971"/>
        <v>0</v>
      </c>
      <c r="AI972" s="154" t="s">
        <v>63</v>
      </c>
      <c r="AJ972" s="90">
        <f t="shared" si="972"/>
        <v>0</v>
      </c>
      <c r="AK972" s="90">
        <f t="shared" si="973"/>
        <v>0</v>
      </c>
      <c r="AL972" s="90">
        <f t="shared" si="974"/>
        <v>0</v>
      </c>
      <c r="AN972" s="90">
        <v>21</v>
      </c>
      <c r="AO972" s="90">
        <f t="shared" si="975"/>
        <v>0</v>
      </c>
      <c r="AP972" s="90">
        <f t="shared" si="976"/>
        <v>0</v>
      </c>
      <c r="AQ972" s="91" t="s">
        <v>79</v>
      </c>
      <c r="AV972" s="90">
        <f t="shared" si="977"/>
        <v>0</v>
      </c>
      <c r="AW972" s="90">
        <f t="shared" si="978"/>
        <v>0</v>
      </c>
      <c r="AX972" s="90">
        <f t="shared" si="979"/>
        <v>0</v>
      </c>
      <c r="AY972" s="91" t="s">
        <v>1736</v>
      </c>
      <c r="AZ972" s="91" t="s">
        <v>1737</v>
      </c>
      <c r="BA972" s="154" t="s">
        <v>1738</v>
      </c>
      <c r="BC972" s="90">
        <f t="shared" si="980"/>
        <v>0</v>
      </c>
      <c r="BD972" s="90">
        <f t="shared" si="981"/>
        <v>0</v>
      </c>
      <c r="BE972" s="90">
        <v>0</v>
      </c>
      <c r="BF972" s="90">
        <f t="shared" si="982"/>
        <v>0</v>
      </c>
      <c r="BH972" s="90">
        <f t="shared" si="983"/>
        <v>0</v>
      </c>
      <c r="BI972" s="90">
        <f t="shared" si="984"/>
        <v>0</v>
      </c>
      <c r="BJ972" s="90">
        <f t="shared" si="985"/>
        <v>0</v>
      </c>
    </row>
    <row r="973" spans="1:62" ht="12.75">
      <c r="A973" s="88" t="s">
        <v>2167</v>
      </c>
      <c r="B973" s="88" t="s">
        <v>63</v>
      </c>
      <c r="C973" s="88" t="s">
        <v>1711</v>
      </c>
      <c r="D973" s="88" t="s">
        <v>1726</v>
      </c>
      <c r="E973" s="88" t="s">
        <v>606</v>
      </c>
      <c r="F973" s="90">
        <v>1</v>
      </c>
      <c r="G973" s="90">
        <f>'Stavební rozpočet (VRN)'!$G$24</f>
        <v>0</v>
      </c>
      <c r="H973" s="90">
        <f t="shared" si="960"/>
        <v>0</v>
      </c>
      <c r="I973" s="90">
        <f t="shared" si="961"/>
        <v>0</v>
      </c>
      <c r="J973" s="90">
        <f t="shared" si="962"/>
        <v>0</v>
      </c>
      <c r="K973" s="90">
        <v>0</v>
      </c>
      <c r="L973" s="90">
        <f t="shared" si="963"/>
        <v>0</v>
      </c>
      <c r="M973" s="91" t="s">
        <v>622</v>
      </c>
      <c r="O973" s="90"/>
      <c r="P973" s="90"/>
      <c r="Z973" s="90">
        <f t="shared" si="964"/>
        <v>0</v>
      </c>
      <c r="AB973" s="90">
        <f t="shared" si="965"/>
        <v>0</v>
      </c>
      <c r="AC973" s="90">
        <f t="shared" si="966"/>
        <v>0</v>
      </c>
      <c r="AD973" s="90">
        <f t="shared" si="967"/>
        <v>0</v>
      </c>
      <c r="AE973" s="90">
        <f t="shared" si="968"/>
        <v>0</v>
      </c>
      <c r="AF973" s="90">
        <f t="shared" si="969"/>
        <v>0</v>
      </c>
      <c r="AG973" s="90">
        <f t="shared" si="970"/>
        <v>0</v>
      </c>
      <c r="AH973" s="90">
        <f t="shared" si="971"/>
        <v>0</v>
      </c>
      <c r="AI973" s="154" t="s">
        <v>63</v>
      </c>
      <c r="AJ973" s="90">
        <f t="shared" si="972"/>
        <v>0</v>
      </c>
      <c r="AK973" s="90">
        <f t="shared" si="973"/>
        <v>0</v>
      </c>
      <c r="AL973" s="90">
        <f t="shared" si="974"/>
        <v>0</v>
      </c>
      <c r="AN973" s="90">
        <v>21</v>
      </c>
      <c r="AO973" s="90">
        <f t="shared" si="975"/>
        <v>0</v>
      </c>
      <c r="AP973" s="90">
        <f t="shared" si="976"/>
        <v>0</v>
      </c>
      <c r="AQ973" s="91" t="s">
        <v>79</v>
      </c>
      <c r="AV973" s="90">
        <f t="shared" si="977"/>
        <v>0</v>
      </c>
      <c r="AW973" s="90">
        <f t="shared" si="978"/>
        <v>0</v>
      </c>
      <c r="AX973" s="90">
        <f t="shared" si="979"/>
        <v>0</v>
      </c>
      <c r="AY973" s="91" t="s">
        <v>1736</v>
      </c>
      <c r="AZ973" s="91" t="s">
        <v>1737</v>
      </c>
      <c r="BA973" s="154" t="s">
        <v>1738</v>
      </c>
      <c r="BC973" s="90">
        <f t="shared" si="980"/>
        <v>0</v>
      </c>
      <c r="BD973" s="90">
        <f t="shared" si="981"/>
        <v>0</v>
      </c>
      <c r="BE973" s="90">
        <v>0</v>
      </c>
      <c r="BF973" s="90">
        <f t="shared" si="982"/>
        <v>0</v>
      </c>
      <c r="BH973" s="90">
        <f t="shared" si="983"/>
        <v>0</v>
      </c>
      <c r="BI973" s="90">
        <f t="shared" si="984"/>
        <v>0</v>
      </c>
      <c r="BJ973" s="90">
        <f t="shared" si="985"/>
        <v>0</v>
      </c>
    </row>
    <row r="974" spans="1:62" ht="12.75">
      <c r="A974" s="88" t="s">
        <v>2168</v>
      </c>
      <c r="B974" s="88" t="s">
        <v>63</v>
      </c>
      <c r="C974" s="88" t="s">
        <v>1712</v>
      </c>
      <c r="D974" s="88" t="s">
        <v>1728</v>
      </c>
      <c r="E974" s="88" t="s">
        <v>606</v>
      </c>
      <c r="F974" s="90">
        <v>1</v>
      </c>
      <c r="G974" s="90">
        <f>'Stavební rozpočet (VRN)'!$G$26</f>
        <v>0</v>
      </c>
      <c r="H974" s="90">
        <f t="shared" si="960"/>
        <v>0</v>
      </c>
      <c r="I974" s="90">
        <f t="shared" si="961"/>
        <v>0</v>
      </c>
      <c r="J974" s="90">
        <f t="shared" si="962"/>
        <v>0</v>
      </c>
      <c r="K974" s="90">
        <v>0</v>
      </c>
      <c r="L974" s="90">
        <f t="shared" si="963"/>
        <v>0</v>
      </c>
      <c r="M974" s="91" t="s">
        <v>622</v>
      </c>
      <c r="O974" s="90"/>
      <c r="P974" s="90"/>
      <c r="Z974" s="90">
        <f t="shared" si="964"/>
        <v>0</v>
      </c>
      <c r="AB974" s="90">
        <f t="shared" si="965"/>
        <v>0</v>
      </c>
      <c r="AC974" s="90">
        <f t="shared" si="966"/>
        <v>0</v>
      </c>
      <c r="AD974" s="90">
        <f t="shared" si="967"/>
        <v>0</v>
      </c>
      <c r="AE974" s="90">
        <f t="shared" si="968"/>
        <v>0</v>
      </c>
      <c r="AF974" s="90">
        <f t="shared" si="969"/>
        <v>0</v>
      </c>
      <c r="AG974" s="90">
        <f t="shared" si="970"/>
        <v>0</v>
      </c>
      <c r="AH974" s="90">
        <f t="shared" si="971"/>
        <v>0</v>
      </c>
      <c r="AI974" s="154" t="s">
        <v>63</v>
      </c>
      <c r="AJ974" s="90">
        <f t="shared" si="972"/>
        <v>0</v>
      </c>
      <c r="AK974" s="90">
        <f t="shared" si="973"/>
        <v>0</v>
      </c>
      <c r="AL974" s="90">
        <f t="shared" si="974"/>
        <v>0</v>
      </c>
      <c r="AN974" s="90">
        <v>21</v>
      </c>
      <c r="AO974" s="90">
        <f t="shared" si="975"/>
        <v>0</v>
      </c>
      <c r="AP974" s="90">
        <f t="shared" si="976"/>
        <v>0</v>
      </c>
      <c r="AQ974" s="91" t="s">
        <v>79</v>
      </c>
      <c r="AV974" s="90">
        <f t="shared" si="977"/>
        <v>0</v>
      </c>
      <c r="AW974" s="90">
        <f t="shared" si="978"/>
        <v>0</v>
      </c>
      <c r="AX974" s="90">
        <f t="shared" si="979"/>
        <v>0</v>
      </c>
      <c r="AY974" s="91" t="s">
        <v>1736</v>
      </c>
      <c r="AZ974" s="91" t="s">
        <v>1737</v>
      </c>
      <c r="BA974" s="154" t="s">
        <v>1738</v>
      </c>
      <c r="BC974" s="90">
        <f t="shared" si="980"/>
        <v>0</v>
      </c>
      <c r="BD974" s="90">
        <f t="shared" si="981"/>
        <v>0</v>
      </c>
      <c r="BE974" s="90">
        <v>0</v>
      </c>
      <c r="BF974" s="90">
        <f t="shared" si="982"/>
        <v>0</v>
      </c>
      <c r="BH974" s="90">
        <f t="shared" si="983"/>
        <v>0</v>
      </c>
      <c r="BI974" s="90">
        <f t="shared" si="984"/>
        <v>0</v>
      </c>
      <c r="BJ974" s="90">
        <f t="shared" si="985"/>
        <v>0</v>
      </c>
    </row>
    <row r="975" spans="1:62" ht="12.75">
      <c r="A975" s="88" t="s">
        <v>2169</v>
      </c>
      <c r="B975" s="88" t="s">
        <v>63</v>
      </c>
      <c r="C975" s="88" t="s">
        <v>1713</v>
      </c>
      <c r="D975" s="88" t="s">
        <v>1730</v>
      </c>
      <c r="E975" s="88" t="s">
        <v>606</v>
      </c>
      <c r="F975" s="90">
        <v>1</v>
      </c>
      <c r="G975" s="90">
        <f>'Stavební rozpočet (VRN)'!$G$28</f>
        <v>0</v>
      </c>
      <c r="H975" s="90">
        <f t="shared" si="960"/>
        <v>0</v>
      </c>
      <c r="I975" s="90">
        <f t="shared" si="961"/>
        <v>0</v>
      </c>
      <c r="J975" s="90">
        <f t="shared" si="962"/>
        <v>0</v>
      </c>
      <c r="K975" s="90">
        <v>0</v>
      </c>
      <c r="L975" s="90">
        <f t="shared" si="963"/>
        <v>0</v>
      </c>
      <c r="M975" s="91" t="s">
        <v>622</v>
      </c>
      <c r="O975" s="90"/>
      <c r="P975" s="90"/>
      <c r="Z975" s="90">
        <f t="shared" si="964"/>
        <v>0</v>
      </c>
      <c r="AB975" s="90">
        <f t="shared" si="965"/>
        <v>0</v>
      </c>
      <c r="AC975" s="90">
        <f t="shared" si="966"/>
        <v>0</v>
      </c>
      <c r="AD975" s="90">
        <f t="shared" si="967"/>
        <v>0</v>
      </c>
      <c r="AE975" s="90">
        <f t="shared" si="968"/>
        <v>0</v>
      </c>
      <c r="AF975" s="90">
        <f t="shared" si="969"/>
        <v>0</v>
      </c>
      <c r="AG975" s="90">
        <f t="shared" si="970"/>
        <v>0</v>
      </c>
      <c r="AH975" s="90">
        <f t="shared" si="971"/>
        <v>0</v>
      </c>
      <c r="AI975" s="154" t="s">
        <v>63</v>
      </c>
      <c r="AJ975" s="90">
        <f t="shared" si="972"/>
        <v>0</v>
      </c>
      <c r="AK975" s="90">
        <f t="shared" si="973"/>
        <v>0</v>
      </c>
      <c r="AL975" s="90">
        <f t="shared" si="974"/>
        <v>0</v>
      </c>
      <c r="AN975" s="90">
        <v>21</v>
      </c>
      <c r="AO975" s="90">
        <f t="shared" si="975"/>
        <v>0</v>
      </c>
      <c r="AP975" s="90">
        <f t="shared" si="976"/>
        <v>0</v>
      </c>
      <c r="AQ975" s="91" t="s">
        <v>79</v>
      </c>
      <c r="AV975" s="90">
        <f t="shared" si="977"/>
        <v>0</v>
      </c>
      <c r="AW975" s="90">
        <f t="shared" si="978"/>
        <v>0</v>
      </c>
      <c r="AX975" s="90">
        <f t="shared" si="979"/>
        <v>0</v>
      </c>
      <c r="AY975" s="91" t="s">
        <v>1736</v>
      </c>
      <c r="AZ975" s="91" t="s">
        <v>1737</v>
      </c>
      <c r="BA975" s="154" t="s">
        <v>1738</v>
      </c>
      <c r="BC975" s="90">
        <f t="shared" si="980"/>
        <v>0</v>
      </c>
      <c r="BD975" s="90">
        <f t="shared" si="981"/>
        <v>0</v>
      </c>
      <c r="BE975" s="90">
        <v>0</v>
      </c>
      <c r="BF975" s="90">
        <f t="shared" si="982"/>
        <v>0</v>
      </c>
      <c r="BH975" s="90">
        <f t="shared" si="983"/>
        <v>0</v>
      </c>
      <c r="BI975" s="90">
        <f t="shared" si="984"/>
        <v>0</v>
      </c>
      <c r="BJ975" s="90">
        <f t="shared" si="985"/>
        <v>0</v>
      </c>
    </row>
    <row r="976" spans="1:62" ht="12.75">
      <c r="A976" s="88" t="s">
        <v>2170</v>
      </c>
      <c r="B976" s="88" t="s">
        <v>63</v>
      </c>
      <c r="C976" s="88" t="s">
        <v>1714</v>
      </c>
      <c r="D976" s="88" t="s">
        <v>1732</v>
      </c>
      <c r="E976" s="88" t="s">
        <v>606</v>
      </c>
      <c r="F976" s="90">
        <v>1</v>
      </c>
      <c r="G976" s="90">
        <f>'Stavební rozpočet (VRN)'!$G$30</f>
        <v>0</v>
      </c>
      <c r="H976" s="90">
        <f t="shared" si="960"/>
        <v>0</v>
      </c>
      <c r="I976" s="90">
        <f t="shared" si="961"/>
        <v>0</v>
      </c>
      <c r="J976" s="90">
        <f t="shared" si="962"/>
        <v>0</v>
      </c>
      <c r="K976" s="90">
        <v>0</v>
      </c>
      <c r="L976" s="90">
        <f t="shared" si="963"/>
        <v>0</v>
      </c>
      <c r="M976" s="91" t="s">
        <v>622</v>
      </c>
      <c r="O976" s="90"/>
      <c r="P976" s="90"/>
      <c r="Z976" s="90">
        <f t="shared" si="964"/>
        <v>0</v>
      </c>
      <c r="AB976" s="90">
        <f t="shared" si="965"/>
        <v>0</v>
      </c>
      <c r="AC976" s="90">
        <f t="shared" si="966"/>
        <v>0</v>
      </c>
      <c r="AD976" s="90">
        <f t="shared" si="967"/>
        <v>0</v>
      </c>
      <c r="AE976" s="90">
        <f t="shared" si="968"/>
        <v>0</v>
      </c>
      <c r="AF976" s="90">
        <f t="shared" si="969"/>
        <v>0</v>
      </c>
      <c r="AG976" s="90">
        <f t="shared" si="970"/>
        <v>0</v>
      </c>
      <c r="AH976" s="90">
        <f t="shared" si="971"/>
        <v>0</v>
      </c>
      <c r="AI976" s="154" t="s">
        <v>63</v>
      </c>
      <c r="AJ976" s="90">
        <f t="shared" si="972"/>
        <v>0</v>
      </c>
      <c r="AK976" s="90">
        <f t="shared" si="973"/>
        <v>0</v>
      </c>
      <c r="AL976" s="90">
        <f t="shared" si="974"/>
        <v>0</v>
      </c>
      <c r="AN976" s="90">
        <v>21</v>
      </c>
      <c r="AO976" s="90">
        <f t="shared" si="975"/>
        <v>0</v>
      </c>
      <c r="AP976" s="90">
        <f t="shared" si="976"/>
        <v>0</v>
      </c>
      <c r="AQ976" s="91" t="s">
        <v>79</v>
      </c>
      <c r="AV976" s="90">
        <f t="shared" si="977"/>
        <v>0</v>
      </c>
      <c r="AW976" s="90">
        <f t="shared" si="978"/>
        <v>0</v>
      </c>
      <c r="AX976" s="90">
        <f t="shared" si="979"/>
        <v>0</v>
      </c>
      <c r="AY976" s="91" t="s">
        <v>1736</v>
      </c>
      <c r="AZ976" s="91" t="s">
        <v>1737</v>
      </c>
      <c r="BA976" s="154" t="s">
        <v>1738</v>
      </c>
      <c r="BC976" s="90">
        <f t="shared" si="980"/>
        <v>0</v>
      </c>
      <c r="BD976" s="90">
        <f t="shared" si="981"/>
        <v>0</v>
      </c>
      <c r="BE976" s="90">
        <v>0</v>
      </c>
      <c r="BF976" s="90">
        <f t="shared" si="982"/>
        <v>0</v>
      </c>
      <c r="BH976" s="90">
        <f t="shared" si="983"/>
        <v>0</v>
      </c>
      <c r="BI976" s="90">
        <f t="shared" si="984"/>
        <v>0</v>
      </c>
      <c r="BJ976" s="90">
        <f t="shared" si="985"/>
        <v>0</v>
      </c>
    </row>
    <row r="977" spans="1:62" ht="12.75">
      <c r="A977" s="166" t="s">
        <v>55</v>
      </c>
      <c r="B977" s="166" t="s">
        <v>63</v>
      </c>
      <c r="C977" s="166" t="s">
        <v>1715</v>
      </c>
      <c r="D977" s="166" t="s">
        <v>1734</v>
      </c>
      <c r="E977" s="166" t="s">
        <v>606</v>
      </c>
      <c r="F977" s="167">
        <v>1</v>
      </c>
      <c r="G977" s="167">
        <f>'Stavební rozpočet (VRN)'!$G$32</f>
        <v>0</v>
      </c>
      <c r="H977" s="167">
        <f t="shared" si="960"/>
        <v>0</v>
      </c>
      <c r="I977" s="167">
        <f t="shared" si="961"/>
        <v>0</v>
      </c>
      <c r="J977" s="167">
        <f t="shared" si="962"/>
        <v>0</v>
      </c>
      <c r="K977" s="167">
        <v>0</v>
      </c>
      <c r="L977" s="167">
        <f t="shared" si="963"/>
        <v>0</v>
      </c>
      <c r="M977" s="168" t="s">
        <v>622</v>
      </c>
      <c r="O977" s="167"/>
      <c r="P977" s="167"/>
      <c r="Z977" s="90">
        <f t="shared" si="964"/>
        <v>0</v>
      </c>
      <c r="AB977" s="90">
        <f t="shared" si="965"/>
        <v>0</v>
      </c>
      <c r="AC977" s="90">
        <f t="shared" si="966"/>
        <v>0</v>
      </c>
      <c r="AD977" s="90">
        <f t="shared" si="967"/>
        <v>0</v>
      </c>
      <c r="AE977" s="90">
        <f t="shared" si="968"/>
        <v>0</v>
      </c>
      <c r="AF977" s="90">
        <f t="shared" si="969"/>
        <v>0</v>
      </c>
      <c r="AG977" s="90">
        <f t="shared" si="970"/>
        <v>0</v>
      </c>
      <c r="AH977" s="90">
        <f t="shared" si="971"/>
        <v>0</v>
      </c>
      <c r="AI977" s="154" t="s">
        <v>63</v>
      </c>
      <c r="AJ977" s="90">
        <f t="shared" si="972"/>
        <v>0</v>
      </c>
      <c r="AK977" s="90">
        <f t="shared" si="973"/>
        <v>0</v>
      </c>
      <c r="AL977" s="90">
        <f t="shared" si="974"/>
        <v>0</v>
      </c>
      <c r="AN977" s="90">
        <v>21</v>
      </c>
      <c r="AO977" s="90">
        <f t="shared" si="975"/>
        <v>0</v>
      </c>
      <c r="AP977" s="90">
        <f t="shared" si="976"/>
        <v>0</v>
      </c>
      <c r="AQ977" s="91" t="s">
        <v>79</v>
      </c>
      <c r="AV977" s="90">
        <f t="shared" si="977"/>
        <v>0</v>
      </c>
      <c r="AW977" s="90">
        <f t="shared" si="978"/>
        <v>0</v>
      </c>
      <c r="AX977" s="90">
        <f t="shared" si="979"/>
        <v>0</v>
      </c>
      <c r="AY977" s="91" t="s">
        <v>1736</v>
      </c>
      <c r="AZ977" s="91" t="s">
        <v>1737</v>
      </c>
      <c r="BA977" s="154" t="s">
        <v>1738</v>
      </c>
      <c r="BC977" s="90">
        <f t="shared" si="980"/>
        <v>0</v>
      </c>
      <c r="BD977" s="90">
        <f t="shared" si="981"/>
        <v>0</v>
      </c>
      <c r="BE977" s="90">
        <v>0</v>
      </c>
      <c r="BF977" s="90">
        <f t="shared" si="982"/>
        <v>0</v>
      </c>
      <c r="BH977" s="90">
        <f t="shared" si="983"/>
        <v>0</v>
      </c>
      <c r="BI977" s="90">
        <f t="shared" si="984"/>
        <v>0</v>
      </c>
      <c r="BJ977" s="90">
        <f t="shared" si="985"/>
        <v>0</v>
      </c>
    </row>
    <row r="978" spans="1:13" ht="12.75">
      <c r="A978" s="169"/>
      <c r="B978" s="169"/>
      <c r="C978" s="169"/>
      <c r="D978" s="169"/>
      <c r="E978" s="169"/>
      <c r="F978" s="169"/>
      <c r="G978" s="169"/>
      <c r="H978" s="263" t="s">
        <v>74</v>
      </c>
      <c r="I978" s="264"/>
      <c r="J978" s="170">
        <f>J13+J17+J23+J32+J35+J40+J45+J52+J55+J63+J65+J76+J89+J94+J138+J144+J156+J161+J198+J203+J213+J216+J225+J229+J231+J236+J241+J250+J257+J259+J319+J367+J417+J482+J490+J495+J509+J518+J538+J543+J669+J672+J678+J688+J690+J695+J700+J711+J720+J730+J732+J770+J799+J804+J848+J852+J856+J868+J885+J890+J933+J936+J938+J942+J957+J959+J961+J967</f>
        <v>0</v>
      </c>
      <c r="K978" s="169"/>
      <c r="L978" s="169"/>
      <c r="M978" s="169"/>
    </row>
    <row r="979" ht="11.25" customHeight="1">
      <c r="A979" s="171" t="s">
        <v>18</v>
      </c>
    </row>
    <row r="980" spans="1:13" ht="12.75">
      <c r="A980" s="259"/>
      <c r="B980" s="248"/>
      <c r="C980" s="248"/>
      <c r="D980" s="248"/>
      <c r="E980" s="248"/>
      <c r="F980" s="248"/>
      <c r="G980" s="248"/>
      <c r="H980" s="248"/>
      <c r="I980" s="248"/>
      <c r="J980" s="248"/>
      <c r="K980" s="248"/>
      <c r="L980" s="248"/>
      <c r="M980" s="248"/>
    </row>
  </sheetData>
  <sheetProtection algorithmName="SHA-512" hashValue="JHpPWKmpo4o6OvdwOw8Qj2jdJIFO/wODZ/eymb3fVgVG+Y7r3X/6icOGH92Pl/XyBcCuQFlG9xw40cWyZ5Iu1Q==" saltValue="NwrT9Ow1Pf6ZqwF+XksYag==" spinCount="100000" sheet="1" objects="1" scenarios="1"/>
  <mergeCells count="29">
    <mergeCell ref="H10:J10"/>
    <mergeCell ref="K10:L10"/>
    <mergeCell ref="H978:I978"/>
    <mergeCell ref="A980:M980"/>
    <mergeCell ref="A8:C9"/>
    <mergeCell ref="D8:D9"/>
    <mergeCell ref="E8:F9"/>
    <mergeCell ref="G8:G9"/>
    <mergeCell ref="H8:H9"/>
    <mergeCell ref="I8:M9"/>
    <mergeCell ref="I6:M7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58"/>
  <sheetViews>
    <sheetView workbookViewId="0" topLeftCell="A1">
      <pane ySplit="11" topLeftCell="A12" activePane="bottomLeft" state="frozen"/>
      <selection pane="bottomLeft" activeCell="A31" sqref="A31"/>
    </sheetView>
  </sheetViews>
  <sheetFormatPr defaultColWidth="11.57421875" defaultRowHeight="12.75"/>
  <cols>
    <col min="1" max="1" width="3.7109375" style="0" customWidth="1"/>
    <col min="2" max="2" width="7.7109375" style="0" customWidth="1"/>
    <col min="3" max="3" width="14.28125" style="0" customWidth="1"/>
    <col min="4" max="4" width="139.57421875" style="0" customWidth="1"/>
    <col min="5" max="5" width="7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2.00390625" style="0" customWidth="1"/>
    <col min="25" max="62" width="12.140625" style="0" customWidth="1"/>
  </cols>
  <sheetData>
    <row r="1" spans="1:13" ht="72.95" customHeight="1">
      <c r="A1" s="219" t="s">
        <v>2174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4" ht="12.75">
      <c r="A2" s="182" t="s">
        <v>0</v>
      </c>
      <c r="B2" s="183"/>
      <c r="C2" s="183"/>
      <c r="D2" s="186" t="str">
        <f>'Stavební rozpočet'!D2</f>
        <v>"Snížení energetické náročnosti bytových domů v ul.Komenského"-změna vnitřních prostorů</v>
      </c>
      <c r="E2" s="236" t="s">
        <v>70</v>
      </c>
      <c r="F2" s="183"/>
      <c r="G2" s="189" t="str">
        <f>'Stavební rozpočet'!G2</f>
        <v xml:space="preserve"> </v>
      </c>
      <c r="H2" s="189" t="s">
        <v>31</v>
      </c>
      <c r="I2" s="189">
        <f>'Stavební rozpočet'!I2</f>
        <v>0</v>
      </c>
      <c r="J2" s="183"/>
      <c r="K2" s="183"/>
      <c r="L2" s="183"/>
      <c r="M2" s="220"/>
      <c r="N2" s="18"/>
    </row>
    <row r="3" spans="1:14" ht="12.75">
      <c r="A3" s="184"/>
      <c r="B3" s="185"/>
      <c r="C3" s="185"/>
      <c r="D3" s="188"/>
      <c r="E3" s="185"/>
      <c r="F3" s="185"/>
      <c r="G3" s="185"/>
      <c r="H3" s="185"/>
      <c r="I3" s="185"/>
      <c r="J3" s="185"/>
      <c r="K3" s="185"/>
      <c r="L3" s="185"/>
      <c r="M3" s="191"/>
      <c r="N3" s="18"/>
    </row>
    <row r="4" spans="1:14" ht="12.75">
      <c r="A4" s="193" t="s">
        <v>1</v>
      </c>
      <c r="B4" s="185"/>
      <c r="C4" s="185"/>
      <c r="D4" s="194">
        <f>'Stavební rozpočet'!D4</f>
        <v>0</v>
      </c>
      <c r="E4" s="197" t="s">
        <v>3</v>
      </c>
      <c r="F4" s="185"/>
      <c r="G4" s="194" t="str">
        <f>'Stavební rozpočet'!G4</f>
        <v> </v>
      </c>
      <c r="H4" s="194" t="s">
        <v>32</v>
      </c>
      <c r="I4" s="194">
        <f>'Stavební rozpočet'!I4</f>
        <v>0</v>
      </c>
      <c r="J4" s="185"/>
      <c r="K4" s="185"/>
      <c r="L4" s="185"/>
      <c r="M4" s="191"/>
      <c r="N4" s="18"/>
    </row>
    <row r="5" spans="1:14" ht="12.75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91"/>
      <c r="N5" s="18"/>
    </row>
    <row r="6" spans="1:14" ht="12.75">
      <c r="A6" s="193" t="s">
        <v>2</v>
      </c>
      <c r="B6" s="185"/>
      <c r="C6" s="185"/>
      <c r="D6" s="194">
        <f>'Stavební rozpočet'!D6</f>
        <v>0</v>
      </c>
      <c r="E6" s="197" t="s">
        <v>34</v>
      </c>
      <c r="F6" s="185"/>
      <c r="G6" s="194" t="str">
        <f>'Stavební rozpočet'!G6</f>
        <v> </v>
      </c>
      <c r="H6" s="194" t="s">
        <v>33</v>
      </c>
      <c r="I6" s="194">
        <f>'Stavební rozpočet'!I6</f>
        <v>0</v>
      </c>
      <c r="J6" s="185"/>
      <c r="K6" s="185"/>
      <c r="L6" s="185"/>
      <c r="M6" s="191"/>
      <c r="N6" s="18"/>
    </row>
    <row r="7" spans="1:14" ht="12.75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91"/>
      <c r="N7" s="18"/>
    </row>
    <row r="8" spans="1:14" ht="12.75">
      <c r="A8" s="193" t="s">
        <v>4</v>
      </c>
      <c r="B8" s="185"/>
      <c r="C8" s="185"/>
      <c r="D8" s="194">
        <f>'Stavební rozpočet'!D8</f>
        <v>0</v>
      </c>
      <c r="E8" s="197" t="s">
        <v>71</v>
      </c>
      <c r="F8" s="185"/>
      <c r="G8" s="194" t="str">
        <f>'Stavební rozpočet'!G8</f>
        <v>17.02.2018</v>
      </c>
      <c r="H8" s="194" t="s">
        <v>35</v>
      </c>
      <c r="I8" s="194">
        <f>'Stavební rozpočet'!I8</f>
        <v>0</v>
      </c>
      <c r="J8" s="185"/>
      <c r="K8" s="185"/>
      <c r="L8" s="185"/>
      <c r="M8" s="191"/>
      <c r="N8" s="18"/>
    </row>
    <row r="9" spans="1:14" ht="12.75">
      <c r="A9" s="223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  <c r="N9" s="18"/>
    </row>
    <row r="10" spans="1:14" ht="12.75">
      <c r="A10" s="32" t="s">
        <v>78</v>
      </c>
      <c r="B10" s="39" t="s">
        <v>58</v>
      </c>
      <c r="C10" s="39" t="s">
        <v>245</v>
      </c>
      <c r="D10" s="39" t="s">
        <v>64</v>
      </c>
      <c r="E10" s="39" t="s">
        <v>605</v>
      </c>
      <c r="F10" s="44" t="s">
        <v>617</v>
      </c>
      <c r="G10" s="45" t="s">
        <v>618</v>
      </c>
      <c r="H10" s="229" t="s">
        <v>72</v>
      </c>
      <c r="I10" s="230"/>
      <c r="J10" s="231"/>
      <c r="K10" s="229" t="s">
        <v>76</v>
      </c>
      <c r="L10" s="231"/>
      <c r="M10" s="49" t="s">
        <v>620</v>
      </c>
      <c r="N10" s="19"/>
    </row>
    <row r="11" spans="1:62" ht="12.75">
      <c r="A11" s="33" t="s">
        <v>57</v>
      </c>
      <c r="B11" s="40" t="s">
        <v>57</v>
      </c>
      <c r="C11" s="40" t="s">
        <v>57</v>
      </c>
      <c r="D11" s="22" t="s">
        <v>419</v>
      </c>
      <c r="E11" s="40" t="s">
        <v>57</v>
      </c>
      <c r="F11" s="40" t="s">
        <v>57</v>
      </c>
      <c r="G11" s="46" t="s">
        <v>619</v>
      </c>
      <c r="H11" s="25" t="s">
        <v>73</v>
      </c>
      <c r="I11" s="26" t="s">
        <v>21</v>
      </c>
      <c r="J11" s="28" t="s">
        <v>75</v>
      </c>
      <c r="K11" s="25" t="s">
        <v>618</v>
      </c>
      <c r="L11" s="28" t="s">
        <v>75</v>
      </c>
      <c r="M11" s="50" t="s">
        <v>621</v>
      </c>
      <c r="N11" s="19"/>
      <c r="Z11" s="48" t="s">
        <v>623</v>
      </c>
      <c r="AA11" s="48" t="s">
        <v>624</v>
      </c>
      <c r="AB11" s="48" t="s">
        <v>625</v>
      </c>
      <c r="AC11" s="48" t="s">
        <v>626</v>
      </c>
      <c r="AD11" s="48" t="s">
        <v>627</v>
      </c>
      <c r="AE11" s="48" t="s">
        <v>628</v>
      </c>
      <c r="AF11" s="48" t="s">
        <v>629</v>
      </c>
      <c r="AG11" s="48" t="s">
        <v>630</v>
      </c>
      <c r="AH11" s="48" t="s">
        <v>631</v>
      </c>
      <c r="BH11" s="48" t="s">
        <v>659</v>
      </c>
      <c r="BI11" s="48" t="s">
        <v>660</v>
      </c>
      <c r="BJ11" s="48" t="s">
        <v>661</v>
      </c>
    </row>
    <row r="12" spans="1:13" ht="12.75">
      <c r="A12" s="34"/>
      <c r="B12" s="41" t="s">
        <v>59</v>
      </c>
      <c r="C12" s="41"/>
      <c r="D12" s="41" t="s">
        <v>65</v>
      </c>
      <c r="E12" s="34" t="s">
        <v>57</v>
      </c>
      <c r="F12" s="34" t="s">
        <v>57</v>
      </c>
      <c r="G12" s="34" t="s">
        <v>57</v>
      </c>
      <c r="H12" s="58">
        <f>H13+H17+H23+H32+H35+H40+H45+H52+H55+H63+H65+H76+H89+H94+H138+H144+H154+H159</f>
        <v>0</v>
      </c>
      <c r="I12" s="58">
        <f>I13+I17+I23+I32+I35+I40+I45+I52+I55+I63+I65+I76+I89+I94+I138+I144+I154+I159</f>
        <v>0</v>
      </c>
      <c r="J12" s="58">
        <f>J13+J17+J23+J32+J35+J40+J45+J52+J55+J63+J65+J76+J89+J94+J138+J144+J154+J159</f>
        <v>0</v>
      </c>
      <c r="K12" s="47"/>
      <c r="L12" s="58">
        <f>L13+L17+L23+L32+L35+L40+L45+L52+L55+L63+L65+L76+L89+L94+L138+L144+L154+L159</f>
        <v>0</v>
      </c>
      <c r="M12" s="47"/>
    </row>
    <row r="13" spans="1:47" ht="12.75">
      <c r="A13" s="35"/>
      <c r="B13" s="42" t="s">
        <v>59</v>
      </c>
      <c r="C13" s="42" t="s">
        <v>109</v>
      </c>
      <c r="D13" s="42" t="s">
        <v>420</v>
      </c>
      <c r="E13" s="35" t="s">
        <v>57</v>
      </c>
      <c r="F13" s="35" t="s">
        <v>57</v>
      </c>
      <c r="G13" s="35" t="s">
        <v>57</v>
      </c>
      <c r="H13" s="59">
        <f>SUM(H14:H16)</f>
        <v>0</v>
      </c>
      <c r="I13" s="59">
        <f>SUM(I14:I16)</f>
        <v>0</v>
      </c>
      <c r="J13" s="59">
        <f>SUM(J14:J16)</f>
        <v>0</v>
      </c>
      <c r="K13" s="48"/>
      <c r="L13" s="59">
        <f>SUM(L14:L16)</f>
        <v>0</v>
      </c>
      <c r="M13" s="48"/>
      <c r="AI13" s="48" t="s">
        <v>59</v>
      </c>
      <c r="AS13" s="59">
        <f>SUM(AJ14:AJ16)</f>
        <v>0</v>
      </c>
      <c r="AT13" s="59">
        <f>SUM(AK14:AK16)</f>
        <v>0</v>
      </c>
      <c r="AU13" s="59">
        <f>SUM(AL14:AL16)</f>
        <v>0</v>
      </c>
    </row>
    <row r="14" spans="1:62" ht="12.75">
      <c r="A14" s="36" t="s">
        <v>79</v>
      </c>
      <c r="B14" s="36" t="s">
        <v>59</v>
      </c>
      <c r="C14" s="36" t="s">
        <v>246</v>
      </c>
      <c r="D14" s="36" t="s">
        <v>421</v>
      </c>
      <c r="E14" s="36" t="s">
        <v>606</v>
      </c>
      <c r="F14" s="55">
        <f>'Stavební rozpočet'!F14</f>
        <v>0</v>
      </c>
      <c r="G14" s="55">
        <f>'Stavební rozpočet'!G14</f>
        <v>339</v>
      </c>
      <c r="H14" s="55">
        <f>F14*AO14</f>
        <v>0</v>
      </c>
      <c r="I14" s="55">
        <f>F14*AP14</f>
        <v>0</v>
      </c>
      <c r="J14" s="55">
        <f>F14*G14</f>
        <v>0</v>
      </c>
      <c r="K14" s="55">
        <f>'Stavební rozpočet'!K14</f>
        <v>0.04529</v>
      </c>
      <c r="L14" s="55">
        <f>F14*K14</f>
        <v>0</v>
      </c>
      <c r="M14" s="51" t="s">
        <v>622</v>
      </c>
      <c r="Z14" s="29">
        <f>IF(AQ14="5",BJ14,0)</f>
        <v>0</v>
      </c>
      <c r="AB14" s="29">
        <f>IF(AQ14="1",BH14,0)</f>
        <v>0</v>
      </c>
      <c r="AC14" s="29">
        <f>IF(AQ14="1",BI14,0)</f>
        <v>0</v>
      </c>
      <c r="AD14" s="29">
        <f>IF(AQ14="7",BH14,0)</f>
        <v>0</v>
      </c>
      <c r="AE14" s="29">
        <f>IF(AQ14="7",BI14,0)</f>
        <v>0</v>
      </c>
      <c r="AF14" s="29">
        <f>IF(AQ14="2",BH14,0)</f>
        <v>0</v>
      </c>
      <c r="AG14" s="29">
        <f>IF(AQ14="2",BI14,0)</f>
        <v>0</v>
      </c>
      <c r="AH14" s="29">
        <f>IF(AQ14="0",BJ14,0)</f>
        <v>0</v>
      </c>
      <c r="AI14" s="48" t="s">
        <v>59</v>
      </c>
      <c r="AJ14" s="55">
        <f>IF(AN14=0,J14,0)</f>
        <v>0</v>
      </c>
      <c r="AK14" s="55">
        <f>IF(AN14=15,J14,0)</f>
        <v>0</v>
      </c>
      <c r="AL14" s="55">
        <f>IF(AN14=21,J14,0)</f>
        <v>0</v>
      </c>
      <c r="AN14" s="29">
        <v>15</v>
      </c>
      <c r="AO14" s="29">
        <f>G14*0.746607669616519</f>
        <v>253.09999999999997</v>
      </c>
      <c r="AP14" s="29">
        <f>G14*(1-0.746607669616519)</f>
        <v>85.90000000000005</v>
      </c>
      <c r="AQ14" s="51" t="s">
        <v>79</v>
      </c>
      <c r="AV14" s="29">
        <f>AW14+AX14</f>
        <v>0</v>
      </c>
      <c r="AW14" s="29">
        <f>F14*AO14</f>
        <v>0</v>
      </c>
      <c r="AX14" s="29">
        <f>F14*AP14</f>
        <v>0</v>
      </c>
      <c r="AY14" s="54" t="s">
        <v>632</v>
      </c>
      <c r="AZ14" s="54" t="s">
        <v>650</v>
      </c>
      <c r="BA14" s="48" t="s">
        <v>658</v>
      </c>
      <c r="BC14" s="29">
        <f>AW14+AX14</f>
        <v>0</v>
      </c>
      <c r="BD14" s="29">
        <f>G14/(100-BE14)*100</f>
        <v>339</v>
      </c>
      <c r="BE14" s="29">
        <v>0</v>
      </c>
      <c r="BF14" s="29">
        <f>L14</f>
        <v>0</v>
      </c>
      <c r="BH14" s="55">
        <f>F14*AO14</f>
        <v>0</v>
      </c>
      <c r="BI14" s="55">
        <f>F14*AP14</f>
        <v>0</v>
      </c>
      <c r="BJ14" s="55">
        <f>F14*G14</f>
        <v>0</v>
      </c>
    </row>
    <row r="15" spans="1:62" ht="12.75">
      <c r="A15" s="36" t="s">
        <v>80</v>
      </c>
      <c r="B15" s="36" t="s">
        <v>59</v>
      </c>
      <c r="C15" s="36" t="s">
        <v>247</v>
      </c>
      <c r="D15" s="36" t="s">
        <v>422</v>
      </c>
      <c r="E15" s="36" t="s">
        <v>606</v>
      </c>
      <c r="F15" s="55">
        <f>'Stavební rozpočet'!F15</f>
        <v>0</v>
      </c>
      <c r="G15" s="55">
        <f>'Stavební rozpočet'!G15</f>
        <v>477.5</v>
      </c>
      <c r="H15" s="55">
        <f>F15*AO15</f>
        <v>0</v>
      </c>
      <c r="I15" s="55">
        <f>F15*AP15</f>
        <v>0</v>
      </c>
      <c r="J15" s="55">
        <f>F15*G15</f>
        <v>0</v>
      </c>
      <c r="K15" s="55">
        <f>'Stavební rozpočet'!K15</f>
        <v>0.06314</v>
      </c>
      <c r="L15" s="55">
        <f>F15*K15</f>
        <v>0</v>
      </c>
      <c r="M15" s="51" t="s">
        <v>622</v>
      </c>
      <c r="Z15" s="29">
        <f>IF(AQ15="5",BJ15,0)</f>
        <v>0</v>
      </c>
      <c r="AB15" s="29">
        <f>IF(AQ15="1",BH15,0)</f>
        <v>0</v>
      </c>
      <c r="AC15" s="29">
        <f>IF(AQ15="1",BI15,0)</f>
        <v>0</v>
      </c>
      <c r="AD15" s="29">
        <f>IF(AQ15="7",BH15,0)</f>
        <v>0</v>
      </c>
      <c r="AE15" s="29">
        <f>IF(AQ15="7",BI15,0)</f>
        <v>0</v>
      </c>
      <c r="AF15" s="29">
        <f>IF(AQ15="2",BH15,0)</f>
        <v>0</v>
      </c>
      <c r="AG15" s="29">
        <f>IF(AQ15="2",BI15,0)</f>
        <v>0</v>
      </c>
      <c r="AH15" s="29">
        <f>IF(AQ15="0",BJ15,0)</f>
        <v>0</v>
      </c>
      <c r="AI15" s="48" t="s">
        <v>59</v>
      </c>
      <c r="AJ15" s="55">
        <f>IF(AN15=0,J15,0)</f>
        <v>0</v>
      </c>
      <c r="AK15" s="55">
        <f>IF(AN15=15,J15,0)</f>
        <v>0</v>
      </c>
      <c r="AL15" s="55">
        <f>IF(AN15=21,J15,0)</f>
        <v>0</v>
      </c>
      <c r="AN15" s="29">
        <v>15</v>
      </c>
      <c r="AO15" s="29">
        <f>G15*0.809549738219895</f>
        <v>386.55999999999983</v>
      </c>
      <c r="AP15" s="29">
        <f>G15*(1-0.809549738219895)</f>
        <v>90.94000000000015</v>
      </c>
      <c r="AQ15" s="51" t="s">
        <v>79</v>
      </c>
      <c r="AV15" s="29">
        <f>AW15+AX15</f>
        <v>0</v>
      </c>
      <c r="AW15" s="29">
        <f>F15*AO15</f>
        <v>0</v>
      </c>
      <c r="AX15" s="29">
        <f>F15*AP15</f>
        <v>0</v>
      </c>
      <c r="AY15" s="54" t="s">
        <v>632</v>
      </c>
      <c r="AZ15" s="54" t="s">
        <v>650</v>
      </c>
      <c r="BA15" s="48" t="s">
        <v>658</v>
      </c>
      <c r="BC15" s="29">
        <f>AW15+AX15</f>
        <v>0</v>
      </c>
      <c r="BD15" s="29">
        <f>G15/(100-BE15)*100</f>
        <v>477.50000000000006</v>
      </c>
      <c r="BE15" s="29">
        <v>0</v>
      </c>
      <c r="BF15" s="29">
        <f>L15</f>
        <v>0</v>
      </c>
      <c r="BH15" s="55">
        <f>F15*AO15</f>
        <v>0</v>
      </c>
      <c r="BI15" s="55">
        <f>F15*AP15</f>
        <v>0</v>
      </c>
      <c r="BJ15" s="55">
        <f>F15*G15</f>
        <v>0</v>
      </c>
    </row>
    <row r="16" spans="1:62" ht="12.75">
      <c r="A16" s="36" t="s">
        <v>81</v>
      </c>
      <c r="B16" s="36" t="s">
        <v>59</v>
      </c>
      <c r="C16" s="36" t="s">
        <v>248</v>
      </c>
      <c r="D16" s="36" t="s">
        <v>423</v>
      </c>
      <c r="E16" s="36" t="s">
        <v>607</v>
      </c>
      <c r="F16" s="55">
        <f>'Stavební rozpočet'!F16</f>
        <v>0</v>
      </c>
      <c r="G16" s="55">
        <f>'Stavební rozpočet'!G16</f>
        <v>95</v>
      </c>
      <c r="H16" s="55">
        <f>F16*AO16</f>
        <v>0</v>
      </c>
      <c r="I16" s="55">
        <f>F16*AP16</f>
        <v>0</v>
      </c>
      <c r="J16" s="55">
        <f>F16*G16</f>
        <v>0</v>
      </c>
      <c r="K16" s="55">
        <f>'Stavební rozpočet'!K16</f>
        <v>0.00115</v>
      </c>
      <c r="L16" s="55">
        <f>F16*K16</f>
        <v>0</v>
      </c>
      <c r="M16" s="51" t="s">
        <v>622</v>
      </c>
      <c r="Z16" s="29">
        <f>IF(AQ16="5",BJ16,0)</f>
        <v>0</v>
      </c>
      <c r="AB16" s="29">
        <f>IF(AQ16="1",BH16,0)</f>
        <v>0</v>
      </c>
      <c r="AC16" s="29">
        <f>IF(AQ16="1",BI16,0)</f>
        <v>0</v>
      </c>
      <c r="AD16" s="29">
        <f>IF(AQ16="7",BH16,0)</f>
        <v>0</v>
      </c>
      <c r="AE16" s="29">
        <f>IF(AQ16="7",BI16,0)</f>
        <v>0</v>
      </c>
      <c r="AF16" s="29">
        <f>IF(AQ16="2",BH16,0)</f>
        <v>0</v>
      </c>
      <c r="AG16" s="29">
        <f>IF(AQ16="2",BI16,0)</f>
        <v>0</v>
      </c>
      <c r="AH16" s="29">
        <f>IF(AQ16="0",BJ16,0)</f>
        <v>0</v>
      </c>
      <c r="AI16" s="48" t="s">
        <v>59</v>
      </c>
      <c r="AJ16" s="55">
        <f>IF(AN16=0,J16,0)</f>
        <v>0</v>
      </c>
      <c r="AK16" s="55">
        <f>IF(AN16=15,J16,0)</f>
        <v>0</v>
      </c>
      <c r="AL16" s="55">
        <f>IF(AN16=21,J16,0)</f>
        <v>0</v>
      </c>
      <c r="AN16" s="29">
        <v>15</v>
      </c>
      <c r="AO16" s="29">
        <f>G16*0.776526315789474</f>
        <v>73.77000000000002</v>
      </c>
      <c r="AP16" s="29">
        <f>G16*(1-0.776526315789474)</f>
        <v>21.229999999999976</v>
      </c>
      <c r="AQ16" s="51" t="s">
        <v>79</v>
      </c>
      <c r="AV16" s="29">
        <f>AW16+AX16</f>
        <v>0</v>
      </c>
      <c r="AW16" s="29">
        <f>F16*AO16</f>
        <v>0</v>
      </c>
      <c r="AX16" s="29">
        <f>F16*AP16</f>
        <v>0</v>
      </c>
      <c r="AY16" s="54" t="s">
        <v>632</v>
      </c>
      <c r="AZ16" s="54" t="s">
        <v>650</v>
      </c>
      <c r="BA16" s="48" t="s">
        <v>658</v>
      </c>
      <c r="BC16" s="29">
        <f>AW16+AX16</f>
        <v>0</v>
      </c>
      <c r="BD16" s="29">
        <f>G16/(100-BE16)*100</f>
        <v>95</v>
      </c>
      <c r="BE16" s="29">
        <v>0</v>
      </c>
      <c r="BF16" s="29">
        <f>L16</f>
        <v>0</v>
      </c>
      <c r="BH16" s="55">
        <f>F16*AO16</f>
        <v>0</v>
      </c>
      <c r="BI16" s="55">
        <f>F16*AP16</f>
        <v>0</v>
      </c>
      <c r="BJ16" s="55">
        <f>F16*G16</f>
        <v>0</v>
      </c>
    </row>
    <row r="17" spans="1:47" ht="12.75">
      <c r="A17" s="35"/>
      <c r="B17" s="42" t="s">
        <v>59</v>
      </c>
      <c r="C17" s="42" t="s">
        <v>112</v>
      </c>
      <c r="D17" s="42" t="s">
        <v>425</v>
      </c>
      <c r="E17" s="35" t="s">
        <v>57</v>
      </c>
      <c r="F17" s="35" t="s">
        <v>57</v>
      </c>
      <c r="G17" s="35" t="s">
        <v>57</v>
      </c>
      <c r="H17" s="59">
        <f>SUM(H18:H22)</f>
        <v>0</v>
      </c>
      <c r="I17" s="59">
        <f>SUM(I18:I22)</f>
        <v>0</v>
      </c>
      <c r="J17" s="59">
        <f>SUM(J18:J22)</f>
        <v>0</v>
      </c>
      <c r="K17" s="48"/>
      <c r="L17" s="59">
        <f>SUM(L18:L22)</f>
        <v>0</v>
      </c>
      <c r="M17" s="48"/>
      <c r="AI17" s="48" t="s">
        <v>59</v>
      </c>
      <c r="AS17" s="59">
        <f>SUM(AJ18:AJ22)</f>
        <v>0</v>
      </c>
      <c r="AT17" s="59">
        <f>SUM(AK18:AK22)</f>
        <v>0</v>
      </c>
      <c r="AU17" s="59">
        <f>SUM(AL18:AL22)</f>
        <v>0</v>
      </c>
    </row>
    <row r="18" spans="1:62" ht="12.75">
      <c r="A18" s="36" t="s">
        <v>82</v>
      </c>
      <c r="B18" s="36" t="s">
        <v>59</v>
      </c>
      <c r="C18" s="36" t="s">
        <v>249</v>
      </c>
      <c r="D18" s="36" t="s">
        <v>426</v>
      </c>
      <c r="E18" s="36" t="s">
        <v>608</v>
      </c>
      <c r="F18" s="55">
        <f>'Stavební rozpočet'!F18</f>
        <v>0</v>
      </c>
      <c r="G18" s="55">
        <f>'Stavební rozpočet'!G18</f>
        <v>548</v>
      </c>
      <c r="H18" s="55">
        <f>F18*AO18</f>
        <v>0</v>
      </c>
      <c r="I18" s="55">
        <f>F18*AP18</f>
        <v>0</v>
      </c>
      <c r="J18" s="55">
        <f>F18*G18</f>
        <v>0</v>
      </c>
      <c r="K18" s="55">
        <f>'Stavební rozpočet'!K18</f>
        <v>0.11666</v>
      </c>
      <c r="L18" s="55">
        <f>F18*K18</f>
        <v>0</v>
      </c>
      <c r="M18" s="51" t="s">
        <v>622</v>
      </c>
      <c r="Z18" s="29">
        <f>IF(AQ18="5",BJ18,0)</f>
        <v>0</v>
      </c>
      <c r="AB18" s="29">
        <f>IF(AQ18="1",BH18,0)</f>
        <v>0</v>
      </c>
      <c r="AC18" s="29">
        <f>IF(AQ18="1",BI18,0)</f>
        <v>0</v>
      </c>
      <c r="AD18" s="29">
        <f>IF(AQ18="7",BH18,0)</f>
        <v>0</v>
      </c>
      <c r="AE18" s="29">
        <f>IF(AQ18="7",BI18,0)</f>
        <v>0</v>
      </c>
      <c r="AF18" s="29">
        <f>IF(AQ18="2",BH18,0)</f>
        <v>0</v>
      </c>
      <c r="AG18" s="29">
        <f>IF(AQ18="2",BI18,0)</f>
        <v>0</v>
      </c>
      <c r="AH18" s="29">
        <f>IF(AQ18="0",BJ18,0)</f>
        <v>0</v>
      </c>
      <c r="AI18" s="48" t="s">
        <v>59</v>
      </c>
      <c r="AJ18" s="55">
        <f>IF(AN18=0,J18,0)</f>
        <v>0</v>
      </c>
      <c r="AK18" s="55">
        <f>IF(AN18=15,J18,0)</f>
        <v>0</v>
      </c>
      <c r="AL18" s="55">
        <f>IF(AN18=21,J18,0)</f>
        <v>0</v>
      </c>
      <c r="AN18" s="29">
        <v>15</v>
      </c>
      <c r="AO18" s="29">
        <f>G18*0.640748178023009</f>
        <v>351.13000155660893</v>
      </c>
      <c r="AP18" s="29">
        <f>G18*(1-0.640748178023009)</f>
        <v>196.86999844339107</v>
      </c>
      <c r="AQ18" s="51" t="s">
        <v>79</v>
      </c>
      <c r="AV18" s="29">
        <f>AW18+AX18</f>
        <v>0</v>
      </c>
      <c r="AW18" s="29">
        <f>F18*AO18</f>
        <v>0</v>
      </c>
      <c r="AX18" s="29">
        <f>F18*AP18</f>
        <v>0</v>
      </c>
      <c r="AY18" s="54" t="s">
        <v>633</v>
      </c>
      <c r="AZ18" s="54" t="s">
        <v>650</v>
      </c>
      <c r="BA18" s="48" t="s">
        <v>658</v>
      </c>
      <c r="BC18" s="29">
        <f>AW18+AX18</f>
        <v>0</v>
      </c>
      <c r="BD18" s="29">
        <f>G18/(100-BE18)*100</f>
        <v>548</v>
      </c>
      <c r="BE18" s="29">
        <v>0</v>
      </c>
      <c r="BF18" s="29">
        <f>L18</f>
        <v>0</v>
      </c>
      <c r="BH18" s="55">
        <f>F18*AO18</f>
        <v>0</v>
      </c>
      <c r="BI18" s="55">
        <f>F18*AP18</f>
        <v>0</v>
      </c>
      <c r="BJ18" s="55">
        <f>F18*G18</f>
        <v>0</v>
      </c>
    </row>
    <row r="19" spans="1:62" ht="12.75">
      <c r="A19" s="36" t="s">
        <v>83</v>
      </c>
      <c r="B19" s="36" t="s">
        <v>59</v>
      </c>
      <c r="C19" s="36" t="s">
        <v>250</v>
      </c>
      <c r="D19" s="36" t="s">
        <v>427</v>
      </c>
      <c r="E19" s="36" t="s">
        <v>608</v>
      </c>
      <c r="F19" s="55">
        <f>'Stavební rozpočet'!F19</f>
        <v>0</v>
      </c>
      <c r="G19" s="55">
        <f>'Stavební rozpočet'!G19</f>
        <v>1230</v>
      </c>
      <c r="H19" s="55">
        <f>F19*AO19</f>
        <v>0</v>
      </c>
      <c r="I19" s="55">
        <f>F19*AP19</f>
        <v>0</v>
      </c>
      <c r="J19" s="55">
        <f>F19*G19</f>
        <v>0</v>
      </c>
      <c r="K19" s="55">
        <f>'Stavební rozpočet'!K19</f>
        <v>0.0286</v>
      </c>
      <c r="L19" s="55">
        <f>F19*K19</f>
        <v>0</v>
      </c>
      <c r="M19" s="51" t="s">
        <v>622</v>
      </c>
      <c r="Z19" s="29">
        <f>IF(AQ19="5",BJ19,0)</f>
        <v>0</v>
      </c>
      <c r="AB19" s="29">
        <f>IF(AQ19="1",BH19,0)</f>
        <v>0</v>
      </c>
      <c r="AC19" s="29">
        <f>IF(AQ19="1",BI19,0)</f>
        <v>0</v>
      </c>
      <c r="AD19" s="29">
        <f>IF(AQ19="7",BH19,0)</f>
        <v>0</v>
      </c>
      <c r="AE19" s="29">
        <f>IF(AQ19="7",BI19,0)</f>
        <v>0</v>
      </c>
      <c r="AF19" s="29">
        <f>IF(AQ19="2",BH19,0)</f>
        <v>0</v>
      </c>
      <c r="AG19" s="29">
        <f>IF(AQ19="2",BI19,0)</f>
        <v>0</v>
      </c>
      <c r="AH19" s="29">
        <f>IF(AQ19="0",BJ19,0)</f>
        <v>0</v>
      </c>
      <c r="AI19" s="48" t="s">
        <v>59</v>
      </c>
      <c r="AJ19" s="55">
        <f>IF(AN19=0,J19,0)</f>
        <v>0</v>
      </c>
      <c r="AK19" s="55">
        <f>IF(AN19=15,J19,0)</f>
        <v>0</v>
      </c>
      <c r="AL19" s="55">
        <f>IF(AN19=21,J19,0)</f>
        <v>0</v>
      </c>
      <c r="AN19" s="29">
        <v>15</v>
      </c>
      <c r="AO19" s="29">
        <f>G19*0.356243902439024</f>
        <v>438.1799999999995</v>
      </c>
      <c r="AP19" s="29">
        <f>G19*(1-0.356243902439024)</f>
        <v>791.8200000000004</v>
      </c>
      <c r="AQ19" s="51" t="s">
        <v>79</v>
      </c>
      <c r="AV19" s="29">
        <f>AW19+AX19</f>
        <v>0</v>
      </c>
      <c r="AW19" s="29">
        <f>F19*AO19</f>
        <v>0</v>
      </c>
      <c r="AX19" s="29">
        <f>F19*AP19</f>
        <v>0</v>
      </c>
      <c r="AY19" s="54" t="s">
        <v>633</v>
      </c>
      <c r="AZ19" s="54" t="s">
        <v>650</v>
      </c>
      <c r="BA19" s="48" t="s">
        <v>658</v>
      </c>
      <c r="BC19" s="29">
        <f>AW19+AX19</f>
        <v>0</v>
      </c>
      <c r="BD19" s="29">
        <f>G19/(100-BE19)*100</f>
        <v>1230</v>
      </c>
      <c r="BE19" s="29">
        <v>0</v>
      </c>
      <c r="BF19" s="29">
        <f>L19</f>
        <v>0</v>
      </c>
      <c r="BH19" s="55">
        <f>F19*AO19</f>
        <v>0</v>
      </c>
      <c r="BI19" s="55">
        <f>F19*AP19</f>
        <v>0</v>
      </c>
      <c r="BJ19" s="55">
        <f>F19*G19</f>
        <v>0</v>
      </c>
    </row>
    <row r="20" spans="1:62" ht="12.75">
      <c r="A20" s="36" t="s">
        <v>84</v>
      </c>
      <c r="B20" s="36" t="s">
        <v>59</v>
      </c>
      <c r="C20" s="36" t="s">
        <v>251</v>
      </c>
      <c r="D20" s="36" t="s">
        <v>429</v>
      </c>
      <c r="E20" s="36" t="s">
        <v>606</v>
      </c>
      <c r="F20" s="55">
        <f>'Stavební rozpočet'!F20</f>
        <v>0</v>
      </c>
      <c r="G20" s="55">
        <f>'Stavební rozpočet'!G20</f>
        <v>1107.84</v>
      </c>
      <c r="H20" s="55">
        <f>F20*AO20</f>
        <v>0</v>
      </c>
      <c r="I20" s="55">
        <f>F20*AP20</f>
        <v>0</v>
      </c>
      <c r="J20" s="55">
        <f>F20*G20</f>
        <v>0</v>
      </c>
      <c r="K20" s="55">
        <f>'Stavební rozpočet'!K20</f>
        <v>0.0016</v>
      </c>
      <c r="L20" s="55">
        <f>F20*K20</f>
        <v>0</v>
      </c>
      <c r="M20" s="51" t="s">
        <v>622</v>
      </c>
      <c r="Z20" s="29">
        <f>IF(AQ20="5",BJ20,0)</f>
        <v>0</v>
      </c>
      <c r="AB20" s="29">
        <f>IF(AQ20="1",BH20,0)</f>
        <v>0</v>
      </c>
      <c r="AC20" s="29">
        <f>IF(AQ20="1",BI20,0)</f>
        <v>0</v>
      </c>
      <c r="AD20" s="29">
        <f>IF(AQ20="7",BH20,0)</f>
        <v>0</v>
      </c>
      <c r="AE20" s="29">
        <f>IF(AQ20="7",BI20,0)</f>
        <v>0</v>
      </c>
      <c r="AF20" s="29">
        <f>IF(AQ20="2",BH20,0)</f>
        <v>0</v>
      </c>
      <c r="AG20" s="29">
        <f>IF(AQ20="2",BI20,0)</f>
        <v>0</v>
      </c>
      <c r="AH20" s="29">
        <f>IF(AQ20="0",BJ20,0)</f>
        <v>0</v>
      </c>
      <c r="AI20" s="48" t="s">
        <v>59</v>
      </c>
      <c r="AJ20" s="55">
        <f>IF(AN20=0,J20,0)</f>
        <v>0</v>
      </c>
      <c r="AK20" s="55">
        <f>IF(AN20=15,J20,0)</f>
        <v>0</v>
      </c>
      <c r="AL20" s="55">
        <f>IF(AN20=21,J20,0)</f>
        <v>0</v>
      </c>
      <c r="AN20" s="29">
        <v>15</v>
      </c>
      <c r="AO20" s="29">
        <f>G20*0.608391103408434</f>
        <v>673.9999999999995</v>
      </c>
      <c r="AP20" s="29">
        <f>G20*(1-0.608391103408434)</f>
        <v>433.8400000000004</v>
      </c>
      <c r="AQ20" s="51" t="s">
        <v>79</v>
      </c>
      <c r="AV20" s="29">
        <f>AW20+AX20</f>
        <v>0</v>
      </c>
      <c r="AW20" s="29">
        <f>F20*AO20</f>
        <v>0</v>
      </c>
      <c r="AX20" s="29">
        <f>F20*AP20</f>
        <v>0</v>
      </c>
      <c r="AY20" s="54" t="s">
        <v>633</v>
      </c>
      <c r="AZ20" s="54" t="s">
        <v>650</v>
      </c>
      <c r="BA20" s="48" t="s">
        <v>658</v>
      </c>
      <c r="BC20" s="29">
        <f>AW20+AX20</f>
        <v>0</v>
      </c>
      <c r="BD20" s="29">
        <f>G20/(100-BE20)*100</f>
        <v>1107.84</v>
      </c>
      <c r="BE20" s="29">
        <v>0</v>
      </c>
      <c r="BF20" s="29">
        <f>L20</f>
        <v>0</v>
      </c>
      <c r="BH20" s="55">
        <f>F20*AO20</f>
        <v>0</v>
      </c>
      <c r="BI20" s="55">
        <f>F20*AP20</f>
        <v>0</v>
      </c>
      <c r="BJ20" s="55">
        <f>F20*G20</f>
        <v>0</v>
      </c>
    </row>
    <row r="21" spans="1:62" ht="12.75">
      <c r="A21" s="36" t="s">
        <v>85</v>
      </c>
      <c r="B21" s="36" t="s">
        <v>59</v>
      </c>
      <c r="C21" s="36" t="s">
        <v>252</v>
      </c>
      <c r="D21" s="36" t="s">
        <v>431</v>
      </c>
      <c r="E21" s="36" t="s">
        <v>609</v>
      </c>
      <c r="F21" s="55">
        <f>'Stavební rozpočet'!F21</f>
        <v>0</v>
      </c>
      <c r="G21" s="55">
        <f>'Stavební rozpočet'!G21</f>
        <v>147</v>
      </c>
      <c r="H21" s="55">
        <f>F21*AO21</f>
        <v>0</v>
      </c>
      <c r="I21" s="55">
        <f>F21*AP21</f>
        <v>0</v>
      </c>
      <c r="J21" s="55">
        <f>F21*G21</f>
        <v>0</v>
      </c>
      <c r="K21" s="55">
        <f>'Stavební rozpočet'!K21</f>
        <v>0.00102</v>
      </c>
      <c r="L21" s="55">
        <f>F21*K21</f>
        <v>0</v>
      </c>
      <c r="M21" s="51" t="s">
        <v>622</v>
      </c>
      <c r="Z21" s="29">
        <f>IF(AQ21="5",BJ21,0)</f>
        <v>0</v>
      </c>
      <c r="AB21" s="29">
        <f>IF(AQ21="1",BH21,0)</f>
        <v>0</v>
      </c>
      <c r="AC21" s="29">
        <f>IF(AQ21="1",BI21,0)</f>
        <v>0</v>
      </c>
      <c r="AD21" s="29">
        <f>IF(AQ21="7",BH21,0)</f>
        <v>0</v>
      </c>
      <c r="AE21" s="29">
        <f>IF(AQ21="7",BI21,0)</f>
        <v>0</v>
      </c>
      <c r="AF21" s="29">
        <f>IF(AQ21="2",BH21,0)</f>
        <v>0</v>
      </c>
      <c r="AG21" s="29">
        <f>IF(AQ21="2",BI21,0)</f>
        <v>0</v>
      </c>
      <c r="AH21" s="29">
        <f>IF(AQ21="0",BJ21,0)</f>
        <v>0</v>
      </c>
      <c r="AI21" s="48" t="s">
        <v>59</v>
      </c>
      <c r="AJ21" s="55">
        <f>IF(AN21=0,J21,0)</f>
        <v>0</v>
      </c>
      <c r="AK21" s="55">
        <f>IF(AN21=15,J21,0)</f>
        <v>0</v>
      </c>
      <c r="AL21" s="55">
        <f>IF(AN21=21,J21,0)</f>
        <v>0</v>
      </c>
      <c r="AN21" s="29">
        <v>15</v>
      </c>
      <c r="AO21" s="29">
        <f>G21*0.142925170068027</f>
        <v>21.009999999999966</v>
      </c>
      <c r="AP21" s="29">
        <f>G21*(1-0.142925170068027)</f>
        <v>125.99000000000004</v>
      </c>
      <c r="AQ21" s="51" t="s">
        <v>79</v>
      </c>
      <c r="AV21" s="29">
        <f>AW21+AX21</f>
        <v>0</v>
      </c>
      <c r="AW21" s="29">
        <f>F21*AO21</f>
        <v>0</v>
      </c>
      <c r="AX21" s="29">
        <f>F21*AP21</f>
        <v>0</v>
      </c>
      <c r="AY21" s="54" t="s">
        <v>633</v>
      </c>
      <c r="AZ21" s="54" t="s">
        <v>650</v>
      </c>
      <c r="BA21" s="48" t="s">
        <v>658</v>
      </c>
      <c r="BC21" s="29">
        <f>AW21+AX21</f>
        <v>0</v>
      </c>
      <c r="BD21" s="29">
        <f>G21/(100-BE21)*100</f>
        <v>147</v>
      </c>
      <c r="BE21" s="29">
        <v>0</v>
      </c>
      <c r="BF21" s="29">
        <f>L21</f>
        <v>0</v>
      </c>
      <c r="BH21" s="55">
        <f>F21*AO21</f>
        <v>0</v>
      </c>
      <c r="BI21" s="55">
        <f>F21*AP21</f>
        <v>0</v>
      </c>
      <c r="BJ21" s="55">
        <f>F21*G21</f>
        <v>0</v>
      </c>
    </row>
    <row r="22" spans="1:62" ht="12.75">
      <c r="A22" s="36" t="s">
        <v>86</v>
      </c>
      <c r="B22" s="36" t="s">
        <v>59</v>
      </c>
      <c r="C22" s="36" t="s">
        <v>253</v>
      </c>
      <c r="D22" s="36" t="s">
        <v>432</v>
      </c>
      <c r="E22" s="36" t="s">
        <v>608</v>
      </c>
      <c r="F22" s="55">
        <f>'Stavební rozpočet'!F22</f>
        <v>0</v>
      </c>
      <c r="G22" s="55">
        <f>'Stavební rozpočet'!G22</f>
        <v>536.99</v>
      </c>
      <c r="H22" s="55">
        <f>F22*AO22</f>
        <v>0</v>
      </c>
      <c r="I22" s="55">
        <f>F22*AP22</f>
        <v>0</v>
      </c>
      <c r="J22" s="55">
        <f>F22*G22</f>
        <v>0</v>
      </c>
      <c r="K22" s="55">
        <f>'Stavební rozpočet'!K22</f>
        <v>0.01275</v>
      </c>
      <c r="L22" s="55">
        <f>F22*K22</f>
        <v>0</v>
      </c>
      <c r="M22" s="51" t="s">
        <v>622</v>
      </c>
      <c r="Z22" s="29">
        <f>IF(AQ22="5",BJ22,0)</f>
        <v>0</v>
      </c>
      <c r="AB22" s="29">
        <f>IF(AQ22="1",BH22,0)</f>
        <v>0</v>
      </c>
      <c r="AC22" s="29">
        <f>IF(AQ22="1",BI22,0)</f>
        <v>0</v>
      </c>
      <c r="AD22" s="29">
        <f>IF(AQ22="7",BH22,0)</f>
        <v>0</v>
      </c>
      <c r="AE22" s="29">
        <f>IF(AQ22="7",BI22,0)</f>
        <v>0</v>
      </c>
      <c r="AF22" s="29">
        <f>IF(AQ22="2",BH22,0)</f>
        <v>0</v>
      </c>
      <c r="AG22" s="29">
        <f>IF(AQ22="2",BI22,0)</f>
        <v>0</v>
      </c>
      <c r="AH22" s="29">
        <f>IF(AQ22="0",BJ22,0)</f>
        <v>0</v>
      </c>
      <c r="AI22" s="48" t="s">
        <v>59</v>
      </c>
      <c r="AJ22" s="55">
        <f>IF(AN22=0,J22,0)</f>
        <v>0</v>
      </c>
      <c r="AK22" s="55">
        <f>IF(AN22=15,J22,0)</f>
        <v>0</v>
      </c>
      <c r="AL22" s="55">
        <f>IF(AN22=21,J22,0)</f>
        <v>0</v>
      </c>
      <c r="AN22" s="29">
        <v>15</v>
      </c>
      <c r="AO22" s="29">
        <f>G22*0.35875913611475</f>
        <v>192.65006850225961</v>
      </c>
      <c r="AP22" s="29">
        <f>G22*(1-0.35875913611475)</f>
        <v>344.3399314977404</v>
      </c>
      <c r="AQ22" s="51" t="s">
        <v>79</v>
      </c>
      <c r="AV22" s="29">
        <f>AW22+AX22</f>
        <v>0</v>
      </c>
      <c r="AW22" s="29">
        <f>F22*AO22</f>
        <v>0</v>
      </c>
      <c r="AX22" s="29">
        <f>F22*AP22</f>
        <v>0</v>
      </c>
      <c r="AY22" s="54" t="s">
        <v>633</v>
      </c>
      <c r="AZ22" s="54" t="s">
        <v>650</v>
      </c>
      <c r="BA22" s="48" t="s">
        <v>658</v>
      </c>
      <c r="BC22" s="29">
        <f>AW22+AX22</f>
        <v>0</v>
      </c>
      <c r="BD22" s="29">
        <f>G22/(100-BE22)*100</f>
        <v>536.99</v>
      </c>
      <c r="BE22" s="29">
        <v>0</v>
      </c>
      <c r="BF22" s="29">
        <f>L22</f>
        <v>0</v>
      </c>
      <c r="BH22" s="55">
        <f>F22*AO22</f>
        <v>0</v>
      </c>
      <c r="BI22" s="55">
        <f>F22*AP22</f>
        <v>0</v>
      </c>
      <c r="BJ22" s="55">
        <f>F22*G22</f>
        <v>0</v>
      </c>
    </row>
    <row r="23" spans="1:47" ht="12.75">
      <c r="A23" s="35"/>
      <c r="B23" s="42" t="s">
        <v>59</v>
      </c>
      <c r="C23" s="42" t="s">
        <v>139</v>
      </c>
      <c r="D23" s="42" t="s">
        <v>434</v>
      </c>
      <c r="E23" s="35" t="s">
        <v>57</v>
      </c>
      <c r="F23" s="35" t="s">
        <v>57</v>
      </c>
      <c r="G23" s="35" t="s">
        <v>57</v>
      </c>
      <c r="H23" s="59">
        <f>SUM(H24:H31)</f>
        <v>0</v>
      </c>
      <c r="I23" s="59">
        <f>SUM(I24:I31)</f>
        <v>0</v>
      </c>
      <c r="J23" s="59">
        <f>SUM(J24:J31)</f>
        <v>0</v>
      </c>
      <c r="K23" s="48"/>
      <c r="L23" s="59">
        <f>SUM(L24:L31)</f>
        <v>0</v>
      </c>
      <c r="M23" s="48"/>
      <c r="AI23" s="48" t="s">
        <v>59</v>
      </c>
      <c r="AS23" s="59">
        <f>SUM(AJ24:AJ31)</f>
        <v>0</v>
      </c>
      <c r="AT23" s="59">
        <f>SUM(AK24:AK31)</f>
        <v>0</v>
      </c>
      <c r="AU23" s="59">
        <f>SUM(AL24:AL31)</f>
        <v>0</v>
      </c>
    </row>
    <row r="24" spans="1:62" ht="12.75">
      <c r="A24" s="36" t="s">
        <v>87</v>
      </c>
      <c r="B24" s="36" t="s">
        <v>59</v>
      </c>
      <c r="C24" s="36" t="s">
        <v>254</v>
      </c>
      <c r="D24" s="36" t="s">
        <v>435</v>
      </c>
      <c r="E24" s="36" t="s">
        <v>608</v>
      </c>
      <c r="F24" s="55">
        <f>'Stavební rozpočet'!F24</f>
        <v>0</v>
      </c>
      <c r="G24" s="55">
        <f>'Stavební rozpočet'!G24</f>
        <v>1412</v>
      </c>
      <c r="H24" s="55">
        <f aca="true" t="shared" si="0" ref="H24:H31">F24*AO24</f>
        <v>0</v>
      </c>
      <c r="I24" s="55">
        <f aca="true" t="shared" si="1" ref="I24:I31">F24*AP24</f>
        <v>0</v>
      </c>
      <c r="J24" s="55">
        <f aca="true" t="shared" si="2" ref="J24:J31">F24*G24</f>
        <v>0</v>
      </c>
      <c r="K24" s="55">
        <f>'Stavební rozpočet'!K24</f>
        <v>0.0192</v>
      </c>
      <c r="L24" s="55">
        <f aca="true" t="shared" si="3" ref="L24:L31">F24*K24</f>
        <v>0</v>
      </c>
      <c r="M24" s="51" t="s">
        <v>622</v>
      </c>
      <c r="Z24" s="29">
        <f aca="true" t="shared" si="4" ref="Z24:Z31">IF(AQ24="5",BJ24,0)</f>
        <v>0</v>
      </c>
      <c r="AB24" s="29">
        <f aca="true" t="shared" si="5" ref="AB24:AB31">IF(AQ24="1",BH24,0)</f>
        <v>0</v>
      </c>
      <c r="AC24" s="29">
        <f aca="true" t="shared" si="6" ref="AC24:AC31">IF(AQ24="1",BI24,0)</f>
        <v>0</v>
      </c>
      <c r="AD24" s="29">
        <f aca="true" t="shared" si="7" ref="AD24:AD31">IF(AQ24="7",BH24,0)</f>
        <v>0</v>
      </c>
      <c r="AE24" s="29">
        <f aca="true" t="shared" si="8" ref="AE24:AE31">IF(AQ24="7",BI24,0)</f>
        <v>0</v>
      </c>
      <c r="AF24" s="29">
        <f aca="true" t="shared" si="9" ref="AF24:AF31">IF(AQ24="2",BH24,0)</f>
        <v>0</v>
      </c>
      <c r="AG24" s="29">
        <f aca="true" t="shared" si="10" ref="AG24:AG31">IF(AQ24="2",BI24,0)</f>
        <v>0</v>
      </c>
      <c r="AH24" s="29">
        <f aca="true" t="shared" si="11" ref="AH24:AH31">IF(AQ24="0",BJ24,0)</f>
        <v>0</v>
      </c>
      <c r="AI24" s="48" t="s">
        <v>59</v>
      </c>
      <c r="AJ24" s="55">
        <f aca="true" t="shared" si="12" ref="AJ24:AJ31">IF(AN24=0,J24,0)</f>
        <v>0</v>
      </c>
      <c r="AK24" s="55">
        <f aca="true" t="shared" si="13" ref="AK24:AK31">IF(AN24=15,J24,0)</f>
        <v>0</v>
      </c>
      <c r="AL24" s="55">
        <f aca="true" t="shared" si="14" ref="AL24:AL31">IF(AN24=21,J24,0)</f>
        <v>0</v>
      </c>
      <c r="AN24" s="29">
        <v>15</v>
      </c>
      <c r="AO24" s="29">
        <f>G24*0.230757790368272</f>
        <v>325.83000000000004</v>
      </c>
      <c r="AP24" s="29">
        <f>G24*(1-0.230757790368272)</f>
        <v>1086.1699999999998</v>
      </c>
      <c r="AQ24" s="51" t="s">
        <v>79</v>
      </c>
      <c r="AV24" s="29">
        <f aca="true" t="shared" si="15" ref="AV24:AV31">AW24+AX24</f>
        <v>0</v>
      </c>
      <c r="AW24" s="29">
        <f aca="true" t="shared" si="16" ref="AW24:AW31">F24*AO24</f>
        <v>0</v>
      </c>
      <c r="AX24" s="29">
        <f aca="true" t="shared" si="17" ref="AX24:AX31">F24*AP24</f>
        <v>0</v>
      </c>
      <c r="AY24" s="54" t="s">
        <v>634</v>
      </c>
      <c r="AZ24" s="54" t="s">
        <v>651</v>
      </c>
      <c r="BA24" s="48" t="s">
        <v>658</v>
      </c>
      <c r="BC24" s="29">
        <f aca="true" t="shared" si="18" ref="BC24:BC31">AW24+AX24</f>
        <v>0</v>
      </c>
      <c r="BD24" s="29">
        <f aca="true" t="shared" si="19" ref="BD24:BD31">G24/(100-BE24)*100</f>
        <v>1412</v>
      </c>
      <c r="BE24" s="29">
        <v>0</v>
      </c>
      <c r="BF24" s="29">
        <f aca="true" t="shared" si="20" ref="BF24:BF31">L24</f>
        <v>0</v>
      </c>
      <c r="BH24" s="55">
        <f aca="true" t="shared" si="21" ref="BH24:BH31">F24*AO24</f>
        <v>0</v>
      </c>
      <c r="BI24" s="55">
        <f aca="true" t="shared" si="22" ref="BI24:BI31">F24*AP24</f>
        <v>0</v>
      </c>
      <c r="BJ24" s="55">
        <f aca="true" t="shared" si="23" ref="BJ24:BJ31">F24*G24</f>
        <v>0</v>
      </c>
    </row>
    <row r="25" spans="1:62" ht="12.75">
      <c r="A25" s="36" t="s">
        <v>88</v>
      </c>
      <c r="B25" s="36" t="s">
        <v>59</v>
      </c>
      <c r="C25" s="36" t="s">
        <v>255</v>
      </c>
      <c r="D25" s="36" t="s">
        <v>437</v>
      </c>
      <c r="E25" s="36" t="s">
        <v>609</v>
      </c>
      <c r="F25" s="55">
        <f>'Stavební rozpočet'!F25</f>
        <v>0</v>
      </c>
      <c r="G25" s="55">
        <f>'Stavební rozpočet'!G25</f>
        <v>63.7</v>
      </c>
      <c r="H25" s="55">
        <f t="shared" si="0"/>
        <v>0</v>
      </c>
      <c r="I25" s="55">
        <f t="shared" si="1"/>
        <v>0</v>
      </c>
      <c r="J25" s="55">
        <f t="shared" si="2"/>
        <v>0</v>
      </c>
      <c r="K25" s="55">
        <f>'Stavební rozpočet'!K25</f>
        <v>0.00238</v>
      </c>
      <c r="L25" s="55">
        <f t="shared" si="3"/>
        <v>0</v>
      </c>
      <c r="M25" s="51" t="s">
        <v>622</v>
      </c>
      <c r="Z25" s="29">
        <f t="shared" si="4"/>
        <v>0</v>
      </c>
      <c r="AB25" s="29">
        <f t="shared" si="5"/>
        <v>0</v>
      </c>
      <c r="AC25" s="29">
        <f t="shared" si="6"/>
        <v>0</v>
      </c>
      <c r="AD25" s="29">
        <f t="shared" si="7"/>
        <v>0</v>
      </c>
      <c r="AE25" s="29">
        <f t="shared" si="8"/>
        <v>0</v>
      </c>
      <c r="AF25" s="29">
        <f t="shared" si="9"/>
        <v>0</v>
      </c>
      <c r="AG25" s="29">
        <f t="shared" si="10"/>
        <v>0</v>
      </c>
      <c r="AH25" s="29">
        <f t="shared" si="11"/>
        <v>0</v>
      </c>
      <c r="AI25" s="48" t="s">
        <v>59</v>
      </c>
      <c r="AJ25" s="55">
        <f t="shared" si="12"/>
        <v>0</v>
      </c>
      <c r="AK25" s="55">
        <f t="shared" si="13"/>
        <v>0</v>
      </c>
      <c r="AL25" s="55">
        <f t="shared" si="14"/>
        <v>0</v>
      </c>
      <c r="AN25" s="29">
        <v>15</v>
      </c>
      <c r="AO25" s="29">
        <f>G25*0.110518038238422</f>
        <v>7.039999035787482</v>
      </c>
      <c r="AP25" s="29">
        <f>G25*(1-0.110518038238422)</f>
        <v>56.66000096421252</v>
      </c>
      <c r="AQ25" s="51" t="s">
        <v>79</v>
      </c>
      <c r="AV25" s="29">
        <f t="shared" si="15"/>
        <v>0</v>
      </c>
      <c r="AW25" s="29">
        <f t="shared" si="16"/>
        <v>0</v>
      </c>
      <c r="AX25" s="29">
        <f t="shared" si="17"/>
        <v>0</v>
      </c>
      <c r="AY25" s="54" t="s">
        <v>634</v>
      </c>
      <c r="AZ25" s="54" t="s">
        <v>651</v>
      </c>
      <c r="BA25" s="48" t="s">
        <v>658</v>
      </c>
      <c r="BC25" s="29">
        <f t="shared" si="18"/>
        <v>0</v>
      </c>
      <c r="BD25" s="29">
        <f t="shared" si="19"/>
        <v>63.7</v>
      </c>
      <c r="BE25" s="29">
        <v>0</v>
      </c>
      <c r="BF25" s="29">
        <f t="shared" si="20"/>
        <v>0</v>
      </c>
      <c r="BH25" s="55">
        <f t="shared" si="21"/>
        <v>0</v>
      </c>
      <c r="BI25" s="55">
        <f t="shared" si="22"/>
        <v>0</v>
      </c>
      <c r="BJ25" s="55">
        <f t="shared" si="23"/>
        <v>0</v>
      </c>
    </row>
    <row r="26" spans="1:62" ht="12.75">
      <c r="A26" s="36" t="s">
        <v>89</v>
      </c>
      <c r="B26" s="36" t="s">
        <v>59</v>
      </c>
      <c r="C26" s="36" t="s">
        <v>256</v>
      </c>
      <c r="D26" s="36" t="s">
        <v>439</v>
      </c>
      <c r="E26" s="36" t="s">
        <v>608</v>
      </c>
      <c r="F26" s="55">
        <f>'Stavební rozpočet'!F26</f>
        <v>0</v>
      </c>
      <c r="G26" s="55">
        <f>'Stavební rozpočet'!G26</f>
        <v>100.99</v>
      </c>
      <c r="H26" s="55">
        <f t="shared" si="0"/>
        <v>0</v>
      </c>
      <c r="I26" s="55">
        <f t="shared" si="1"/>
        <v>0</v>
      </c>
      <c r="J26" s="55">
        <f t="shared" si="2"/>
        <v>0</v>
      </c>
      <c r="K26" s="55">
        <f>'Stavební rozpočet'!K26</f>
        <v>0.01554</v>
      </c>
      <c r="L26" s="55">
        <f t="shared" si="3"/>
        <v>0</v>
      </c>
      <c r="M26" s="51" t="s">
        <v>622</v>
      </c>
      <c r="Z26" s="29">
        <f t="shared" si="4"/>
        <v>0</v>
      </c>
      <c r="AB26" s="29">
        <f t="shared" si="5"/>
        <v>0</v>
      </c>
      <c r="AC26" s="29">
        <f t="shared" si="6"/>
        <v>0</v>
      </c>
      <c r="AD26" s="29">
        <f t="shared" si="7"/>
        <v>0</v>
      </c>
      <c r="AE26" s="29">
        <f t="shared" si="8"/>
        <v>0</v>
      </c>
      <c r="AF26" s="29">
        <f t="shared" si="9"/>
        <v>0</v>
      </c>
      <c r="AG26" s="29">
        <f t="shared" si="10"/>
        <v>0</v>
      </c>
      <c r="AH26" s="29">
        <f t="shared" si="11"/>
        <v>0</v>
      </c>
      <c r="AI26" s="48" t="s">
        <v>59</v>
      </c>
      <c r="AJ26" s="55">
        <f t="shared" si="12"/>
        <v>0</v>
      </c>
      <c r="AK26" s="55">
        <f t="shared" si="13"/>
        <v>0</v>
      </c>
      <c r="AL26" s="55">
        <f t="shared" si="14"/>
        <v>0</v>
      </c>
      <c r="AN26" s="29">
        <v>15</v>
      </c>
      <c r="AO26" s="29">
        <f>G26*0.272799267964312</f>
        <v>27.549998071715866</v>
      </c>
      <c r="AP26" s="29">
        <f>G26*(1-0.272799267964312)</f>
        <v>73.44000192828413</v>
      </c>
      <c r="AQ26" s="51" t="s">
        <v>79</v>
      </c>
      <c r="AV26" s="29">
        <f t="shared" si="15"/>
        <v>0</v>
      </c>
      <c r="AW26" s="29">
        <f t="shared" si="16"/>
        <v>0</v>
      </c>
      <c r="AX26" s="29">
        <f t="shared" si="17"/>
        <v>0</v>
      </c>
      <c r="AY26" s="54" t="s">
        <v>634</v>
      </c>
      <c r="AZ26" s="54" t="s">
        <v>651</v>
      </c>
      <c r="BA26" s="48" t="s">
        <v>658</v>
      </c>
      <c r="BC26" s="29">
        <f t="shared" si="18"/>
        <v>0</v>
      </c>
      <c r="BD26" s="29">
        <f t="shared" si="19"/>
        <v>100.99000000000001</v>
      </c>
      <c r="BE26" s="29">
        <v>0</v>
      </c>
      <c r="BF26" s="29">
        <f t="shared" si="20"/>
        <v>0</v>
      </c>
      <c r="BH26" s="55">
        <f t="shared" si="21"/>
        <v>0</v>
      </c>
      <c r="BI26" s="55">
        <f t="shared" si="22"/>
        <v>0</v>
      </c>
      <c r="BJ26" s="55">
        <f t="shared" si="23"/>
        <v>0</v>
      </c>
    </row>
    <row r="27" spans="1:62" ht="12.75">
      <c r="A27" s="36" t="s">
        <v>90</v>
      </c>
      <c r="B27" s="36" t="s">
        <v>59</v>
      </c>
      <c r="C27" s="36" t="s">
        <v>257</v>
      </c>
      <c r="D27" s="36" t="s">
        <v>440</v>
      </c>
      <c r="E27" s="36" t="s">
        <v>608</v>
      </c>
      <c r="F27" s="55">
        <f>'Stavební rozpočet'!F27</f>
        <v>0</v>
      </c>
      <c r="G27" s="55">
        <f>'Stavební rozpočet'!G27</f>
        <v>396.49</v>
      </c>
      <c r="H27" s="55">
        <f t="shared" si="0"/>
        <v>0</v>
      </c>
      <c r="I27" s="55">
        <f t="shared" si="1"/>
        <v>0</v>
      </c>
      <c r="J27" s="55">
        <f t="shared" si="2"/>
        <v>0</v>
      </c>
      <c r="K27" s="55">
        <f>'Stavební rozpočet'!K27</f>
        <v>0.06002</v>
      </c>
      <c r="L27" s="55">
        <f t="shared" si="3"/>
        <v>0</v>
      </c>
      <c r="M27" s="51" t="s">
        <v>622</v>
      </c>
      <c r="Z27" s="29">
        <f t="shared" si="4"/>
        <v>0</v>
      </c>
      <c r="AB27" s="29">
        <f t="shared" si="5"/>
        <v>0</v>
      </c>
      <c r="AC27" s="29">
        <f t="shared" si="6"/>
        <v>0</v>
      </c>
      <c r="AD27" s="29">
        <f t="shared" si="7"/>
        <v>0</v>
      </c>
      <c r="AE27" s="29">
        <f t="shared" si="8"/>
        <v>0</v>
      </c>
      <c r="AF27" s="29">
        <f t="shared" si="9"/>
        <v>0</v>
      </c>
      <c r="AG27" s="29">
        <f t="shared" si="10"/>
        <v>0</v>
      </c>
      <c r="AH27" s="29">
        <f t="shared" si="11"/>
        <v>0</v>
      </c>
      <c r="AI27" s="48" t="s">
        <v>59</v>
      </c>
      <c r="AJ27" s="55">
        <f t="shared" si="12"/>
        <v>0</v>
      </c>
      <c r="AK27" s="55">
        <f t="shared" si="13"/>
        <v>0</v>
      </c>
      <c r="AL27" s="55">
        <f t="shared" si="14"/>
        <v>0</v>
      </c>
      <c r="AN27" s="29">
        <v>15</v>
      </c>
      <c r="AO27" s="29">
        <f>G27*0.15750712496701</f>
        <v>62.44999997816979</v>
      </c>
      <c r="AP27" s="29">
        <f>G27*(1-0.15750712496701)</f>
        <v>334.0400000218302</v>
      </c>
      <c r="AQ27" s="51" t="s">
        <v>79</v>
      </c>
      <c r="AV27" s="29">
        <f t="shared" si="15"/>
        <v>0</v>
      </c>
      <c r="AW27" s="29">
        <f t="shared" si="16"/>
        <v>0</v>
      </c>
      <c r="AX27" s="29">
        <f t="shared" si="17"/>
        <v>0</v>
      </c>
      <c r="AY27" s="54" t="s">
        <v>634</v>
      </c>
      <c r="AZ27" s="54" t="s">
        <v>651</v>
      </c>
      <c r="BA27" s="48" t="s">
        <v>658</v>
      </c>
      <c r="BC27" s="29">
        <f t="shared" si="18"/>
        <v>0</v>
      </c>
      <c r="BD27" s="29">
        <f t="shared" si="19"/>
        <v>396.49</v>
      </c>
      <c r="BE27" s="29">
        <v>0</v>
      </c>
      <c r="BF27" s="29">
        <f t="shared" si="20"/>
        <v>0</v>
      </c>
      <c r="BH27" s="55">
        <f t="shared" si="21"/>
        <v>0</v>
      </c>
      <c r="BI27" s="55">
        <f t="shared" si="22"/>
        <v>0</v>
      </c>
      <c r="BJ27" s="55">
        <f t="shared" si="23"/>
        <v>0</v>
      </c>
    </row>
    <row r="28" spans="1:62" ht="12.75">
      <c r="A28" s="36" t="s">
        <v>91</v>
      </c>
      <c r="B28" s="36" t="s">
        <v>59</v>
      </c>
      <c r="C28" s="36" t="s">
        <v>258</v>
      </c>
      <c r="D28" s="36" t="s">
        <v>442</v>
      </c>
      <c r="E28" s="36" t="s">
        <v>608</v>
      </c>
      <c r="F28" s="55">
        <f>'Stavební rozpočet'!F28</f>
        <v>0</v>
      </c>
      <c r="G28" s="55">
        <f>'Stavební rozpočet'!G28</f>
        <v>51.7</v>
      </c>
      <c r="H28" s="55">
        <f t="shared" si="0"/>
        <v>0</v>
      </c>
      <c r="I28" s="55">
        <f t="shared" si="1"/>
        <v>0</v>
      </c>
      <c r="J28" s="55">
        <f t="shared" si="2"/>
        <v>0</v>
      </c>
      <c r="K28" s="55">
        <f>'Stavební rozpočet'!K28</f>
        <v>0.01119</v>
      </c>
      <c r="L28" s="55">
        <f t="shared" si="3"/>
        <v>0</v>
      </c>
      <c r="M28" s="51" t="s">
        <v>622</v>
      </c>
      <c r="Z28" s="29">
        <f t="shared" si="4"/>
        <v>0</v>
      </c>
      <c r="AB28" s="29">
        <f t="shared" si="5"/>
        <v>0</v>
      </c>
      <c r="AC28" s="29">
        <f t="shared" si="6"/>
        <v>0</v>
      </c>
      <c r="AD28" s="29">
        <f t="shared" si="7"/>
        <v>0</v>
      </c>
      <c r="AE28" s="29">
        <f t="shared" si="8"/>
        <v>0</v>
      </c>
      <c r="AF28" s="29">
        <f t="shared" si="9"/>
        <v>0</v>
      </c>
      <c r="AG28" s="29">
        <f t="shared" si="10"/>
        <v>0</v>
      </c>
      <c r="AH28" s="29">
        <f t="shared" si="11"/>
        <v>0</v>
      </c>
      <c r="AI28" s="48" t="s">
        <v>59</v>
      </c>
      <c r="AJ28" s="55">
        <f t="shared" si="12"/>
        <v>0</v>
      </c>
      <c r="AK28" s="55">
        <f t="shared" si="13"/>
        <v>0</v>
      </c>
      <c r="AL28" s="55">
        <f t="shared" si="14"/>
        <v>0</v>
      </c>
      <c r="AN28" s="29">
        <v>15</v>
      </c>
      <c r="AO28" s="29">
        <f>G28*0.206189563671303</f>
        <v>10.660000441806366</v>
      </c>
      <c r="AP28" s="29">
        <f>G28*(1-0.206189563671303)</f>
        <v>41.039999558193635</v>
      </c>
      <c r="AQ28" s="51" t="s">
        <v>79</v>
      </c>
      <c r="AV28" s="29">
        <f t="shared" si="15"/>
        <v>0</v>
      </c>
      <c r="AW28" s="29">
        <f t="shared" si="16"/>
        <v>0</v>
      </c>
      <c r="AX28" s="29">
        <f t="shared" si="17"/>
        <v>0</v>
      </c>
      <c r="AY28" s="54" t="s">
        <v>634</v>
      </c>
      <c r="AZ28" s="54" t="s">
        <v>651</v>
      </c>
      <c r="BA28" s="48" t="s">
        <v>658</v>
      </c>
      <c r="BC28" s="29">
        <f t="shared" si="18"/>
        <v>0</v>
      </c>
      <c r="BD28" s="29">
        <f t="shared" si="19"/>
        <v>51.7</v>
      </c>
      <c r="BE28" s="29">
        <v>0</v>
      </c>
      <c r="BF28" s="29">
        <f t="shared" si="20"/>
        <v>0</v>
      </c>
      <c r="BH28" s="55">
        <f t="shared" si="21"/>
        <v>0</v>
      </c>
      <c r="BI28" s="55">
        <f t="shared" si="22"/>
        <v>0</v>
      </c>
      <c r="BJ28" s="55">
        <f t="shared" si="23"/>
        <v>0</v>
      </c>
    </row>
    <row r="29" spans="1:62" ht="12.75">
      <c r="A29" s="36" t="s">
        <v>92</v>
      </c>
      <c r="B29" s="36" t="s">
        <v>59</v>
      </c>
      <c r="C29" s="36" t="s">
        <v>259</v>
      </c>
      <c r="D29" s="36" t="s">
        <v>443</v>
      </c>
      <c r="E29" s="36" t="s">
        <v>608</v>
      </c>
      <c r="F29" s="55">
        <f>'Stavební rozpočet'!F29</f>
        <v>0</v>
      </c>
      <c r="G29" s="55">
        <f>'Stavební rozpočet'!G29</f>
        <v>326.5</v>
      </c>
      <c r="H29" s="55">
        <f t="shared" si="0"/>
        <v>0</v>
      </c>
      <c r="I29" s="55">
        <f t="shared" si="1"/>
        <v>0</v>
      </c>
      <c r="J29" s="55">
        <f t="shared" si="2"/>
        <v>0</v>
      </c>
      <c r="K29" s="55">
        <f>'Stavební rozpočet'!K29</f>
        <v>0.02888</v>
      </c>
      <c r="L29" s="55">
        <f t="shared" si="3"/>
        <v>0</v>
      </c>
      <c r="M29" s="51" t="s">
        <v>622</v>
      </c>
      <c r="Z29" s="29">
        <f t="shared" si="4"/>
        <v>0</v>
      </c>
      <c r="AB29" s="29">
        <f t="shared" si="5"/>
        <v>0</v>
      </c>
      <c r="AC29" s="29">
        <f t="shared" si="6"/>
        <v>0</v>
      </c>
      <c r="AD29" s="29">
        <f t="shared" si="7"/>
        <v>0</v>
      </c>
      <c r="AE29" s="29">
        <f t="shared" si="8"/>
        <v>0</v>
      </c>
      <c r="AF29" s="29">
        <f t="shared" si="9"/>
        <v>0</v>
      </c>
      <c r="AG29" s="29">
        <f t="shared" si="10"/>
        <v>0</v>
      </c>
      <c r="AH29" s="29">
        <f t="shared" si="11"/>
        <v>0</v>
      </c>
      <c r="AI29" s="48" t="s">
        <v>59</v>
      </c>
      <c r="AJ29" s="55">
        <f t="shared" si="12"/>
        <v>0</v>
      </c>
      <c r="AK29" s="55">
        <f t="shared" si="13"/>
        <v>0</v>
      </c>
      <c r="AL29" s="55">
        <f t="shared" si="14"/>
        <v>0</v>
      </c>
      <c r="AN29" s="29">
        <v>15</v>
      </c>
      <c r="AO29" s="29">
        <f>G29*0.324471670401994</f>
        <v>105.94000038625103</v>
      </c>
      <c r="AP29" s="29">
        <f>G29*(1-0.324471670401994)</f>
        <v>220.55999961374897</v>
      </c>
      <c r="AQ29" s="51" t="s">
        <v>79</v>
      </c>
      <c r="AV29" s="29">
        <f t="shared" si="15"/>
        <v>0</v>
      </c>
      <c r="AW29" s="29">
        <f t="shared" si="16"/>
        <v>0</v>
      </c>
      <c r="AX29" s="29">
        <f t="shared" si="17"/>
        <v>0</v>
      </c>
      <c r="AY29" s="54" t="s">
        <v>634</v>
      </c>
      <c r="AZ29" s="54" t="s">
        <v>651</v>
      </c>
      <c r="BA29" s="48" t="s">
        <v>658</v>
      </c>
      <c r="BC29" s="29">
        <f t="shared" si="18"/>
        <v>0</v>
      </c>
      <c r="BD29" s="29">
        <f t="shared" si="19"/>
        <v>326.5</v>
      </c>
      <c r="BE29" s="29">
        <v>0</v>
      </c>
      <c r="BF29" s="29">
        <f t="shared" si="20"/>
        <v>0</v>
      </c>
      <c r="BH29" s="55">
        <f t="shared" si="21"/>
        <v>0</v>
      </c>
      <c r="BI29" s="55">
        <f t="shared" si="22"/>
        <v>0</v>
      </c>
      <c r="BJ29" s="55">
        <f t="shared" si="23"/>
        <v>0</v>
      </c>
    </row>
    <row r="30" spans="1:62" ht="12.75">
      <c r="A30" s="36" t="s">
        <v>93</v>
      </c>
      <c r="B30" s="36" t="s">
        <v>59</v>
      </c>
      <c r="C30" s="36" t="s">
        <v>260</v>
      </c>
      <c r="D30" s="36" t="s">
        <v>445</v>
      </c>
      <c r="E30" s="36" t="s">
        <v>608</v>
      </c>
      <c r="F30" s="55">
        <f>'Stavební rozpočet'!F30</f>
        <v>0</v>
      </c>
      <c r="G30" s="55">
        <f>'Stavební rozpočet'!G30</f>
        <v>190.5</v>
      </c>
      <c r="H30" s="55">
        <f t="shared" si="0"/>
        <v>0</v>
      </c>
      <c r="I30" s="55">
        <f t="shared" si="1"/>
        <v>0</v>
      </c>
      <c r="J30" s="55">
        <f t="shared" si="2"/>
        <v>0</v>
      </c>
      <c r="K30" s="55">
        <f>'Stavební rozpočet'!K30</f>
        <v>0.00367</v>
      </c>
      <c r="L30" s="55">
        <f t="shared" si="3"/>
        <v>0</v>
      </c>
      <c r="M30" s="51" t="s">
        <v>622</v>
      </c>
      <c r="Z30" s="29">
        <f t="shared" si="4"/>
        <v>0</v>
      </c>
      <c r="AB30" s="29">
        <f t="shared" si="5"/>
        <v>0</v>
      </c>
      <c r="AC30" s="29">
        <f t="shared" si="6"/>
        <v>0</v>
      </c>
      <c r="AD30" s="29">
        <f t="shared" si="7"/>
        <v>0</v>
      </c>
      <c r="AE30" s="29">
        <f t="shared" si="8"/>
        <v>0</v>
      </c>
      <c r="AF30" s="29">
        <f t="shared" si="9"/>
        <v>0</v>
      </c>
      <c r="AG30" s="29">
        <f t="shared" si="10"/>
        <v>0</v>
      </c>
      <c r="AH30" s="29">
        <f t="shared" si="11"/>
        <v>0</v>
      </c>
      <c r="AI30" s="48" t="s">
        <v>59</v>
      </c>
      <c r="AJ30" s="55">
        <f t="shared" si="12"/>
        <v>0</v>
      </c>
      <c r="AK30" s="55">
        <f t="shared" si="13"/>
        <v>0</v>
      </c>
      <c r="AL30" s="55">
        <f t="shared" si="14"/>
        <v>0</v>
      </c>
      <c r="AN30" s="29">
        <v>15</v>
      </c>
      <c r="AO30" s="29">
        <f>G30*0.283412072345278</f>
        <v>53.98999978177546</v>
      </c>
      <c r="AP30" s="29">
        <f>G30*(1-0.283412072345278)</f>
        <v>136.51000021822455</v>
      </c>
      <c r="AQ30" s="51" t="s">
        <v>79</v>
      </c>
      <c r="AV30" s="29">
        <f t="shared" si="15"/>
        <v>0</v>
      </c>
      <c r="AW30" s="29">
        <f t="shared" si="16"/>
        <v>0</v>
      </c>
      <c r="AX30" s="29">
        <f t="shared" si="17"/>
        <v>0</v>
      </c>
      <c r="AY30" s="54" t="s">
        <v>634</v>
      </c>
      <c r="AZ30" s="54" t="s">
        <v>651</v>
      </c>
      <c r="BA30" s="48" t="s">
        <v>658</v>
      </c>
      <c r="BC30" s="29">
        <f t="shared" si="18"/>
        <v>0</v>
      </c>
      <c r="BD30" s="29">
        <f t="shared" si="19"/>
        <v>190.5</v>
      </c>
      <c r="BE30" s="29">
        <v>0</v>
      </c>
      <c r="BF30" s="29">
        <f t="shared" si="20"/>
        <v>0</v>
      </c>
      <c r="BH30" s="55">
        <f t="shared" si="21"/>
        <v>0</v>
      </c>
      <c r="BI30" s="55">
        <f t="shared" si="22"/>
        <v>0</v>
      </c>
      <c r="BJ30" s="55">
        <f t="shared" si="23"/>
        <v>0</v>
      </c>
    </row>
    <row r="31" spans="1:62" ht="12.75">
      <c r="A31" s="36" t="s">
        <v>94</v>
      </c>
      <c r="B31" s="36" t="s">
        <v>59</v>
      </c>
      <c r="C31" s="36" t="s">
        <v>261</v>
      </c>
      <c r="D31" s="36" t="s">
        <v>447</v>
      </c>
      <c r="E31" s="36" t="s">
        <v>609</v>
      </c>
      <c r="F31" s="55">
        <f>'Stavební rozpočet'!F31</f>
        <v>0</v>
      </c>
      <c r="G31" s="55">
        <f>'Stavební rozpočet'!G31</f>
        <v>78</v>
      </c>
      <c r="H31" s="55">
        <f t="shared" si="0"/>
        <v>0</v>
      </c>
      <c r="I31" s="55">
        <f t="shared" si="1"/>
        <v>0</v>
      </c>
      <c r="J31" s="55">
        <f t="shared" si="2"/>
        <v>0</v>
      </c>
      <c r="K31" s="55">
        <f>'Stavební rozpočet'!K31</f>
        <v>0.00215</v>
      </c>
      <c r="L31" s="55">
        <f t="shared" si="3"/>
        <v>0</v>
      </c>
      <c r="M31" s="51" t="s">
        <v>622</v>
      </c>
      <c r="Z31" s="29">
        <f t="shared" si="4"/>
        <v>0</v>
      </c>
      <c r="AB31" s="29">
        <f t="shared" si="5"/>
        <v>0</v>
      </c>
      <c r="AC31" s="29">
        <f t="shared" si="6"/>
        <v>0</v>
      </c>
      <c r="AD31" s="29">
        <f t="shared" si="7"/>
        <v>0</v>
      </c>
      <c r="AE31" s="29">
        <f t="shared" si="8"/>
        <v>0</v>
      </c>
      <c r="AF31" s="29">
        <f t="shared" si="9"/>
        <v>0</v>
      </c>
      <c r="AG31" s="29">
        <f t="shared" si="10"/>
        <v>0</v>
      </c>
      <c r="AH31" s="29">
        <f t="shared" si="11"/>
        <v>0</v>
      </c>
      <c r="AI31" s="48" t="s">
        <v>59</v>
      </c>
      <c r="AJ31" s="55">
        <f t="shared" si="12"/>
        <v>0</v>
      </c>
      <c r="AK31" s="55">
        <f t="shared" si="13"/>
        <v>0</v>
      </c>
      <c r="AL31" s="55">
        <f t="shared" si="14"/>
        <v>0</v>
      </c>
      <c r="AN31" s="29">
        <v>15</v>
      </c>
      <c r="AO31" s="29">
        <f>G31*0.312307692307692</f>
        <v>24.359999999999978</v>
      </c>
      <c r="AP31" s="29">
        <f>G31*(1-0.312307692307692)</f>
        <v>53.64000000000003</v>
      </c>
      <c r="AQ31" s="51" t="s">
        <v>79</v>
      </c>
      <c r="AV31" s="29">
        <f t="shared" si="15"/>
        <v>0</v>
      </c>
      <c r="AW31" s="29">
        <f t="shared" si="16"/>
        <v>0</v>
      </c>
      <c r="AX31" s="29">
        <f t="shared" si="17"/>
        <v>0</v>
      </c>
      <c r="AY31" s="54" t="s">
        <v>634</v>
      </c>
      <c r="AZ31" s="54" t="s">
        <v>651</v>
      </c>
      <c r="BA31" s="48" t="s">
        <v>658</v>
      </c>
      <c r="BC31" s="29">
        <f t="shared" si="18"/>
        <v>0</v>
      </c>
      <c r="BD31" s="29">
        <f t="shared" si="19"/>
        <v>78</v>
      </c>
      <c r="BE31" s="29">
        <v>0</v>
      </c>
      <c r="BF31" s="29">
        <f t="shared" si="20"/>
        <v>0</v>
      </c>
      <c r="BH31" s="55">
        <f t="shared" si="21"/>
        <v>0</v>
      </c>
      <c r="BI31" s="55">
        <f t="shared" si="22"/>
        <v>0</v>
      </c>
      <c r="BJ31" s="55">
        <f t="shared" si="23"/>
        <v>0</v>
      </c>
    </row>
    <row r="32" spans="1:47" ht="12.75">
      <c r="A32" s="35"/>
      <c r="B32" s="42" t="s">
        <v>59</v>
      </c>
      <c r="C32" s="42" t="s">
        <v>141</v>
      </c>
      <c r="D32" s="42" t="s">
        <v>449</v>
      </c>
      <c r="E32" s="35" t="s">
        <v>57</v>
      </c>
      <c r="F32" s="35" t="s">
        <v>57</v>
      </c>
      <c r="G32" s="35" t="s">
        <v>57</v>
      </c>
      <c r="H32" s="59">
        <f>SUM(H33:H34)</f>
        <v>0</v>
      </c>
      <c r="I32" s="59">
        <f>SUM(I33:I34)</f>
        <v>0</v>
      </c>
      <c r="J32" s="59">
        <f>SUM(J33:J34)</f>
        <v>0</v>
      </c>
      <c r="K32" s="48"/>
      <c r="L32" s="59">
        <f>SUM(L33:L34)</f>
        <v>0</v>
      </c>
      <c r="M32" s="48"/>
      <c r="AI32" s="48" t="s">
        <v>59</v>
      </c>
      <c r="AS32" s="59">
        <f>SUM(AJ33:AJ34)</f>
        <v>0</v>
      </c>
      <c r="AT32" s="59">
        <f>SUM(AK33:AK34)</f>
        <v>0</v>
      </c>
      <c r="AU32" s="59">
        <f>SUM(AL33:AL34)</f>
        <v>0</v>
      </c>
    </row>
    <row r="33" spans="1:62" ht="12.75">
      <c r="A33" s="36" t="s">
        <v>95</v>
      </c>
      <c r="B33" s="36" t="s">
        <v>59</v>
      </c>
      <c r="C33" s="36" t="s">
        <v>262</v>
      </c>
      <c r="D33" s="36" t="s">
        <v>450</v>
      </c>
      <c r="E33" s="36" t="s">
        <v>608</v>
      </c>
      <c r="F33" s="55">
        <f>'Stavební rozpočet'!F33</f>
        <v>0</v>
      </c>
      <c r="G33" s="55">
        <f>'Stavební rozpočet'!G33</f>
        <v>1151</v>
      </c>
      <c r="H33" s="55">
        <f>F33*AO33</f>
        <v>0</v>
      </c>
      <c r="I33" s="55">
        <f>F33*AP33</f>
        <v>0</v>
      </c>
      <c r="J33" s="55">
        <f>F33*G33</f>
        <v>0</v>
      </c>
      <c r="K33" s="55">
        <f>'Stavební rozpočet'!K33</f>
        <v>0.1614</v>
      </c>
      <c r="L33" s="55">
        <f>F33*K33</f>
        <v>0</v>
      </c>
      <c r="M33" s="51" t="s">
        <v>622</v>
      </c>
      <c r="Z33" s="29">
        <f>IF(AQ33="5",BJ33,0)</f>
        <v>0</v>
      </c>
      <c r="AB33" s="29">
        <f>IF(AQ33="1",BH33,0)</f>
        <v>0</v>
      </c>
      <c r="AC33" s="29">
        <f>IF(AQ33="1",BI33,0)</f>
        <v>0</v>
      </c>
      <c r="AD33" s="29">
        <f>IF(AQ33="7",BH33,0)</f>
        <v>0</v>
      </c>
      <c r="AE33" s="29">
        <f>IF(AQ33="7",BI33,0)</f>
        <v>0</v>
      </c>
      <c r="AF33" s="29">
        <f>IF(AQ33="2",BH33,0)</f>
        <v>0</v>
      </c>
      <c r="AG33" s="29">
        <f>IF(AQ33="2",BI33,0)</f>
        <v>0</v>
      </c>
      <c r="AH33" s="29">
        <f>IF(AQ33="0",BJ33,0)</f>
        <v>0</v>
      </c>
      <c r="AI33" s="48" t="s">
        <v>59</v>
      </c>
      <c r="AJ33" s="55">
        <f>IF(AN33=0,J33,0)</f>
        <v>0</v>
      </c>
      <c r="AK33" s="55">
        <f>IF(AN33=15,J33,0)</f>
        <v>0</v>
      </c>
      <c r="AL33" s="55">
        <f>IF(AN33=21,J33,0)</f>
        <v>0</v>
      </c>
      <c r="AN33" s="29">
        <v>15</v>
      </c>
      <c r="AO33" s="29">
        <f>G33*0.710773240660295</f>
        <v>818.0999999999996</v>
      </c>
      <c r="AP33" s="29">
        <f>G33*(1-0.710773240660295)</f>
        <v>332.90000000000043</v>
      </c>
      <c r="AQ33" s="51" t="s">
        <v>79</v>
      </c>
      <c r="AV33" s="29">
        <f>AW33+AX33</f>
        <v>0</v>
      </c>
      <c r="AW33" s="29">
        <f>F33*AO33</f>
        <v>0</v>
      </c>
      <c r="AX33" s="29">
        <f>F33*AP33</f>
        <v>0</v>
      </c>
      <c r="AY33" s="54" t="s">
        <v>635</v>
      </c>
      <c r="AZ33" s="54" t="s">
        <v>651</v>
      </c>
      <c r="BA33" s="48" t="s">
        <v>658</v>
      </c>
      <c r="BC33" s="29">
        <f>AW33+AX33</f>
        <v>0</v>
      </c>
      <c r="BD33" s="29">
        <f>G33/(100-BE33)*100</f>
        <v>1151</v>
      </c>
      <c r="BE33" s="29">
        <v>0</v>
      </c>
      <c r="BF33" s="29">
        <f>L33</f>
        <v>0</v>
      </c>
      <c r="BH33" s="55">
        <f>F33*AO33</f>
        <v>0</v>
      </c>
      <c r="BI33" s="55">
        <f>F33*AP33</f>
        <v>0</v>
      </c>
      <c r="BJ33" s="55">
        <f>F33*G33</f>
        <v>0</v>
      </c>
    </row>
    <row r="34" spans="1:62" ht="12.75">
      <c r="A34" s="36" t="s">
        <v>96</v>
      </c>
      <c r="B34" s="36" t="s">
        <v>59</v>
      </c>
      <c r="C34" s="36" t="s">
        <v>263</v>
      </c>
      <c r="D34" s="36" t="s">
        <v>451</v>
      </c>
      <c r="E34" s="36" t="s">
        <v>608</v>
      </c>
      <c r="F34" s="55">
        <f>'Stavební rozpočet'!F34</f>
        <v>0</v>
      </c>
      <c r="G34" s="55">
        <f>'Stavební rozpočet'!G34</f>
        <v>1826</v>
      </c>
      <c r="H34" s="55">
        <f>F34*AO34</f>
        <v>0</v>
      </c>
      <c r="I34" s="55">
        <f>F34*AP34</f>
        <v>0</v>
      </c>
      <c r="J34" s="55">
        <f>F34*G34</f>
        <v>0</v>
      </c>
      <c r="K34" s="55">
        <f>'Stavební rozpočet'!K34</f>
        <v>0.8147</v>
      </c>
      <c r="L34" s="55">
        <f>F34*K34</f>
        <v>0</v>
      </c>
      <c r="M34" s="51" t="s">
        <v>622</v>
      </c>
      <c r="Z34" s="29">
        <f>IF(AQ34="5",BJ34,0)</f>
        <v>0</v>
      </c>
      <c r="AB34" s="29">
        <f>IF(AQ34="1",BH34,0)</f>
        <v>0</v>
      </c>
      <c r="AC34" s="29">
        <f>IF(AQ34="1",BI34,0)</f>
        <v>0</v>
      </c>
      <c r="AD34" s="29">
        <f>IF(AQ34="7",BH34,0)</f>
        <v>0</v>
      </c>
      <c r="AE34" s="29">
        <f>IF(AQ34="7",BI34,0)</f>
        <v>0</v>
      </c>
      <c r="AF34" s="29">
        <f>IF(AQ34="2",BH34,0)</f>
        <v>0</v>
      </c>
      <c r="AG34" s="29">
        <f>IF(AQ34="2",BI34,0)</f>
        <v>0</v>
      </c>
      <c r="AH34" s="29">
        <f>IF(AQ34="0",BJ34,0)</f>
        <v>0</v>
      </c>
      <c r="AI34" s="48" t="s">
        <v>59</v>
      </c>
      <c r="AJ34" s="55">
        <f>IF(AN34=0,J34,0)</f>
        <v>0</v>
      </c>
      <c r="AK34" s="55">
        <f>IF(AN34=15,J34,0)</f>
        <v>0</v>
      </c>
      <c r="AL34" s="55">
        <f>IF(AN34=21,J34,0)</f>
        <v>0</v>
      </c>
      <c r="AN34" s="29">
        <v>15</v>
      </c>
      <c r="AO34" s="29">
        <f>G34*0.710766703176342</f>
        <v>1297.8600000000006</v>
      </c>
      <c r="AP34" s="29">
        <f>G34*(1-0.710766703176342)</f>
        <v>528.1399999999994</v>
      </c>
      <c r="AQ34" s="51" t="s">
        <v>79</v>
      </c>
      <c r="AV34" s="29">
        <f>AW34+AX34</f>
        <v>0</v>
      </c>
      <c r="AW34" s="29">
        <f>F34*AO34</f>
        <v>0</v>
      </c>
      <c r="AX34" s="29">
        <f>F34*AP34</f>
        <v>0</v>
      </c>
      <c r="AY34" s="54" t="s">
        <v>635</v>
      </c>
      <c r="AZ34" s="54" t="s">
        <v>651</v>
      </c>
      <c r="BA34" s="48" t="s">
        <v>658</v>
      </c>
      <c r="BC34" s="29">
        <f>AW34+AX34</f>
        <v>0</v>
      </c>
      <c r="BD34" s="29">
        <f>G34/(100-BE34)*100</f>
        <v>1826.0000000000002</v>
      </c>
      <c r="BE34" s="29">
        <v>0</v>
      </c>
      <c r="BF34" s="29">
        <f>L34</f>
        <v>0</v>
      </c>
      <c r="BH34" s="55">
        <f>F34*AO34</f>
        <v>0</v>
      </c>
      <c r="BI34" s="55">
        <f>F34*AP34</f>
        <v>0</v>
      </c>
      <c r="BJ34" s="55">
        <f>F34*G34</f>
        <v>0</v>
      </c>
    </row>
    <row r="35" spans="1:47" ht="12.75">
      <c r="A35" s="35"/>
      <c r="B35" s="42" t="s">
        <v>59</v>
      </c>
      <c r="C35" s="42" t="s">
        <v>172</v>
      </c>
      <c r="D35" s="42" t="s">
        <v>453</v>
      </c>
      <c r="E35" s="35" t="s">
        <v>57</v>
      </c>
      <c r="F35" s="35" t="s">
        <v>57</v>
      </c>
      <c r="G35" s="35" t="s">
        <v>57</v>
      </c>
      <c r="H35" s="59">
        <f>SUM(H36:H39)</f>
        <v>0</v>
      </c>
      <c r="I35" s="59">
        <f>SUM(I36:I39)</f>
        <v>0</v>
      </c>
      <c r="J35" s="59">
        <f>SUM(J36:J39)</f>
        <v>0</v>
      </c>
      <c r="K35" s="48"/>
      <c r="L35" s="59">
        <f>SUM(L36:L39)</f>
        <v>0</v>
      </c>
      <c r="M35" s="48"/>
      <c r="AI35" s="48" t="s">
        <v>59</v>
      </c>
      <c r="AS35" s="59">
        <f>SUM(AJ36:AJ39)</f>
        <v>0</v>
      </c>
      <c r="AT35" s="59">
        <f>SUM(AK36:AK39)</f>
        <v>0</v>
      </c>
      <c r="AU35" s="59">
        <f>SUM(AL36:AL39)</f>
        <v>0</v>
      </c>
    </row>
    <row r="36" spans="1:62" ht="12.75">
      <c r="A36" s="36" t="s">
        <v>97</v>
      </c>
      <c r="B36" s="36" t="s">
        <v>59</v>
      </c>
      <c r="C36" s="36" t="s">
        <v>264</v>
      </c>
      <c r="D36" s="36" t="s">
        <v>454</v>
      </c>
      <c r="E36" s="36" t="s">
        <v>608</v>
      </c>
      <c r="F36" s="55">
        <f>'Stavební rozpočet'!F36</f>
        <v>0</v>
      </c>
      <c r="G36" s="55">
        <f>'Stavební rozpočet'!G36</f>
        <v>108.49</v>
      </c>
      <c r="H36" s="55">
        <f>F36*AO36</f>
        <v>0</v>
      </c>
      <c r="I36" s="55">
        <f>F36*AP36</f>
        <v>0</v>
      </c>
      <c r="J36" s="55">
        <f>F36*G36</f>
        <v>0</v>
      </c>
      <c r="K36" s="55">
        <f>'Stavební rozpočet'!K36</f>
        <v>0.00158</v>
      </c>
      <c r="L36" s="55">
        <f>F36*K36</f>
        <v>0</v>
      </c>
      <c r="M36" s="51" t="s">
        <v>622</v>
      </c>
      <c r="Z36" s="29">
        <f>IF(AQ36="5",BJ36,0)</f>
        <v>0</v>
      </c>
      <c r="AB36" s="29">
        <f>IF(AQ36="1",BH36,0)</f>
        <v>0</v>
      </c>
      <c r="AC36" s="29">
        <f>IF(AQ36="1",BI36,0)</f>
        <v>0</v>
      </c>
      <c r="AD36" s="29">
        <f>IF(AQ36="7",BH36,0)</f>
        <v>0</v>
      </c>
      <c r="AE36" s="29">
        <f>IF(AQ36="7",BI36,0)</f>
        <v>0</v>
      </c>
      <c r="AF36" s="29">
        <f>IF(AQ36="2",BH36,0)</f>
        <v>0</v>
      </c>
      <c r="AG36" s="29">
        <f>IF(AQ36="2",BI36,0)</f>
        <v>0</v>
      </c>
      <c r="AH36" s="29">
        <f>IF(AQ36="0",BJ36,0)</f>
        <v>0</v>
      </c>
      <c r="AI36" s="48" t="s">
        <v>59</v>
      </c>
      <c r="AJ36" s="55">
        <f>IF(AN36=0,J36,0)</f>
        <v>0</v>
      </c>
      <c r="AK36" s="55">
        <f>IF(AN36=15,J36,0)</f>
        <v>0</v>
      </c>
      <c r="AL36" s="55">
        <f>IF(AN36=21,J36,0)</f>
        <v>0</v>
      </c>
      <c r="AN36" s="29">
        <v>15</v>
      </c>
      <c r="AO36" s="29">
        <f>G36*0.4197621900636</f>
        <v>45.539999999999964</v>
      </c>
      <c r="AP36" s="29">
        <f>G36*(1-0.4197621900636)</f>
        <v>62.95000000000004</v>
      </c>
      <c r="AQ36" s="51" t="s">
        <v>79</v>
      </c>
      <c r="AV36" s="29">
        <f>AW36+AX36</f>
        <v>0</v>
      </c>
      <c r="AW36" s="29">
        <f>F36*AO36</f>
        <v>0</v>
      </c>
      <c r="AX36" s="29">
        <f>F36*AP36</f>
        <v>0</v>
      </c>
      <c r="AY36" s="54" t="s">
        <v>636</v>
      </c>
      <c r="AZ36" s="54" t="s">
        <v>652</v>
      </c>
      <c r="BA36" s="48" t="s">
        <v>658</v>
      </c>
      <c r="BC36" s="29">
        <f>AW36+AX36</f>
        <v>0</v>
      </c>
      <c r="BD36" s="29">
        <f>G36/(100-BE36)*100</f>
        <v>108.49</v>
      </c>
      <c r="BE36" s="29">
        <v>0</v>
      </c>
      <c r="BF36" s="29">
        <f>L36</f>
        <v>0</v>
      </c>
      <c r="BH36" s="55">
        <f>F36*AO36</f>
        <v>0</v>
      </c>
      <c r="BI36" s="55">
        <f>F36*AP36</f>
        <v>0</v>
      </c>
      <c r="BJ36" s="55">
        <f>F36*G36</f>
        <v>0</v>
      </c>
    </row>
    <row r="37" spans="1:62" ht="12.75">
      <c r="A37" s="36" t="s">
        <v>98</v>
      </c>
      <c r="B37" s="36" t="s">
        <v>59</v>
      </c>
      <c r="C37" s="36" t="s">
        <v>265</v>
      </c>
      <c r="D37" s="36" t="s">
        <v>455</v>
      </c>
      <c r="E37" s="36" t="s">
        <v>610</v>
      </c>
      <c r="F37" s="55">
        <f>'Stavební rozpočet'!F37</f>
        <v>0</v>
      </c>
      <c r="G37" s="55">
        <f>'Stavební rozpočet'!G37</f>
        <v>11.8</v>
      </c>
      <c r="H37" s="55">
        <f>F37*AO37</f>
        <v>0</v>
      </c>
      <c r="I37" s="55">
        <f>F37*AP37</f>
        <v>0</v>
      </c>
      <c r="J37" s="55">
        <f>F37*G37</f>
        <v>0</v>
      </c>
      <c r="K37" s="55">
        <f>'Stavební rozpočet'!K37</f>
        <v>0.00735</v>
      </c>
      <c r="L37" s="55">
        <f>F37*K37</f>
        <v>0</v>
      </c>
      <c r="M37" s="51" t="s">
        <v>622</v>
      </c>
      <c r="Z37" s="29">
        <f>IF(AQ37="5",BJ37,0)</f>
        <v>0</v>
      </c>
      <c r="AB37" s="29">
        <f>IF(AQ37="1",BH37,0)</f>
        <v>0</v>
      </c>
      <c r="AC37" s="29">
        <f>IF(AQ37="1",BI37,0)</f>
        <v>0</v>
      </c>
      <c r="AD37" s="29">
        <f>IF(AQ37="7",BH37,0)</f>
        <v>0</v>
      </c>
      <c r="AE37" s="29">
        <f>IF(AQ37="7",BI37,0)</f>
        <v>0</v>
      </c>
      <c r="AF37" s="29">
        <f>IF(AQ37="2",BH37,0)</f>
        <v>0</v>
      </c>
      <c r="AG37" s="29">
        <f>IF(AQ37="2",BI37,0)</f>
        <v>0</v>
      </c>
      <c r="AH37" s="29">
        <f>IF(AQ37="0",BJ37,0)</f>
        <v>0</v>
      </c>
      <c r="AI37" s="48" t="s">
        <v>59</v>
      </c>
      <c r="AJ37" s="55">
        <f>IF(AN37=0,J37,0)</f>
        <v>0</v>
      </c>
      <c r="AK37" s="55">
        <f>IF(AN37=15,J37,0)</f>
        <v>0</v>
      </c>
      <c r="AL37" s="55">
        <f>IF(AN37=21,J37,0)</f>
        <v>0</v>
      </c>
      <c r="AN37" s="29">
        <v>15</v>
      </c>
      <c r="AO37" s="29">
        <f>G37*0.00169491525423729</f>
        <v>0.020000000000000025</v>
      </c>
      <c r="AP37" s="29">
        <f>G37*(1-0.00169491525423729)</f>
        <v>11.780000000000001</v>
      </c>
      <c r="AQ37" s="51" t="s">
        <v>79</v>
      </c>
      <c r="AV37" s="29">
        <f>AW37+AX37</f>
        <v>0</v>
      </c>
      <c r="AW37" s="29">
        <f>F37*AO37</f>
        <v>0</v>
      </c>
      <c r="AX37" s="29">
        <f>F37*AP37</f>
        <v>0</v>
      </c>
      <c r="AY37" s="54" t="s">
        <v>636</v>
      </c>
      <c r="AZ37" s="54" t="s">
        <v>652</v>
      </c>
      <c r="BA37" s="48" t="s">
        <v>658</v>
      </c>
      <c r="BC37" s="29">
        <f>AW37+AX37</f>
        <v>0</v>
      </c>
      <c r="BD37" s="29">
        <f>G37/(100-BE37)*100</f>
        <v>11.8</v>
      </c>
      <c r="BE37" s="29">
        <v>0</v>
      </c>
      <c r="BF37" s="29">
        <f>L37</f>
        <v>0</v>
      </c>
      <c r="BH37" s="55">
        <f>F37*AO37</f>
        <v>0</v>
      </c>
      <c r="BI37" s="55">
        <f>F37*AP37</f>
        <v>0</v>
      </c>
      <c r="BJ37" s="55">
        <f>F37*G37</f>
        <v>0</v>
      </c>
    </row>
    <row r="38" spans="1:62" ht="12.75">
      <c r="A38" s="36" t="s">
        <v>99</v>
      </c>
      <c r="B38" s="36" t="s">
        <v>59</v>
      </c>
      <c r="C38" s="36" t="s">
        <v>266</v>
      </c>
      <c r="D38" s="36" t="s">
        <v>456</v>
      </c>
      <c r="E38" s="36" t="s">
        <v>610</v>
      </c>
      <c r="F38" s="55">
        <f>'Stavební rozpočet'!F38</f>
        <v>0</v>
      </c>
      <c r="G38" s="55">
        <f>'Stavební rozpočet'!G38</f>
        <v>4.7</v>
      </c>
      <c r="H38" s="55">
        <f>F38*AO38</f>
        <v>0</v>
      </c>
      <c r="I38" s="55">
        <f>F38*AP38</f>
        <v>0</v>
      </c>
      <c r="J38" s="55">
        <f>F38*G38</f>
        <v>0</v>
      </c>
      <c r="K38" s="55">
        <f>'Stavební rozpočet'!K38</f>
        <v>0.00012</v>
      </c>
      <c r="L38" s="55">
        <f>F38*K38</f>
        <v>0</v>
      </c>
      <c r="M38" s="51" t="s">
        <v>622</v>
      </c>
      <c r="Z38" s="29">
        <f>IF(AQ38="5",BJ38,0)</f>
        <v>0</v>
      </c>
      <c r="AB38" s="29">
        <f>IF(AQ38="1",BH38,0)</f>
        <v>0</v>
      </c>
      <c r="AC38" s="29">
        <f>IF(AQ38="1",BI38,0)</f>
        <v>0</v>
      </c>
      <c r="AD38" s="29">
        <f>IF(AQ38="7",BH38,0)</f>
        <v>0</v>
      </c>
      <c r="AE38" s="29">
        <f>IF(AQ38="7",BI38,0)</f>
        <v>0</v>
      </c>
      <c r="AF38" s="29">
        <f>IF(AQ38="2",BH38,0)</f>
        <v>0</v>
      </c>
      <c r="AG38" s="29">
        <f>IF(AQ38="2",BI38,0)</f>
        <v>0</v>
      </c>
      <c r="AH38" s="29">
        <f>IF(AQ38="0",BJ38,0)</f>
        <v>0</v>
      </c>
      <c r="AI38" s="48" t="s">
        <v>59</v>
      </c>
      <c r="AJ38" s="55">
        <f>IF(AN38=0,J38,0)</f>
        <v>0</v>
      </c>
      <c r="AK38" s="55">
        <f>IF(AN38=15,J38,0)</f>
        <v>0</v>
      </c>
      <c r="AL38" s="55">
        <f>IF(AN38=21,J38,0)</f>
        <v>0</v>
      </c>
      <c r="AN38" s="29">
        <v>15</v>
      </c>
      <c r="AO38" s="29">
        <f>G38*0.929787234042553</f>
        <v>4.369999999999999</v>
      </c>
      <c r="AP38" s="29">
        <f>G38*(1-0.929787234042553)</f>
        <v>0.33000000000000074</v>
      </c>
      <c r="AQ38" s="51" t="s">
        <v>79</v>
      </c>
      <c r="AV38" s="29">
        <f>AW38+AX38</f>
        <v>0</v>
      </c>
      <c r="AW38" s="29">
        <f>F38*AO38</f>
        <v>0</v>
      </c>
      <c r="AX38" s="29">
        <f>F38*AP38</f>
        <v>0</v>
      </c>
      <c r="AY38" s="54" t="s">
        <v>636</v>
      </c>
      <c r="AZ38" s="54" t="s">
        <v>652</v>
      </c>
      <c r="BA38" s="48" t="s">
        <v>658</v>
      </c>
      <c r="BC38" s="29">
        <f>AW38+AX38</f>
        <v>0</v>
      </c>
      <c r="BD38" s="29">
        <f>G38/(100-BE38)*100</f>
        <v>4.7</v>
      </c>
      <c r="BE38" s="29">
        <v>0</v>
      </c>
      <c r="BF38" s="29">
        <f>L38</f>
        <v>0</v>
      </c>
      <c r="BH38" s="55">
        <f>F38*AO38</f>
        <v>0</v>
      </c>
      <c r="BI38" s="55">
        <f>F38*AP38</f>
        <v>0</v>
      </c>
      <c r="BJ38" s="55">
        <f>F38*G38</f>
        <v>0</v>
      </c>
    </row>
    <row r="39" spans="1:62" ht="12.75">
      <c r="A39" s="36" t="s">
        <v>100</v>
      </c>
      <c r="B39" s="36" t="s">
        <v>59</v>
      </c>
      <c r="C39" s="36" t="s">
        <v>267</v>
      </c>
      <c r="D39" s="36" t="s">
        <v>457</v>
      </c>
      <c r="E39" s="36" t="s">
        <v>610</v>
      </c>
      <c r="F39" s="55">
        <f>'Stavební rozpočet'!F39</f>
        <v>0</v>
      </c>
      <c r="G39" s="55">
        <f>'Stavební rozpočet'!G39</f>
        <v>6.9</v>
      </c>
      <c r="H39" s="55">
        <f>F39*AO39</f>
        <v>0</v>
      </c>
      <c r="I39" s="55">
        <f>F39*AP39</f>
        <v>0</v>
      </c>
      <c r="J39" s="55">
        <f>F39*G39</f>
        <v>0</v>
      </c>
      <c r="K39" s="55">
        <f>'Stavební rozpočet'!K39</f>
        <v>0</v>
      </c>
      <c r="L39" s="55">
        <f>F39*K39</f>
        <v>0</v>
      </c>
      <c r="M39" s="51" t="s">
        <v>622</v>
      </c>
      <c r="Z39" s="29">
        <f>IF(AQ39="5",BJ39,0)</f>
        <v>0</v>
      </c>
      <c r="AB39" s="29">
        <f>IF(AQ39="1",BH39,0)</f>
        <v>0</v>
      </c>
      <c r="AC39" s="29">
        <f>IF(AQ39="1",BI39,0)</f>
        <v>0</v>
      </c>
      <c r="AD39" s="29">
        <f>IF(AQ39="7",BH39,0)</f>
        <v>0</v>
      </c>
      <c r="AE39" s="29">
        <f>IF(AQ39="7",BI39,0)</f>
        <v>0</v>
      </c>
      <c r="AF39" s="29">
        <f>IF(AQ39="2",BH39,0)</f>
        <v>0</v>
      </c>
      <c r="AG39" s="29">
        <f>IF(AQ39="2",BI39,0)</f>
        <v>0</v>
      </c>
      <c r="AH39" s="29">
        <f>IF(AQ39="0",BJ39,0)</f>
        <v>0</v>
      </c>
      <c r="AI39" s="48" t="s">
        <v>59</v>
      </c>
      <c r="AJ39" s="55">
        <f>IF(AN39=0,J39,0)</f>
        <v>0</v>
      </c>
      <c r="AK39" s="55">
        <f>IF(AN39=15,J39,0)</f>
        <v>0</v>
      </c>
      <c r="AL39" s="55">
        <f>IF(AN39=21,J39,0)</f>
        <v>0</v>
      </c>
      <c r="AN39" s="29">
        <v>15</v>
      </c>
      <c r="AO39" s="29">
        <f>G39*0</f>
        <v>0</v>
      </c>
      <c r="AP39" s="29">
        <f>G39*(1-0)</f>
        <v>6.9</v>
      </c>
      <c r="AQ39" s="51" t="s">
        <v>79</v>
      </c>
      <c r="AV39" s="29">
        <f>AW39+AX39</f>
        <v>0</v>
      </c>
      <c r="AW39" s="29">
        <f>F39*AO39</f>
        <v>0</v>
      </c>
      <c r="AX39" s="29">
        <f>F39*AP39</f>
        <v>0</v>
      </c>
      <c r="AY39" s="54" t="s">
        <v>636</v>
      </c>
      <c r="AZ39" s="54" t="s">
        <v>652</v>
      </c>
      <c r="BA39" s="48" t="s">
        <v>658</v>
      </c>
      <c r="BC39" s="29">
        <f>AW39+AX39</f>
        <v>0</v>
      </c>
      <c r="BD39" s="29">
        <f>G39/(100-BE39)*100</f>
        <v>6.9</v>
      </c>
      <c r="BE39" s="29">
        <v>0</v>
      </c>
      <c r="BF39" s="29">
        <f>L39</f>
        <v>0</v>
      </c>
      <c r="BH39" s="55">
        <f>F39*AO39</f>
        <v>0</v>
      </c>
      <c r="BI39" s="55">
        <f>F39*AP39</f>
        <v>0</v>
      </c>
      <c r="BJ39" s="55">
        <f>F39*G39</f>
        <v>0</v>
      </c>
    </row>
    <row r="40" spans="1:47" ht="12.75">
      <c r="A40" s="35"/>
      <c r="B40" s="42" t="s">
        <v>59</v>
      </c>
      <c r="C40" s="42" t="s">
        <v>173</v>
      </c>
      <c r="D40" s="42" t="s">
        <v>458</v>
      </c>
      <c r="E40" s="35" t="s">
        <v>57</v>
      </c>
      <c r="F40" s="35" t="s">
        <v>57</v>
      </c>
      <c r="G40" s="35" t="s">
        <v>57</v>
      </c>
      <c r="H40" s="59">
        <f>SUM(H41:H44)</f>
        <v>0</v>
      </c>
      <c r="I40" s="59">
        <f>SUM(I41:I44)</f>
        <v>0</v>
      </c>
      <c r="J40" s="59">
        <f>SUM(J41:J44)</f>
        <v>0</v>
      </c>
      <c r="K40" s="48"/>
      <c r="L40" s="59">
        <f>SUM(L41:L44)</f>
        <v>0</v>
      </c>
      <c r="M40" s="48"/>
      <c r="AI40" s="48" t="s">
        <v>59</v>
      </c>
      <c r="AS40" s="59">
        <f>SUM(AJ41:AJ44)</f>
        <v>0</v>
      </c>
      <c r="AT40" s="59">
        <f>SUM(AK41:AK44)</f>
        <v>0</v>
      </c>
      <c r="AU40" s="59">
        <f>SUM(AL41:AL44)</f>
        <v>0</v>
      </c>
    </row>
    <row r="41" spans="1:62" ht="12.75">
      <c r="A41" s="36" t="s">
        <v>101</v>
      </c>
      <c r="B41" s="36" t="s">
        <v>59</v>
      </c>
      <c r="C41" s="36" t="s">
        <v>268</v>
      </c>
      <c r="D41" s="36" t="s">
        <v>459</v>
      </c>
      <c r="E41" s="36" t="s">
        <v>608</v>
      </c>
      <c r="F41" s="55">
        <f>'Stavební rozpočet'!F41</f>
        <v>0</v>
      </c>
      <c r="G41" s="55">
        <f>'Stavební rozpočet'!G41</f>
        <v>86.5</v>
      </c>
      <c r="H41" s="55">
        <f>F41*AO41</f>
        <v>0</v>
      </c>
      <c r="I41" s="55">
        <f>F41*AP41</f>
        <v>0</v>
      </c>
      <c r="J41" s="55">
        <f>F41*G41</f>
        <v>0</v>
      </c>
      <c r="K41" s="55">
        <f>'Stavební rozpočet'!K41</f>
        <v>4E-05</v>
      </c>
      <c r="L41" s="55">
        <f>F41*K41</f>
        <v>0</v>
      </c>
      <c r="M41" s="51" t="s">
        <v>622</v>
      </c>
      <c r="Z41" s="29">
        <f>IF(AQ41="5",BJ41,0)</f>
        <v>0</v>
      </c>
      <c r="AB41" s="29">
        <f>IF(AQ41="1",BH41,0)</f>
        <v>0</v>
      </c>
      <c r="AC41" s="29">
        <f>IF(AQ41="1",BI41,0)</f>
        <v>0</v>
      </c>
      <c r="AD41" s="29">
        <f>IF(AQ41="7",BH41,0)</f>
        <v>0</v>
      </c>
      <c r="AE41" s="29">
        <f>IF(AQ41="7",BI41,0)</f>
        <v>0</v>
      </c>
      <c r="AF41" s="29">
        <f>IF(AQ41="2",BH41,0)</f>
        <v>0</v>
      </c>
      <c r="AG41" s="29">
        <f>IF(AQ41="2",BI41,0)</f>
        <v>0</v>
      </c>
      <c r="AH41" s="29">
        <f>IF(AQ41="0",BJ41,0)</f>
        <v>0</v>
      </c>
      <c r="AI41" s="48" t="s">
        <v>59</v>
      </c>
      <c r="AJ41" s="55">
        <f>IF(AN41=0,J41,0)</f>
        <v>0</v>
      </c>
      <c r="AK41" s="55">
        <f>IF(AN41=15,J41,0)</f>
        <v>0</v>
      </c>
      <c r="AL41" s="55">
        <f>IF(AN41=21,J41,0)</f>
        <v>0</v>
      </c>
      <c r="AN41" s="29">
        <v>15</v>
      </c>
      <c r="AO41" s="29">
        <f>G41*0.0165317919075144</f>
        <v>1.4299999999999957</v>
      </c>
      <c r="AP41" s="29">
        <f>G41*(1-0.0165317919075144)</f>
        <v>85.07000000000001</v>
      </c>
      <c r="AQ41" s="51" t="s">
        <v>79</v>
      </c>
      <c r="AV41" s="29">
        <f>AW41+AX41</f>
        <v>0</v>
      </c>
      <c r="AW41" s="29">
        <f>F41*AO41</f>
        <v>0</v>
      </c>
      <c r="AX41" s="29">
        <f>F41*AP41</f>
        <v>0</v>
      </c>
      <c r="AY41" s="54" t="s">
        <v>637</v>
      </c>
      <c r="AZ41" s="54" t="s">
        <v>652</v>
      </c>
      <c r="BA41" s="48" t="s">
        <v>658</v>
      </c>
      <c r="BC41" s="29">
        <f>AW41+AX41</f>
        <v>0</v>
      </c>
      <c r="BD41" s="29">
        <f>G41/(100-BE41)*100</f>
        <v>86.5</v>
      </c>
      <c r="BE41" s="29">
        <v>0</v>
      </c>
      <c r="BF41" s="29">
        <f>L41</f>
        <v>0</v>
      </c>
      <c r="BH41" s="55">
        <f>F41*AO41</f>
        <v>0</v>
      </c>
      <c r="BI41" s="55">
        <f>F41*AP41</f>
        <v>0</v>
      </c>
      <c r="BJ41" s="55">
        <f>F41*G41</f>
        <v>0</v>
      </c>
    </row>
    <row r="42" spans="1:62" ht="12.75">
      <c r="A42" s="36" t="s">
        <v>102</v>
      </c>
      <c r="B42" s="36" t="s">
        <v>59</v>
      </c>
      <c r="C42" s="36" t="s">
        <v>269</v>
      </c>
      <c r="D42" s="36" t="s">
        <v>460</v>
      </c>
      <c r="E42" s="36" t="s">
        <v>606</v>
      </c>
      <c r="F42" s="55">
        <f>'Stavební rozpočet'!F42</f>
        <v>0</v>
      </c>
      <c r="G42" s="55">
        <f>'Stavební rozpočet'!G42</f>
        <v>1830</v>
      </c>
      <c r="H42" s="55">
        <f>F42*AO42</f>
        <v>0</v>
      </c>
      <c r="I42" s="55">
        <f>F42*AP42</f>
        <v>0</v>
      </c>
      <c r="J42" s="55">
        <f>F42*G42</f>
        <v>0</v>
      </c>
      <c r="K42" s="55">
        <f>'Stavební rozpočet'!K42</f>
        <v>0.0065</v>
      </c>
      <c r="L42" s="55">
        <f>F42*K42</f>
        <v>0</v>
      </c>
      <c r="M42" s="51" t="s">
        <v>622</v>
      </c>
      <c r="Z42" s="29">
        <f>IF(AQ42="5",BJ42,0)</f>
        <v>0</v>
      </c>
      <c r="AB42" s="29">
        <f>IF(AQ42="1",BH42,0)</f>
        <v>0</v>
      </c>
      <c r="AC42" s="29">
        <f>IF(AQ42="1",BI42,0)</f>
        <v>0</v>
      </c>
      <c r="AD42" s="29">
        <f>IF(AQ42="7",BH42,0)</f>
        <v>0</v>
      </c>
      <c r="AE42" s="29">
        <f>IF(AQ42="7",BI42,0)</f>
        <v>0</v>
      </c>
      <c r="AF42" s="29">
        <f>IF(AQ42="2",BH42,0)</f>
        <v>0</v>
      </c>
      <c r="AG42" s="29">
        <f>IF(AQ42="2",BI42,0)</f>
        <v>0</v>
      </c>
      <c r="AH42" s="29">
        <f>IF(AQ42="0",BJ42,0)</f>
        <v>0</v>
      </c>
      <c r="AI42" s="48" t="s">
        <v>59</v>
      </c>
      <c r="AJ42" s="55">
        <f>IF(AN42=0,J42,0)</f>
        <v>0</v>
      </c>
      <c r="AK42" s="55">
        <f>IF(AN42=15,J42,0)</f>
        <v>0</v>
      </c>
      <c r="AL42" s="55">
        <f>IF(AN42=21,J42,0)</f>
        <v>0</v>
      </c>
      <c r="AN42" s="29">
        <v>15</v>
      </c>
      <c r="AO42" s="29">
        <f>G42*0.7767</f>
        <v>1421.3609999999999</v>
      </c>
      <c r="AP42" s="29">
        <f>G42*(1-0.7767)</f>
        <v>408.6390000000001</v>
      </c>
      <c r="AQ42" s="51" t="s">
        <v>79</v>
      </c>
      <c r="AV42" s="29">
        <f>AW42+AX42</f>
        <v>0</v>
      </c>
      <c r="AW42" s="29">
        <f>F42*AO42</f>
        <v>0</v>
      </c>
      <c r="AX42" s="29">
        <f>F42*AP42</f>
        <v>0</v>
      </c>
      <c r="AY42" s="54" t="s">
        <v>637</v>
      </c>
      <c r="AZ42" s="54" t="s">
        <v>652</v>
      </c>
      <c r="BA42" s="48" t="s">
        <v>658</v>
      </c>
      <c r="BC42" s="29">
        <f>AW42+AX42</f>
        <v>0</v>
      </c>
      <c r="BD42" s="29">
        <f>G42/(100-BE42)*100</f>
        <v>1830</v>
      </c>
      <c r="BE42" s="29">
        <v>0</v>
      </c>
      <c r="BF42" s="29">
        <f>L42</f>
        <v>0</v>
      </c>
      <c r="BH42" s="55">
        <f>F42*AO42</f>
        <v>0</v>
      </c>
      <c r="BI42" s="55">
        <f>F42*AP42</f>
        <v>0</v>
      </c>
      <c r="BJ42" s="55">
        <f>F42*G42</f>
        <v>0</v>
      </c>
    </row>
    <row r="43" spans="1:62" ht="12.75">
      <c r="A43" s="36" t="s">
        <v>103</v>
      </c>
      <c r="B43" s="36" t="s">
        <v>59</v>
      </c>
      <c r="C43" s="36" t="s">
        <v>270</v>
      </c>
      <c r="D43" s="36" t="s">
        <v>461</v>
      </c>
      <c r="E43" s="36" t="s">
        <v>606</v>
      </c>
      <c r="F43" s="55">
        <f>'Stavební rozpočet'!F43</f>
        <v>0</v>
      </c>
      <c r="G43" s="55">
        <f>'Stavební rozpočet'!G43</f>
        <v>1500</v>
      </c>
      <c r="H43" s="55">
        <f>F43*AO43</f>
        <v>0</v>
      </c>
      <c r="I43" s="55">
        <f>F43*AP43</f>
        <v>0</v>
      </c>
      <c r="J43" s="55">
        <f>F43*G43</f>
        <v>0</v>
      </c>
      <c r="K43" s="55">
        <f>'Stavební rozpočet'!K43</f>
        <v>0.0005</v>
      </c>
      <c r="L43" s="55">
        <f>F43*K43</f>
        <v>0</v>
      </c>
      <c r="M43" s="51" t="s">
        <v>622</v>
      </c>
      <c r="Z43" s="29">
        <f>IF(AQ43="5",BJ43,0)</f>
        <v>0</v>
      </c>
      <c r="AB43" s="29">
        <f>IF(AQ43="1",BH43,0)</f>
        <v>0</v>
      </c>
      <c r="AC43" s="29">
        <f>IF(AQ43="1",BI43,0)</f>
        <v>0</v>
      </c>
      <c r="AD43" s="29">
        <f>IF(AQ43="7",BH43,0)</f>
        <v>0</v>
      </c>
      <c r="AE43" s="29">
        <f>IF(AQ43="7",BI43,0)</f>
        <v>0</v>
      </c>
      <c r="AF43" s="29">
        <f>IF(AQ43="2",BH43,0)</f>
        <v>0</v>
      </c>
      <c r="AG43" s="29">
        <f>IF(AQ43="2",BI43,0)</f>
        <v>0</v>
      </c>
      <c r="AH43" s="29">
        <f>IF(AQ43="0",BJ43,0)</f>
        <v>0</v>
      </c>
      <c r="AI43" s="48" t="s">
        <v>59</v>
      </c>
      <c r="AJ43" s="55">
        <f>IF(AN43=0,J43,0)</f>
        <v>0</v>
      </c>
      <c r="AK43" s="55">
        <f>IF(AN43=15,J43,0)</f>
        <v>0</v>
      </c>
      <c r="AL43" s="55">
        <f>IF(AN43=21,J43,0)</f>
        <v>0</v>
      </c>
      <c r="AN43" s="29">
        <v>15</v>
      </c>
      <c r="AO43" s="29">
        <f>G43*0.196713333333333</f>
        <v>295.0699999999995</v>
      </c>
      <c r="AP43" s="29">
        <f>G43*(1-0.196713333333333)</f>
        <v>1204.9300000000005</v>
      </c>
      <c r="AQ43" s="51" t="s">
        <v>79</v>
      </c>
      <c r="AV43" s="29">
        <f>AW43+AX43</f>
        <v>0</v>
      </c>
      <c r="AW43" s="29">
        <f>F43*AO43</f>
        <v>0</v>
      </c>
      <c r="AX43" s="29">
        <f>F43*AP43</f>
        <v>0</v>
      </c>
      <c r="AY43" s="54" t="s">
        <v>637</v>
      </c>
      <c r="AZ43" s="54" t="s">
        <v>652</v>
      </c>
      <c r="BA43" s="48" t="s">
        <v>658</v>
      </c>
      <c r="BC43" s="29">
        <f>AW43+AX43</f>
        <v>0</v>
      </c>
      <c r="BD43" s="29">
        <f>G43/(100-BE43)*100</f>
        <v>1500</v>
      </c>
      <c r="BE43" s="29">
        <v>0</v>
      </c>
      <c r="BF43" s="29">
        <f>L43</f>
        <v>0</v>
      </c>
      <c r="BH43" s="55">
        <f>F43*AO43</f>
        <v>0</v>
      </c>
      <c r="BI43" s="55">
        <f>F43*AP43</f>
        <v>0</v>
      </c>
      <c r="BJ43" s="55">
        <f>F43*G43</f>
        <v>0</v>
      </c>
    </row>
    <row r="44" spans="1:62" ht="12.75">
      <c r="A44" s="36" t="s">
        <v>104</v>
      </c>
      <c r="B44" s="36" t="s">
        <v>59</v>
      </c>
      <c r="C44" s="36" t="s">
        <v>271</v>
      </c>
      <c r="D44" s="36" t="s">
        <v>462</v>
      </c>
      <c r="E44" s="36" t="s">
        <v>611</v>
      </c>
      <c r="F44" s="55">
        <f>'Stavební rozpočet'!F44</f>
        <v>0</v>
      </c>
      <c r="G44" s="55">
        <f>'Stavební rozpočet'!G44</f>
        <v>290</v>
      </c>
      <c r="H44" s="55">
        <f>F44*AO44</f>
        <v>0</v>
      </c>
      <c r="I44" s="55">
        <f>F44*AP44</f>
        <v>0</v>
      </c>
      <c r="J44" s="55">
        <f>F44*G44</f>
        <v>0</v>
      </c>
      <c r="K44" s="55">
        <f>'Stavební rozpočet'!K44</f>
        <v>0</v>
      </c>
      <c r="L44" s="55">
        <f>F44*K44</f>
        <v>0</v>
      </c>
      <c r="M44" s="51" t="s">
        <v>622</v>
      </c>
      <c r="Z44" s="29">
        <f>IF(AQ44="5",BJ44,0)</f>
        <v>0</v>
      </c>
      <c r="AB44" s="29">
        <f>IF(AQ44="1",BH44,0)</f>
        <v>0</v>
      </c>
      <c r="AC44" s="29">
        <f>IF(AQ44="1",BI44,0)</f>
        <v>0</v>
      </c>
      <c r="AD44" s="29">
        <f>IF(AQ44="7",BH44,0)</f>
        <v>0</v>
      </c>
      <c r="AE44" s="29">
        <f>IF(AQ44="7",BI44,0)</f>
        <v>0</v>
      </c>
      <c r="AF44" s="29">
        <f>IF(AQ44="2",BH44,0)</f>
        <v>0</v>
      </c>
      <c r="AG44" s="29">
        <f>IF(AQ44="2",BI44,0)</f>
        <v>0</v>
      </c>
      <c r="AH44" s="29">
        <f>IF(AQ44="0",BJ44,0)</f>
        <v>0</v>
      </c>
      <c r="AI44" s="48" t="s">
        <v>59</v>
      </c>
      <c r="AJ44" s="55">
        <f>IF(AN44=0,J44,0)</f>
        <v>0</v>
      </c>
      <c r="AK44" s="55">
        <f>IF(AN44=15,J44,0)</f>
        <v>0</v>
      </c>
      <c r="AL44" s="55">
        <f>IF(AN44=21,J44,0)</f>
        <v>0</v>
      </c>
      <c r="AN44" s="29">
        <v>15</v>
      </c>
      <c r="AO44" s="29">
        <f>G44*0.469344827586207</f>
        <v>136.11</v>
      </c>
      <c r="AP44" s="29">
        <f>G44*(1-0.469344827586207)</f>
        <v>153.89</v>
      </c>
      <c r="AQ44" s="51" t="s">
        <v>79</v>
      </c>
      <c r="AV44" s="29">
        <f>AW44+AX44</f>
        <v>0</v>
      </c>
      <c r="AW44" s="29">
        <f>F44*AO44</f>
        <v>0</v>
      </c>
      <c r="AX44" s="29">
        <f>F44*AP44</f>
        <v>0</v>
      </c>
      <c r="AY44" s="54" t="s">
        <v>637</v>
      </c>
      <c r="AZ44" s="54" t="s">
        <v>652</v>
      </c>
      <c r="BA44" s="48" t="s">
        <v>658</v>
      </c>
      <c r="BC44" s="29">
        <f>AW44+AX44</f>
        <v>0</v>
      </c>
      <c r="BD44" s="29">
        <f>G44/(100-BE44)*100</f>
        <v>290</v>
      </c>
      <c r="BE44" s="29">
        <v>0</v>
      </c>
      <c r="BF44" s="29">
        <f>L44</f>
        <v>0</v>
      </c>
      <c r="BH44" s="55">
        <f>F44*AO44</f>
        <v>0</v>
      </c>
      <c r="BI44" s="55">
        <f>F44*AP44</f>
        <v>0</v>
      </c>
      <c r="BJ44" s="55">
        <f>F44*G44</f>
        <v>0</v>
      </c>
    </row>
    <row r="45" spans="1:47" ht="12.75">
      <c r="A45" s="35"/>
      <c r="B45" s="42" t="s">
        <v>59</v>
      </c>
      <c r="C45" s="42" t="s">
        <v>174</v>
      </c>
      <c r="D45" s="42" t="s">
        <v>463</v>
      </c>
      <c r="E45" s="35" t="s">
        <v>57</v>
      </c>
      <c r="F45" s="35" t="s">
        <v>57</v>
      </c>
      <c r="G45" s="35" t="s">
        <v>57</v>
      </c>
      <c r="H45" s="59">
        <f>SUM(H46:H51)</f>
        <v>0</v>
      </c>
      <c r="I45" s="59">
        <f>SUM(I46:I51)</f>
        <v>0</v>
      </c>
      <c r="J45" s="59">
        <f>SUM(J46:J51)</f>
        <v>0</v>
      </c>
      <c r="K45" s="48"/>
      <c r="L45" s="59">
        <f>SUM(L46:L51)</f>
        <v>0</v>
      </c>
      <c r="M45" s="48"/>
      <c r="AI45" s="48" t="s">
        <v>59</v>
      </c>
      <c r="AS45" s="59">
        <f>SUM(AJ46:AJ51)</f>
        <v>0</v>
      </c>
      <c r="AT45" s="59">
        <f>SUM(AK46:AK51)</f>
        <v>0</v>
      </c>
      <c r="AU45" s="59">
        <f>SUM(AL46:AL51)</f>
        <v>0</v>
      </c>
    </row>
    <row r="46" spans="1:62" ht="12.75">
      <c r="A46" s="36" t="s">
        <v>105</v>
      </c>
      <c r="B46" s="36" t="s">
        <v>59</v>
      </c>
      <c r="C46" s="36" t="s">
        <v>272</v>
      </c>
      <c r="D46" s="36" t="s">
        <v>464</v>
      </c>
      <c r="E46" s="36" t="s">
        <v>608</v>
      </c>
      <c r="F46" s="55">
        <f>'Stavební rozpočet'!F46</f>
        <v>0</v>
      </c>
      <c r="G46" s="55">
        <f>'Stavební rozpočet'!G46</f>
        <v>69.6</v>
      </c>
      <c r="H46" s="55">
        <f aca="true" t="shared" si="24" ref="H46:H51">F46*AO46</f>
        <v>0</v>
      </c>
      <c r="I46" s="55">
        <f aca="true" t="shared" si="25" ref="I46:I51">F46*AP46</f>
        <v>0</v>
      </c>
      <c r="J46" s="55">
        <f aca="true" t="shared" si="26" ref="J46:J51">F46*G46</f>
        <v>0</v>
      </c>
      <c r="K46" s="55">
        <f>'Stavební rozpočet'!K46</f>
        <v>0.11367</v>
      </c>
      <c r="L46" s="55">
        <f aca="true" t="shared" si="27" ref="L46:L51">F46*K46</f>
        <v>0</v>
      </c>
      <c r="M46" s="51" t="s">
        <v>622</v>
      </c>
      <c r="Z46" s="29">
        <f aca="true" t="shared" si="28" ref="Z46:Z51">IF(AQ46="5",BJ46,0)</f>
        <v>0</v>
      </c>
      <c r="AB46" s="29">
        <f aca="true" t="shared" si="29" ref="AB46:AB51">IF(AQ46="1",BH46,0)</f>
        <v>0</v>
      </c>
      <c r="AC46" s="29">
        <f aca="true" t="shared" si="30" ref="AC46:AC51">IF(AQ46="1",BI46,0)</f>
        <v>0</v>
      </c>
      <c r="AD46" s="29">
        <f aca="true" t="shared" si="31" ref="AD46:AD51">IF(AQ46="7",BH46,0)</f>
        <v>0</v>
      </c>
      <c r="AE46" s="29">
        <f aca="true" t="shared" si="32" ref="AE46:AE51">IF(AQ46="7",BI46,0)</f>
        <v>0</v>
      </c>
      <c r="AF46" s="29">
        <f aca="true" t="shared" si="33" ref="AF46:AF51">IF(AQ46="2",BH46,0)</f>
        <v>0</v>
      </c>
      <c r="AG46" s="29">
        <f aca="true" t="shared" si="34" ref="AG46:AG51">IF(AQ46="2",BI46,0)</f>
        <v>0</v>
      </c>
      <c r="AH46" s="29">
        <f aca="true" t="shared" si="35" ref="AH46:AH51">IF(AQ46="0",BJ46,0)</f>
        <v>0</v>
      </c>
      <c r="AI46" s="48" t="s">
        <v>59</v>
      </c>
      <c r="AJ46" s="55">
        <f aca="true" t="shared" si="36" ref="AJ46:AJ51">IF(AN46=0,J46,0)</f>
        <v>0</v>
      </c>
      <c r="AK46" s="55">
        <f aca="true" t="shared" si="37" ref="AK46:AK51">IF(AN46=15,J46,0)</f>
        <v>0</v>
      </c>
      <c r="AL46" s="55">
        <f aca="true" t="shared" si="38" ref="AL46:AL51">IF(AN46=21,J46,0)</f>
        <v>0</v>
      </c>
      <c r="AN46" s="29">
        <v>15</v>
      </c>
      <c r="AO46" s="29">
        <f>G46*0.227587813746602</f>
        <v>15.840111836763498</v>
      </c>
      <c r="AP46" s="29">
        <f>G46*(1-0.227587813746602)</f>
        <v>53.759888163236496</v>
      </c>
      <c r="AQ46" s="51" t="s">
        <v>79</v>
      </c>
      <c r="AV46" s="29">
        <f aca="true" t="shared" si="39" ref="AV46:AV51">AW46+AX46</f>
        <v>0</v>
      </c>
      <c r="AW46" s="29">
        <f aca="true" t="shared" si="40" ref="AW46:AW51">F46*AO46</f>
        <v>0</v>
      </c>
      <c r="AX46" s="29">
        <f aca="true" t="shared" si="41" ref="AX46:AX51">F46*AP46</f>
        <v>0</v>
      </c>
      <c r="AY46" s="54" t="s">
        <v>638</v>
      </c>
      <c r="AZ46" s="54" t="s">
        <v>652</v>
      </c>
      <c r="BA46" s="48" t="s">
        <v>658</v>
      </c>
      <c r="BC46" s="29">
        <f aca="true" t="shared" si="42" ref="BC46:BC51">AW46+AX46</f>
        <v>0</v>
      </c>
      <c r="BD46" s="29">
        <f aca="true" t="shared" si="43" ref="BD46:BD51">G46/(100-BE46)*100</f>
        <v>69.6</v>
      </c>
      <c r="BE46" s="29">
        <v>0</v>
      </c>
      <c r="BF46" s="29">
        <f aca="true" t="shared" si="44" ref="BF46:BF51">L46</f>
        <v>0</v>
      </c>
      <c r="BH46" s="55">
        <f aca="true" t="shared" si="45" ref="BH46:BH51">F46*AO46</f>
        <v>0</v>
      </c>
      <c r="BI46" s="55">
        <f aca="true" t="shared" si="46" ref="BI46:BI51">F46*AP46</f>
        <v>0</v>
      </c>
      <c r="BJ46" s="55">
        <f aca="true" t="shared" si="47" ref="BJ46:BJ51">F46*G46</f>
        <v>0</v>
      </c>
    </row>
    <row r="47" spans="1:62" ht="12.75">
      <c r="A47" s="36" t="s">
        <v>106</v>
      </c>
      <c r="B47" s="36" t="s">
        <v>59</v>
      </c>
      <c r="C47" s="36" t="s">
        <v>273</v>
      </c>
      <c r="D47" s="36" t="s">
        <v>465</v>
      </c>
      <c r="E47" s="36" t="s">
        <v>608</v>
      </c>
      <c r="F47" s="55">
        <f>'Stavební rozpočet'!F47</f>
        <v>0</v>
      </c>
      <c r="G47" s="55">
        <f>'Stavební rozpočet'!G47</f>
        <v>82.59</v>
      </c>
      <c r="H47" s="55">
        <f t="shared" si="24"/>
        <v>0</v>
      </c>
      <c r="I47" s="55">
        <f t="shared" si="25"/>
        <v>0</v>
      </c>
      <c r="J47" s="55">
        <f t="shared" si="26"/>
        <v>0</v>
      </c>
      <c r="K47" s="55">
        <f>'Stavební rozpočet'!K47</f>
        <v>0.11767</v>
      </c>
      <c r="L47" s="55">
        <f t="shared" si="27"/>
        <v>0</v>
      </c>
      <c r="M47" s="51" t="s">
        <v>622</v>
      </c>
      <c r="Z47" s="29">
        <f t="shared" si="28"/>
        <v>0</v>
      </c>
      <c r="AB47" s="29">
        <f t="shared" si="29"/>
        <v>0</v>
      </c>
      <c r="AC47" s="29">
        <f t="shared" si="30"/>
        <v>0</v>
      </c>
      <c r="AD47" s="29">
        <f t="shared" si="31"/>
        <v>0</v>
      </c>
      <c r="AE47" s="29">
        <f t="shared" si="32"/>
        <v>0</v>
      </c>
      <c r="AF47" s="29">
        <f t="shared" si="33"/>
        <v>0</v>
      </c>
      <c r="AG47" s="29">
        <f t="shared" si="34"/>
        <v>0</v>
      </c>
      <c r="AH47" s="29">
        <f t="shared" si="35"/>
        <v>0</v>
      </c>
      <c r="AI47" s="48" t="s">
        <v>59</v>
      </c>
      <c r="AJ47" s="55">
        <f t="shared" si="36"/>
        <v>0</v>
      </c>
      <c r="AK47" s="55">
        <f t="shared" si="37"/>
        <v>0</v>
      </c>
      <c r="AL47" s="55">
        <f t="shared" si="38"/>
        <v>0</v>
      </c>
      <c r="AN47" s="29">
        <v>15</v>
      </c>
      <c r="AO47" s="29">
        <f>G47*0.1917903930131</f>
        <v>15.839968558951929</v>
      </c>
      <c r="AP47" s="29">
        <f>G47*(1-0.1917903930131)</f>
        <v>66.75003144104808</v>
      </c>
      <c r="AQ47" s="51" t="s">
        <v>79</v>
      </c>
      <c r="AV47" s="29">
        <f t="shared" si="39"/>
        <v>0</v>
      </c>
      <c r="AW47" s="29">
        <f t="shared" si="40"/>
        <v>0</v>
      </c>
      <c r="AX47" s="29">
        <f t="shared" si="41"/>
        <v>0</v>
      </c>
      <c r="AY47" s="54" t="s">
        <v>638</v>
      </c>
      <c r="AZ47" s="54" t="s">
        <v>652</v>
      </c>
      <c r="BA47" s="48" t="s">
        <v>658</v>
      </c>
      <c r="BC47" s="29">
        <f t="shared" si="42"/>
        <v>0</v>
      </c>
      <c r="BD47" s="29">
        <f t="shared" si="43"/>
        <v>82.59</v>
      </c>
      <c r="BE47" s="29">
        <v>0</v>
      </c>
      <c r="BF47" s="29">
        <f t="shared" si="44"/>
        <v>0</v>
      </c>
      <c r="BH47" s="55">
        <f t="shared" si="45"/>
        <v>0</v>
      </c>
      <c r="BI47" s="55">
        <f t="shared" si="46"/>
        <v>0</v>
      </c>
      <c r="BJ47" s="55">
        <f t="shared" si="47"/>
        <v>0</v>
      </c>
    </row>
    <row r="48" spans="1:62" ht="12.75">
      <c r="A48" s="36" t="s">
        <v>107</v>
      </c>
      <c r="B48" s="36" t="s">
        <v>59</v>
      </c>
      <c r="C48" s="36" t="s">
        <v>274</v>
      </c>
      <c r="D48" s="36" t="s">
        <v>466</v>
      </c>
      <c r="E48" s="36" t="s">
        <v>610</v>
      </c>
      <c r="F48" s="55">
        <f>'Stavební rozpočet'!F48</f>
        <v>0</v>
      </c>
      <c r="G48" s="55">
        <f>'Stavební rozpočet'!G48</f>
        <v>528.01</v>
      </c>
      <c r="H48" s="55">
        <f t="shared" si="24"/>
        <v>0</v>
      </c>
      <c r="I48" s="55">
        <f t="shared" si="25"/>
        <v>0</v>
      </c>
      <c r="J48" s="55">
        <f t="shared" si="26"/>
        <v>0</v>
      </c>
      <c r="K48" s="55">
        <f>'Stavební rozpočet'!K48</f>
        <v>1.1761</v>
      </c>
      <c r="L48" s="55">
        <f t="shared" si="27"/>
        <v>0</v>
      </c>
      <c r="M48" s="51" t="s">
        <v>622</v>
      </c>
      <c r="Z48" s="29">
        <f t="shared" si="28"/>
        <v>0</v>
      </c>
      <c r="AB48" s="29">
        <f t="shared" si="29"/>
        <v>0</v>
      </c>
      <c r="AC48" s="29">
        <f t="shared" si="30"/>
        <v>0</v>
      </c>
      <c r="AD48" s="29">
        <f t="shared" si="31"/>
        <v>0</v>
      </c>
      <c r="AE48" s="29">
        <f t="shared" si="32"/>
        <v>0</v>
      </c>
      <c r="AF48" s="29">
        <f t="shared" si="33"/>
        <v>0</v>
      </c>
      <c r="AG48" s="29">
        <f t="shared" si="34"/>
        <v>0</v>
      </c>
      <c r="AH48" s="29">
        <f t="shared" si="35"/>
        <v>0</v>
      </c>
      <c r="AI48" s="48" t="s">
        <v>59</v>
      </c>
      <c r="AJ48" s="55">
        <f t="shared" si="36"/>
        <v>0</v>
      </c>
      <c r="AK48" s="55">
        <f t="shared" si="37"/>
        <v>0</v>
      </c>
      <c r="AL48" s="55">
        <f t="shared" si="38"/>
        <v>0</v>
      </c>
      <c r="AN48" s="29">
        <v>15</v>
      </c>
      <c r="AO48" s="29">
        <f>G48*0.049733823854021</f>
        <v>26.25995633316163</v>
      </c>
      <c r="AP48" s="29">
        <f>G48*(1-0.049733823854021)</f>
        <v>501.75004366683834</v>
      </c>
      <c r="AQ48" s="51" t="s">
        <v>79</v>
      </c>
      <c r="AV48" s="29">
        <f t="shared" si="39"/>
        <v>0</v>
      </c>
      <c r="AW48" s="29">
        <f t="shared" si="40"/>
        <v>0</v>
      </c>
      <c r="AX48" s="29">
        <f t="shared" si="41"/>
        <v>0</v>
      </c>
      <c r="AY48" s="54" t="s">
        <v>638</v>
      </c>
      <c r="AZ48" s="54" t="s">
        <v>652</v>
      </c>
      <c r="BA48" s="48" t="s">
        <v>658</v>
      </c>
      <c r="BC48" s="29">
        <f t="shared" si="42"/>
        <v>0</v>
      </c>
      <c r="BD48" s="29">
        <f t="shared" si="43"/>
        <v>528.01</v>
      </c>
      <c r="BE48" s="29">
        <v>0</v>
      </c>
      <c r="BF48" s="29">
        <f t="shared" si="44"/>
        <v>0</v>
      </c>
      <c r="BH48" s="55">
        <f t="shared" si="45"/>
        <v>0</v>
      </c>
      <c r="BI48" s="55">
        <f t="shared" si="46"/>
        <v>0</v>
      </c>
      <c r="BJ48" s="55">
        <f t="shared" si="47"/>
        <v>0</v>
      </c>
    </row>
    <row r="49" spans="1:62" ht="12.75">
      <c r="A49" s="36" t="s">
        <v>108</v>
      </c>
      <c r="B49" s="36" t="s">
        <v>59</v>
      </c>
      <c r="C49" s="36" t="s">
        <v>275</v>
      </c>
      <c r="D49" s="36" t="s">
        <v>467</v>
      </c>
      <c r="E49" s="36" t="s">
        <v>608</v>
      </c>
      <c r="F49" s="55">
        <f>'Stavební rozpočet'!F49</f>
        <v>0</v>
      </c>
      <c r="G49" s="55">
        <f>'Stavební rozpočet'!G49</f>
        <v>49.1</v>
      </c>
      <c r="H49" s="55">
        <f t="shared" si="24"/>
        <v>0</v>
      </c>
      <c r="I49" s="55">
        <f t="shared" si="25"/>
        <v>0</v>
      </c>
      <c r="J49" s="55">
        <f t="shared" si="26"/>
        <v>0</v>
      </c>
      <c r="K49" s="55">
        <f>'Stavební rozpočet'!K49</f>
        <v>0.02</v>
      </c>
      <c r="L49" s="55">
        <f t="shared" si="27"/>
        <v>0</v>
      </c>
      <c r="M49" s="51" t="s">
        <v>622</v>
      </c>
      <c r="Z49" s="29">
        <f t="shared" si="28"/>
        <v>0</v>
      </c>
      <c r="AB49" s="29">
        <f t="shared" si="29"/>
        <v>0</v>
      </c>
      <c r="AC49" s="29">
        <f t="shared" si="30"/>
        <v>0</v>
      </c>
      <c r="AD49" s="29">
        <f t="shared" si="31"/>
        <v>0</v>
      </c>
      <c r="AE49" s="29">
        <f t="shared" si="32"/>
        <v>0</v>
      </c>
      <c r="AF49" s="29">
        <f t="shared" si="33"/>
        <v>0</v>
      </c>
      <c r="AG49" s="29">
        <f t="shared" si="34"/>
        <v>0</v>
      </c>
      <c r="AH49" s="29">
        <f t="shared" si="35"/>
        <v>0</v>
      </c>
      <c r="AI49" s="48" t="s">
        <v>59</v>
      </c>
      <c r="AJ49" s="55">
        <f t="shared" si="36"/>
        <v>0</v>
      </c>
      <c r="AK49" s="55">
        <f t="shared" si="37"/>
        <v>0</v>
      </c>
      <c r="AL49" s="55">
        <f t="shared" si="38"/>
        <v>0</v>
      </c>
      <c r="AN49" s="29">
        <v>15</v>
      </c>
      <c r="AO49" s="29">
        <f>G49*0</f>
        <v>0</v>
      </c>
      <c r="AP49" s="29">
        <f>G49*(1-0)</f>
        <v>49.1</v>
      </c>
      <c r="AQ49" s="51" t="s">
        <v>79</v>
      </c>
      <c r="AV49" s="29">
        <f t="shared" si="39"/>
        <v>0</v>
      </c>
      <c r="AW49" s="29">
        <f t="shared" si="40"/>
        <v>0</v>
      </c>
      <c r="AX49" s="29">
        <f t="shared" si="41"/>
        <v>0</v>
      </c>
      <c r="AY49" s="54" t="s">
        <v>638</v>
      </c>
      <c r="AZ49" s="54" t="s">
        <v>652</v>
      </c>
      <c r="BA49" s="48" t="s">
        <v>658</v>
      </c>
      <c r="BC49" s="29">
        <f t="shared" si="42"/>
        <v>0</v>
      </c>
      <c r="BD49" s="29">
        <f t="shared" si="43"/>
        <v>49.1</v>
      </c>
      <c r="BE49" s="29">
        <v>0</v>
      </c>
      <c r="BF49" s="29">
        <f t="shared" si="44"/>
        <v>0</v>
      </c>
      <c r="BH49" s="55">
        <f t="shared" si="45"/>
        <v>0</v>
      </c>
      <c r="BI49" s="55">
        <f t="shared" si="46"/>
        <v>0</v>
      </c>
      <c r="BJ49" s="55">
        <f t="shared" si="47"/>
        <v>0</v>
      </c>
    </row>
    <row r="50" spans="1:62" ht="12.75">
      <c r="A50" s="36" t="s">
        <v>109</v>
      </c>
      <c r="B50" s="36" t="s">
        <v>59</v>
      </c>
      <c r="C50" s="36" t="s">
        <v>276</v>
      </c>
      <c r="D50" s="36" t="s">
        <v>468</v>
      </c>
      <c r="E50" s="36" t="s">
        <v>608</v>
      </c>
      <c r="F50" s="55">
        <f>'Stavební rozpočet'!F50</f>
        <v>0</v>
      </c>
      <c r="G50" s="55">
        <f>'Stavební rozpočet'!G50</f>
        <v>258.5</v>
      </c>
      <c r="H50" s="55">
        <f t="shared" si="24"/>
        <v>0</v>
      </c>
      <c r="I50" s="55">
        <f t="shared" si="25"/>
        <v>0</v>
      </c>
      <c r="J50" s="55">
        <f t="shared" si="26"/>
        <v>0</v>
      </c>
      <c r="K50" s="55">
        <f>'Stavební rozpočet'!K50</f>
        <v>0.27534</v>
      </c>
      <c r="L50" s="55">
        <f t="shared" si="27"/>
        <v>0</v>
      </c>
      <c r="M50" s="51" t="s">
        <v>622</v>
      </c>
      <c r="Z50" s="29">
        <f t="shared" si="28"/>
        <v>0</v>
      </c>
      <c r="AB50" s="29">
        <f t="shared" si="29"/>
        <v>0</v>
      </c>
      <c r="AC50" s="29">
        <f t="shared" si="30"/>
        <v>0</v>
      </c>
      <c r="AD50" s="29">
        <f t="shared" si="31"/>
        <v>0</v>
      </c>
      <c r="AE50" s="29">
        <f t="shared" si="32"/>
        <v>0</v>
      </c>
      <c r="AF50" s="29">
        <f t="shared" si="33"/>
        <v>0</v>
      </c>
      <c r="AG50" s="29">
        <f t="shared" si="34"/>
        <v>0</v>
      </c>
      <c r="AH50" s="29">
        <f t="shared" si="35"/>
        <v>0</v>
      </c>
      <c r="AI50" s="48" t="s">
        <v>59</v>
      </c>
      <c r="AJ50" s="55">
        <f t="shared" si="36"/>
        <v>0</v>
      </c>
      <c r="AK50" s="55">
        <f t="shared" si="37"/>
        <v>0</v>
      </c>
      <c r="AL50" s="55">
        <f t="shared" si="38"/>
        <v>0</v>
      </c>
      <c r="AN50" s="29">
        <v>15</v>
      </c>
      <c r="AO50" s="29">
        <f>G50*0.0308311842196975</f>
        <v>7.969861120791804</v>
      </c>
      <c r="AP50" s="29">
        <f>G50*(1-0.0308311842196975)</f>
        <v>250.53013887920818</v>
      </c>
      <c r="AQ50" s="51" t="s">
        <v>79</v>
      </c>
      <c r="AV50" s="29">
        <f t="shared" si="39"/>
        <v>0</v>
      </c>
      <c r="AW50" s="29">
        <f t="shared" si="40"/>
        <v>0</v>
      </c>
      <c r="AX50" s="29">
        <f t="shared" si="41"/>
        <v>0</v>
      </c>
      <c r="AY50" s="54" t="s">
        <v>638</v>
      </c>
      <c r="AZ50" s="54" t="s">
        <v>652</v>
      </c>
      <c r="BA50" s="48" t="s">
        <v>658</v>
      </c>
      <c r="BC50" s="29">
        <f t="shared" si="42"/>
        <v>0</v>
      </c>
      <c r="BD50" s="29">
        <f t="shared" si="43"/>
        <v>258.5</v>
      </c>
      <c r="BE50" s="29">
        <v>0</v>
      </c>
      <c r="BF50" s="29">
        <f t="shared" si="44"/>
        <v>0</v>
      </c>
      <c r="BH50" s="55">
        <f t="shared" si="45"/>
        <v>0</v>
      </c>
      <c r="BI50" s="55">
        <f t="shared" si="46"/>
        <v>0</v>
      </c>
      <c r="BJ50" s="55">
        <f t="shared" si="47"/>
        <v>0</v>
      </c>
    </row>
    <row r="51" spans="1:62" ht="12.75">
      <c r="A51" s="36" t="s">
        <v>110</v>
      </c>
      <c r="B51" s="36" t="s">
        <v>59</v>
      </c>
      <c r="C51" s="36" t="s">
        <v>277</v>
      </c>
      <c r="D51" s="36" t="s">
        <v>469</v>
      </c>
      <c r="E51" s="36" t="s">
        <v>608</v>
      </c>
      <c r="F51" s="55">
        <f>'Stavební rozpočet'!F51</f>
        <v>0</v>
      </c>
      <c r="G51" s="55">
        <f>'Stavební rozpočet'!G51</f>
        <v>369.5</v>
      </c>
      <c r="H51" s="55">
        <f t="shared" si="24"/>
        <v>0</v>
      </c>
      <c r="I51" s="55">
        <f t="shared" si="25"/>
        <v>0</v>
      </c>
      <c r="J51" s="55">
        <f t="shared" si="26"/>
        <v>0</v>
      </c>
      <c r="K51" s="55">
        <f>'Stavební rozpočet'!K51</f>
        <v>0.54534</v>
      </c>
      <c r="L51" s="55">
        <f t="shared" si="27"/>
        <v>0</v>
      </c>
      <c r="M51" s="51" t="s">
        <v>622</v>
      </c>
      <c r="Z51" s="29">
        <f t="shared" si="28"/>
        <v>0</v>
      </c>
      <c r="AB51" s="29">
        <f t="shared" si="29"/>
        <v>0</v>
      </c>
      <c r="AC51" s="29">
        <f t="shared" si="30"/>
        <v>0</v>
      </c>
      <c r="AD51" s="29">
        <f t="shared" si="31"/>
        <v>0</v>
      </c>
      <c r="AE51" s="29">
        <f t="shared" si="32"/>
        <v>0</v>
      </c>
      <c r="AF51" s="29">
        <f t="shared" si="33"/>
        <v>0</v>
      </c>
      <c r="AG51" s="29">
        <f t="shared" si="34"/>
        <v>0</v>
      </c>
      <c r="AH51" s="29">
        <f t="shared" si="35"/>
        <v>0</v>
      </c>
      <c r="AI51" s="48" t="s">
        <v>59</v>
      </c>
      <c r="AJ51" s="55">
        <f t="shared" si="36"/>
        <v>0</v>
      </c>
      <c r="AK51" s="55">
        <f t="shared" si="37"/>
        <v>0</v>
      </c>
      <c r="AL51" s="55">
        <f t="shared" si="38"/>
        <v>0</v>
      </c>
      <c r="AN51" s="29">
        <v>15</v>
      </c>
      <c r="AO51" s="29">
        <f>G51*0.0215696225836146</f>
        <v>7.969975544645595</v>
      </c>
      <c r="AP51" s="29">
        <f>G51*(1-0.0215696225836146)</f>
        <v>361.5300244553544</v>
      </c>
      <c r="AQ51" s="51" t="s">
        <v>79</v>
      </c>
      <c r="AV51" s="29">
        <f t="shared" si="39"/>
        <v>0</v>
      </c>
      <c r="AW51" s="29">
        <f t="shared" si="40"/>
        <v>0</v>
      </c>
      <c r="AX51" s="29">
        <f t="shared" si="41"/>
        <v>0</v>
      </c>
      <c r="AY51" s="54" t="s">
        <v>638</v>
      </c>
      <c r="AZ51" s="54" t="s">
        <v>652</v>
      </c>
      <c r="BA51" s="48" t="s">
        <v>658</v>
      </c>
      <c r="BC51" s="29">
        <f t="shared" si="42"/>
        <v>0</v>
      </c>
      <c r="BD51" s="29">
        <f t="shared" si="43"/>
        <v>369.5</v>
      </c>
      <c r="BE51" s="29">
        <v>0</v>
      </c>
      <c r="BF51" s="29">
        <f t="shared" si="44"/>
        <v>0</v>
      </c>
      <c r="BH51" s="55">
        <f t="shared" si="45"/>
        <v>0</v>
      </c>
      <c r="BI51" s="55">
        <f t="shared" si="46"/>
        <v>0</v>
      </c>
      <c r="BJ51" s="55">
        <f t="shared" si="47"/>
        <v>0</v>
      </c>
    </row>
    <row r="52" spans="1:47" ht="12.75">
      <c r="A52" s="35"/>
      <c r="B52" s="42" t="s">
        <v>59</v>
      </c>
      <c r="C52" s="42" t="s">
        <v>175</v>
      </c>
      <c r="D52" s="42" t="s">
        <v>470</v>
      </c>
      <c r="E52" s="35" t="s">
        <v>57</v>
      </c>
      <c r="F52" s="35" t="s">
        <v>57</v>
      </c>
      <c r="G52" s="35" t="s">
        <v>57</v>
      </c>
      <c r="H52" s="59">
        <f>SUM(H53:H54)</f>
        <v>0</v>
      </c>
      <c r="I52" s="59">
        <f>SUM(I53:I54)</f>
        <v>0</v>
      </c>
      <c r="J52" s="59">
        <f>SUM(J53:J54)</f>
        <v>0</v>
      </c>
      <c r="K52" s="48"/>
      <c r="L52" s="59">
        <f>SUM(L53:L54)</f>
        <v>0</v>
      </c>
      <c r="M52" s="48"/>
      <c r="AI52" s="48" t="s">
        <v>59</v>
      </c>
      <c r="AS52" s="59">
        <f>SUM(AJ53:AJ54)</f>
        <v>0</v>
      </c>
      <c r="AT52" s="59">
        <f>SUM(AK53:AK54)</f>
        <v>0</v>
      </c>
      <c r="AU52" s="59">
        <f>SUM(AL53:AL54)</f>
        <v>0</v>
      </c>
    </row>
    <row r="53" spans="1:62" ht="12.75">
      <c r="A53" s="36" t="s">
        <v>111</v>
      </c>
      <c r="B53" s="36" t="s">
        <v>59</v>
      </c>
      <c r="C53" s="36" t="s">
        <v>278</v>
      </c>
      <c r="D53" s="36" t="s">
        <v>471</v>
      </c>
      <c r="E53" s="36" t="s">
        <v>608</v>
      </c>
      <c r="F53" s="55">
        <f>'Stavební rozpočet'!F53</f>
        <v>0</v>
      </c>
      <c r="G53" s="55">
        <f>'Stavební rozpočet'!G53</f>
        <v>61.4</v>
      </c>
      <c r="H53" s="55">
        <f>F53*AO53</f>
        <v>0</v>
      </c>
      <c r="I53" s="55">
        <f>F53*AP53</f>
        <v>0</v>
      </c>
      <c r="J53" s="55">
        <f>F53*G53</f>
        <v>0</v>
      </c>
      <c r="K53" s="55">
        <f>'Stavební rozpočet'!K53</f>
        <v>0.046</v>
      </c>
      <c r="L53" s="55">
        <f>F53*K53</f>
        <v>0</v>
      </c>
      <c r="M53" s="51" t="s">
        <v>622</v>
      </c>
      <c r="Z53" s="29">
        <f>IF(AQ53="5",BJ53,0)</f>
        <v>0</v>
      </c>
      <c r="AB53" s="29">
        <f>IF(AQ53="1",BH53,0)</f>
        <v>0</v>
      </c>
      <c r="AC53" s="29">
        <f>IF(AQ53="1",BI53,0)</f>
        <v>0</v>
      </c>
      <c r="AD53" s="29">
        <f>IF(AQ53="7",BH53,0)</f>
        <v>0</v>
      </c>
      <c r="AE53" s="29">
        <f>IF(AQ53="7",BI53,0)</f>
        <v>0</v>
      </c>
      <c r="AF53" s="29">
        <f>IF(AQ53="2",BH53,0)</f>
        <v>0</v>
      </c>
      <c r="AG53" s="29">
        <f>IF(AQ53="2",BI53,0)</f>
        <v>0</v>
      </c>
      <c r="AH53" s="29">
        <f>IF(AQ53="0",BJ53,0)</f>
        <v>0</v>
      </c>
      <c r="AI53" s="48" t="s">
        <v>59</v>
      </c>
      <c r="AJ53" s="55">
        <f>IF(AN53=0,J53,0)</f>
        <v>0</v>
      </c>
      <c r="AK53" s="55">
        <f>IF(AN53=15,J53,0)</f>
        <v>0</v>
      </c>
      <c r="AL53" s="55">
        <f>IF(AN53=21,J53,0)</f>
        <v>0</v>
      </c>
      <c r="AN53" s="29">
        <v>15</v>
      </c>
      <c r="AO53" s="29">
        <f>G53*0</f>
        <v>0</v>
      </c>
      <c r="AP53" s="29">
        <f>G53*(1-0)</f>
        <v>61.4</v>
      </c>
      <c r="AQ53" s="51" t="s">
        <v>79</v>
      </c>
      <c r="AV53" s="29">
        <f>AW53+AX53</f>
        <v>0</v>
      </c>
      <c r="AW53" s="29">
        <f>F53*AO53</f>
        <v>0</v>
      </c>
      <c r="AX53" s="29">
        <f>F53*AP53</f>
        <v>0</v>
      </c>
      <c r="AY53" s="54" t="s">
        <v>639</v>
      </c>
      <c r="AZ53" s="54" t="s">
        <v>652</v>
      </c>
      <c r="BA53" s="48" t="s">
        <v>658</v>
      </c>
      <c r="BC53" s="29">
        <f>AW53+AX53</f>
        <v>0</v>
      </c>
      <c r="BD53" s="29">
        <f>G53/(100-BE53)*100</f>
        <v>61.4</v>
      </c>
      <c r="BE53" s="29">
        <v>0</v>
      </c>
      <c r="BF53" s="29">
        <f>L53</f>
        <v>0</v>
      </c>
      <c r="BH53" s="55">
        <f>F53*AO53</f>
        <v>0</v>
      </c>
      <c r="BI53" s="55">
        <f>F53*AP53</f>
        <v>0</v>
      </c>
      <c r="BJ53" s="55">
        <f>F53*G53</f>
        <v>0</v>
      </c>
    </row>
    <row r="54" spans="1:62" ht="12.75">
      <c r="A54" s="36" t="s">
        <v>112</v>
      </c>
      <c r="B54" s="36" t="s">
        <v>59</v>
      </c>
      <c r="C54" s="36" t="s">
        <v>279</v>
      </c>
      <c r="D54" s="36" t="s">
        <v>472</v>
      </c>
      <c r="E54" s="36" t="s">
        <v>608</v>
      </c>
      <c r="F54" s="55">
        <f>'Stavební rozpočet'!F54</f>
        <v>0</v>
      </c>
      <c r="G54" s="55">
        <f>'Stavební rozpočet'!G54</f>
        <v>78.3</v>
      </c>
      <c r="H54" s="55">
        <f>F54*AO54</f>
        <v>0</v>
      </c>
      <c r="I54" s="55">
        <f>F54*AP54</f>
        <v>0</v>
      </c>
      <c r="J54" s="55">
        <f>F54*G54</f>
        <v>0</v>
      </c>
      <c r="K54" s="55">
        <f>'Stavební rozpočet'!K54</f>
        <v>0.068</v>
      </c>
      <c r="L54" s="55">
        <f>F54*K54</f>
        <v>0</v>
      </c>
      <c r="M54" s="51" t="s">
        <v>622</v>
      </c>
      <c r="Z54" s="29">
        <f>IF(AQ54="5",BJ54,0)</f>
        <v>0</v>
      </c>
      <c r="AB54" s="29">
        <f>IF(AQ54="1",BH54,0)</f>
        <v>0</v>
      </c>
      <c r="AC54" s="29">
        <f>IF(AQ54="1",BI54,0)</f>
        <v>0</v>
      </c>
      <c r="AD54" s="29">
        <f>IF(AQ54="7",BH54,0)</f>
        <v>0</v>
      </c>
      <c r="AE54" s="29">
        <f>IF(AQ54="7",BI54,0)</f>
        <v>0</v>
      </c>
      <c r="AF54" s="29">
        <f>IF(AQ54="2",BH54,0)</f>
        <v>0</v>
      </c>
      <c r="AG54" s="29">
        <f>IF(AQ54="2",BI54,0)</f>
        <v>0</v>
      </c>
      <c r="AH54" s="29">
        <f>IF(AQ54="0",BJ54,0)</f>
        <v>0</v>
      </c>
      <c r="AI54" s="48" t="s">
        <v>59</v>
      </c>
      <c r="AJ54" s="55">
        <f>IF(AN54=0,J54,0)</f>
        <v>0</v>
      </c>
      <c r="AK54" s="55">
        <f>IF(AN54=15,J54,0)</f>
        <v>0</v>
      </c>
      <c r="AL54" s="55">
        <f>IF(AN54=21,J54,0)</f>
        <v>0</v>
      </c>
      <c r="AN54" s="29">
        <v>15</v>
      </c>
      <c r="AO54" s="29">
        <f>G54*0</f>
        <v>0</v>
      </c>
      <c r="AP54" s="29">
        <f>G54*(1-0)</f>
        <v>78.3</v>
      </c>
      <c r="AQ54" s="51" t="s">
        <v>79</v>
      </c>
      <c r="AV54" s="29">
        <f>AW54+AX54</f>
        <v>0</v>
      </c>
      <c r="AW54" s="29">
        <f>F54*AO54</f>
        <v>0</v>
      </c>
      <c r="AX54" s="29">
        <f>F54*AP54</f>
        <v>0</v>
      </c>
      <c r="AY54" s="54" t="s">
        <v>639</v>
      </c>
      <c r="AZ54" s="54" t="s">
        <v>652</v>
      </c>
      <c r="BA54" s="48" t="s">
        <v>658</v>
      </c>
      <c r="BC54" s="29">
        <f>AW54+AX54</f>
        <v>0</v>
      </c>
      <c r="BD54" s="29">
        <f>G54/(100-BE54)*100</f>
        <v>78.3</v>
      </c>
      <c r="BE54" s="29">
        <v>0</v>
      </c>
      <c r="BF54" s="29">
        <f>L54</f>
        <v>0</v>
      </c>
      <c r="BH54" s="55">
        <f>F54*AO54</f>
        <v>0</v>
      </c>
      <c r="BI54" s="55">
        <f>F54*AP54</f>
        <v>0</v>
      </c>
      <c r="BJ54" s="55">
        <f>F54*G54</f>
        <v>0</v>
      </c>
    </row>
    <row r="55" spans="1:47" ht="12.75">
      <c r="A55" s="35"/>
      <c r="B55" s="42" t="s">
        <v>59</v>
      </c>
      <c r="C55" s="42" t="s">
        <v>280</v>
      </c>
      <c r="D55" s="42" t="s">
        <v>473</v>
      </c>
      <c r="E55" s="35" t="s">
        <v>57</v>
      </c>
      <c r="F55" s="35" t="s">
        <v>57</v>
      </c>
      <c r="G55" s="35" t="s">
        <v>57</v>
      </c>
      <c r="H55" s="59">
        <f>SUM(H56:H62)</f>
        <v>0</v>
      </c>
      <c r="I55" s="59">
        <f>SUM(I56:I62)</f>
        <v>0</v>
      </c>
      <c r="J55" s="59">
        <f>SUM(J56:J62)</f>
        <v>0</v>
      </c>
      <c r="K55" s="48"/>
      <c r="L55" s="59">
        <f>SUM(L56:L62)</f>
        <v>0</v>
      </c>
      <c r="M55" s="48"/>
      <c r="AI55" s="48" t="s">
        <v>59</v>
      </c>
      <c r="AS55" s="59">
        <f>SUM(AJ56:AJ62)</f>
        <v>0</v>
      </c>
      <c r="AT55" s="59">
        <f>SUM(AK56:AK62)</f>
        <v>0</v>
      </c>
      <c r="AU55" s="59">
        <f>SUM(AL56:AL62)</f>
        <v>0</v>
      </c>
    </row>
    <row r="56" spans="1:62" ht="12.75">
      <c r="A56" s="36" t="s">
        <v>113</v>
      </c>
      <c r="B56" s="36" t="s">
        <v>59</v>
      </c>
      <c r="C56" s="36" t="s">
        <v>281</v>
      </c>
      <c r="D56" s="36" t="s">
        <v>474</v>
      </c>
      <c r="E56" s="36" t="s">
        <v>612</v>
      </c>
      <c r="F56" s="55">
        <f>'Stavební rozpočet'!F56</f>
        <v>0</v>
      </c>
      <c r="G56" s="55">
        <f>'Stavební rozpočet'!G56</f>
        <v>174.5</v>
      </c>
      <c r="H56" s="55">
        <f aca="true" t="shared" si="48" ref="H56:H62">F56*AO56</f>
        <v>0</v>
      </c>
      <c r="I56" s="55">
        <f aca="true" t="shared" si="49" ref="I56:I62">F56*AP56</f>
        <v>0</v>
      </c>
      <c r="J56" s="55">
        <f aca="true" t="shared" si="50" ref="J56:J62">F56*G56</f>
        <v>0</v>
      </c>
      <c r="K56" s="55">
        <f>'Stavební rozpočet'!K56</f>
        <v>0</v>
      </c>
      <c r="L56" s="55">
        <f aca="true" t="shared" si="51" ref="L56:L62">F56*K56</f>
        <v>0</v>
      </c>
      <c r="M56" s="51" t="s">
        <v>622</v>
      </c>
      <c r="Z56" s="29">
        <f aca="true" t="shared" si="52" ref="Z56:Z62">IF(AQ56="5",BJ56,0)</f>
        <v>0</v>
      </c>
      <c r="AB56" s="29">
        <f aca="true" t="shared" si="53" ref="AB56:AB62">IF(AQ56="1",BH56,0)</f>
        <v>0</v>
      </c>
      <c r="AC56" s="29">
        <f aca="true" t="shared" si="54" ref="AC56:AC62">IF(AQ56="1",BI56,0)</f>
        <v>0</v>
      </c>
      <c r="AD56" s="29">
        <f aca="true" t="shared" si="55" ref="AD56:AD62">IF(AQ56="7",BH56,0)</f>
        <v>0</v>
      </c>
      <c r="AE56" s="29">
        <f aca="true" t="shared" si="56" ref="AE56:AE62">IF(AQ56="7",BI56,0)</f>
        <v>0</v>
      </c>
      <c r="AF56" s="29">
        <f aca="true" t="shared" si="57" ref="AF56:AF62">IF(AQ56="2",BH56,0)</f>
        <v>0</v>
      </c>
      <c r="AG56" s="29">
        <f aca="true" t="shared" si="58" ref="AG56:AG62">IF(AQ56="2",BI56,0)</f>
        <v>0</v>
      </c>
      <c r="AH56" s="29">
        <f aca="true" t="shared" si="59" ref="AH56:AH62">IF(AQ56="0",BJ56,0)</f>
        <v>0</v>
      </c>
      <c r="AI56" s="48" t="s">
        <v>59</v>
      </c>
      <c r="AJ56" s="55">
        <f aca="true" t="shared" si="60" ref="AJ56:AJ62">IF(AN56=0,J56,0)</f>
        <v>0</v>
      </c>
      <c r="AK56" s="55">
        <f aca="true" t="shared" si="61" ref="AK56:AK62">IF(AN56=15,J56,0)</f>
        <v>0</v>
      </c>
      <c r="AL56" s="55">
        <f aca="true" t="shared" si="62" ref="AL56:AL62">IF(AN56=21,J56,0)</f>
        <v>0</v>
      </c>
      <c r="AN56" s="29">
        <v>15</v>
      </c>
      <c r="AO56" s="29">
        <f aca="true" t="shared" si="63" ref="AO56:AO62">G56*0</f>
        <v>0</v>
      </c>
      <c r="AP56" s="29">
        <f aca="true" t="shared" si="64" ref="AP56:AP62">G56*(1-0)</f>
        <v>174.5</v>
      </c>
      <c r="AQ56" s="51" t="s">
        <v>83</v>
      </c>
      <c r="AV56" s="29">
        <f aca="true" t="shared" si="65" ref="AV56:AV62">AW56+AX56</f>
        <v>0</v>
      </c>
      <c r="AW56" s="29">
        <f aca="true" t="shared" si="66" ref="AW56:AW62">F56*AO56</f>
        <v>0</v>
      </c>
      <c r="AX56" s="29">
        <f aca="true" t="shared" si="67" ref="AX56:AX62">F56*AP56</f>
        <v>0</v>
      </c>
      <c r="AY56" s="54" t="s">
        <v>640</v>
      </c>
      <c r="AZ56" s="54" t="s">
        <v>652</v>
      </c>
      <c r="BA56" s="48" t="s">
        <v>658</v>
      </c>
      <c r="BC56" s="29">
        <f aca="true" t="shared" si="68" ref="BC56:BC62">AW56+AX56</f>
        <v>0</v>
      </c>
      <c r="BD56" s="29">
        <f aca="true" t="shared" si="69" ref="BD56:BD62">G56/(100-BE56)*100</f>
        <v>174.5</v>
      </c>
      <c r="BE56" s="29">
        <v>0</v>
      </c>
      <c r="BF56" s="29">
        <f aca="true" t="shared" si="70" ref="BF56:BF62">L56</f>
        <v>0</v>
      </c>
      <c r="BH56" s="55">
        <f aca="true" t="shared" si="71" ref="BH56:BH62">F56*AO56</f>
        <v>0</v>
      </c>
      <c r="BI56" s="55">
        <f aca="true" t="shared" si="72" ref="BI56:BI62">F56*AP56</f>
        <v>0</v>
      </c>
      <c r="BJ56" s="55">
        <f aca="true" t="shared" si="73" ref="BJ56:BJ62">F56*G56</f>
        <v>0</v>
      </c>
    </row>
    <row r="57" spans="1:62" ht="12.75">
      <c r="A57" s="36" t="s">
        <v>114</v>
      </c>
      <c r="B57" s="36" t="s">
        <v>59</v>
      </c>
      <c r="C57" s="36" t="s">
        <v>282</v>
      </c>
      <c r="D57" s="36" t="s">
        <v>475</v>
      </c>
      <c r="E57" s="36" t="s">
        <v>612</v>
      </c>
      <c r="F57" s="55">
        <f>'Stavební rozpočet'!F57</f>
        <v>0</v>
      </c>
      <c r="G57" s="55">
        <f>'Stavební rozpočet'!G57</f>
        <v>15</v>
      </c>
      <c r="H57" s="55">
        <f t="shared" si="48"/>
        <v>0</v>
      </c>
      <c r="I57" s="55">
        <f t="shared" si="49"/>
        <v>0</v>
      </c>
      <c r="J57" s="55">
        <f t="shared" si="50"/>
        <v>0</v>
      </c>
      <c r="K57" s="55">
        <f>'Stavební rozpočet'!K57</f>
        <v>0</v>
      </c>
      <c r="L57" s="55">
        <f t="shared" si="51"/>
        <v>0</v>
      </c>
      <c r="M57" s="51" t="s">
        <v>622</v>
      </c>
      <c r="Z57" s="29">
        <f t="shared" si="52"/>
        <v>0</v>
      </c>
      <c r="AB57" s="29">
        <f t="shared" si="53"/>
        <v>0</v>
      </c>
      <c r="AC57" s="29">
        <f t="shared" si="54"/>
        <v>0</v>
      </c>
      <c r="AD57" s="29">
        <f t="shared" si="55"/>
        <v>0</v>
      </c>
      <c r="AE57" s="29">
        <f t="shared" si="56"/>
        <v>0</v>
      </c>
      <c r="AF57" s="29">
        <f t="shared" si="57"/>
        <v>0</v>
      </c>
      <c r="AG57" s="29">
        <f t="shared" si="58"/>
        <v>0</v>
      </c>
      <c r="AH57" s="29">
        <f t="shared" si="59"/>
        <v>0</v>
      </c>
      <c r="AI57" s="48" t="s">
        <v>59</v>
      </c>
      <c r="AJ57" s="55">
        <f t="shared" si="60"/>
        <v>0</v>
      </c>
      <c r="AK57" s="55">
        <f t="shared" si="61"/>
        <v>0</v>
      </c>
      <c r="AL57" s="55">
        <f t="shared" si="62"/>
        <v>0</v>
      </c>
      <c r="AN57" s="29">
        <v>15</v>
      </c>
      <c r="AO57" s="29">
        <f t="shared" si="63"/>
        <v>0</v>
      </c>
      <c r="AP57" s="29">
        <f t="shared" si="64"/>
        <v>15</v>
      </c>
      <c r="AQ57" s="51" t="s">
        <v>83</v>
      </c>
      <c r="AV57" s="29">
        <f t="shared" si="65"/>
        <v>0</v>
      </c>
      <c r="AW57" s="29">
        <f t="shared" si="66"/>
        <v>0</v>
      </c>
      <c r="AX57" s="29">
        <f t="shared" si="67"/>
        <v>0</v>
      </c>
      <c r="AY57" s="54" t="s">
        <v>640</v>
      </c>
      <c r="AZ57" s="54" t="s">
        <v>652</v>
      </c>
      <c r="BA57" s="48" t="s">
        <v>658</v>
      </c>
      <c r="BC57" s="29">
        <f t="shared" si="68"/>
        <v>0</v>
      </c>
      <c r="BD57" s="29">
        <f t="shared" si="69"/>
        <v>15</v>
      </c>
      <c r="BE57" s="29">
        <v>0</v>
      </c>
      <c r="BF57" s="29">
        <f t="shared" si="70"/>
        <v>0</v>
      </c>
      <c r="BH57" s="55">
        <f t="shared" si="71"/>
        <v>0</v>
      </c>
      <c r="BI57" s="55">
        <f t="shared" si="72"/>
        <v>0</v>
      </c>
      <c r="BJ57" s="55">
        <f t="shared" si="73"/>
        <v>0</v>
      </c>
    </row>
    <row r="58" spans="1:62" ht="12.75">
      <c r="A58" s="36" t="s">
        <v>115</v>
      </c>
      <c r="B58" s="36" t="s">
        <v>59</v>
      </c>
      <c r="C58" s="36" t="s">
        <v>283</v>
      </c>
      <c r="D58" s="36" t="s">
        <v>476</v>
      </c>
      <c r="E58" s="36" t="s">
        <v>612</v>
      </c>
      <c r="F58" s="55">
        <f>'Stavební rozpočet'!F58</f>
        <v>0</v>
      </c>
      <c r="G58" s="55">
        <f>'Stavební rozpočet'!G58</f>
        <v>222.5</v>
      </c>
      <c r="H58" s="55">
        <f t="shared" si="48"/>
        <v>0</v>
      </c>
      <c r="I58" s="55">
        <f t="shared" si="49"/>
        <v>0</v>
      </c>
      <c r="J58" s="55">
        <f t="shared" si="50"/>
        <v>0</v>
      </c>
      <c r="K58" s="55">
        <f>'Stavební rozpočet'!K58</f>
        <v>0</v>
      </c>
      <c r="L58" s="55">
        <f t="shared" si="51"/>
        <v>0</v>
      </c>
      <c r="M58" s="51" t="s">
        <v>622</v>
      </c>
      <c r="Z58" s="29">
        <f t="shared" si="52"/>
        <v>0</v>
      </c>
      <c r="AB58" s="29">
        <f t="shared" si="53"/>
        <v>0</v>
      </c>
      <c r="AC58" s="29">
        <f t="shared" si="54"/>
        <v>0</v>
      </c>
      <c r="AD58" s="29">
        <f t="shared" si="55"/>
        <v>0</v>
      </c>
      <c r="AE58" s="29">
        <f t="shared" si="56"/>
        <v>0</v>
      </c>
      <c r="AF58" s="29">
        <f t="shared" si="57"/>
        <v>0</v>
      </c>
      <c r="AG58" s="29">
        <f t="shared" si="58"/>
        <v>0</v>
      </c>
      <c r="AH58" s="29">
        <f t="shared" si="59"/>
        <v>0</v>
      </c>
      <c r="AI58" s="48" t="s">
        <v>59</v>
      </c>
      <c r="AJ58" s="55">
        <f t="shared" si="60"/>
        <v>0</v>
      </c>
      <c r="AK58" s="55">
        <f t="shared" si="61"/>
        <v>0</v>
      </c>
      <c r="AL58" s="55">
        <f t="shared" si="62"/>
        <v>0</v>
      </c>
      <c r="AN58" s="29">
        <v>15</v>
      </c>
      <c r="AO58" s="29">
        <f t="shared" si="63"/>
        <v>0</v>
      </c>
      <c r="AP58" s="29">
        <f t="shared" si="64"/>
        <v>222.5</v>
      </c>
      <c r="AQ58" s="51" t="s">
        <v>83</v>
      </c>
      <c r="AV58" s="29">
        <f t="shared" si="65"/>
        <v>0</v>
      </c>
      <c r="AW58" s="29">
        <f t="shared" si="66"/>
        <v>0</v>
      </c>
      <c r="AX58" s="29">
        <f t="shared" si="67"/>
        <v>0</v>
      </c>
      <c r="AY58" s="54" t="s">
        <v>640</v>
      </c>
      <c r="AZ58" s="54" t="s">
        <v>652</v>
      </c>
      <c r="BA58" s="48" t="s">
        <v>658</v>
      </c>
      <c r="BC58" s="29">
        <f t="shared" si="68"/>
        <v>0</v>
      </c>
      <c r="BD58" s="29">
        <f t="shared" si="69"/>
        <v>222.5</v>
      </c>
      <c r="BE58" s="29">
        <v>0</v>
      </c>
      <c r="BF58" s="29">
        <f t="shared" si="70"/>
        <v>0</v>
      </c>
      <c r="BH58" s="55">
        <f t="shared" si="71"/>
        <v>0</v>
      </c>
      <c r="BI58" s="55">
        <f t="shared" si="72"/>
        <v>0</v>
      </c>
      <c r="BJ58" s="55">
        <f t="shared" si="73"/>
        <v>0</v>
      </c>
    </row>
    <row r="59" spans="1:62" ht="12.75">
      <c r="A59" s="36" t="s">
        <v>116</v>
      </c>
      <c r="B59" s="36" t="s">
        <v>59</v>
      </c>
      <c r="C59" s="36" t="s">
        <v>284</v>
      </c>
      <c r="D59" s="36" t="s">
        <v>477</v>
      </c>
      <c r="E59" s="36" t="s">
        <v>612</v>
      </c>
      <c r="F59" s="55">
        <f>'Stavební rozpočet'!F59</f>
        <v>0</v>
      </c>
      <c r="G59" s="55">
        <f>'Stavební rozpočet'!G59</f>
        <v>24.8</v>
      </c>
      <c r="H59" s="55">
        <f t="shared" si="48"/>
        <v>0</v>
      </c>
      <c r="I59" s="55">
        <f t="shared" si="49"/>
        <v>0</v>
      </c>
      <c r="J59" s="55">
        <f t="shared" si="50"/>
        <v>0</v>
      </c>
      <c r="K59" s="55">
        <f>'Stavební rozpočet'!K59</f>
        <v>0</v>
      </c>
      <c r="L59" s="55">
        <f t="shared" si="51"/>
        <v>0</v>
      </c>
      <c r="M59" s="51" t="s">
        <v>622</v>
      </c>
      <c r="Z59" s="29">
        <f t="shared" si="52"/>
        <v>0</v>
      </c>
      <c r="AB59" s="29">
        <f t="shared" si="53"/>
        <v>0</v>
      </c>
      <c r="AC59" s="29">
        <f t="shared" si="54"/>
        <v>0</v>
      </c>
      <c r="AD59" s="29">
        <f t="shared" si="55"/>
        <v>0</v>
      </c>
      <c r="AE59" s="29">
        <f t="shared" si="56"/>
        <v>0</v>
      </c>
      <c r="AF59" s="29">
        <f t="shared" si="57"/>
        <v>0</v>
      </c>
      <c r="AG59" s="29">
        <f t="shared" si="58"/>
        <v>0</v>
      </c>
      <c r="AH59" s="29">
        <f t="shared" si="59"/>
        <v>0</v>
      </c>
      <c r="AI59" s="48" t="s">
        <v>59</v>
      </c>
      <c r="AJ59" s="55">
        <f t="shared" si="60"/>
        <v>0</v>
      </c>
      <c r="AK59" s="55">
        <f t="shared" si="61"/>
        <v>0</v>
      </c>
      <c r="AL59" s="55">
        <f t="shared" si="62"/>
        <v>0</v>
      </c>
      <c r="AN59" s="29">
        <v>15</v>
      </c>
      <c r="AO59" s="29">
        <f t="shared" si="63"/>
        <v>0</v>
      </c>
      <c r="AP59" s="29">
        <f t="shared" si="64"/>
        <v>24.8</v>
      </c>
      <c r="AQ59" s="51" t="s">
        <v>83</v>
      </c>
      <c r="AV59" s="29">
        <f t="shared" si="65"/>
        <v>0</v>
      </c>
      <c r="AW59" s="29">
        <f t="shared" si="66"/>
        <v>0</v>
      </c>
      <c r="AX59" s="29">
        <f t="shared" si="67"/>
        <v>0</v>
      </c>
      <c r="AY59" s="54" t="s">
        <v>640</v>
      </c>
      <c r="AZ59" s="54" t="s">
        <v>652</v>
      </c>
      <c r="BA59" s="48" t="s">
        <v>658</v>
      </c>
      <c r="BC59" s="29">
        <f t="shared" si="68"/>
        <v>0</v>
      </c>
      <c r="BD59" s="29">
        <f t="shared" si="69"/>
        <v>24.8</v>
      </c>
      <c r="BE59" s="29">
        <v>0</v>
      </c>
      <c r="BF59" s="29">
        <f t="shared" si="70"/>
        <v>0</v>
      </c>
      <c r="BH59" s="55">
        <f t="shared" si="71"/>
        <v>0</v>
      </c>
      <c r="BI59" s="55">
        <f t="shared" si="72"/>
        <v>0</v>
      </c>
      <c r="BJ59" s="55">
        <f t="shared" si="73"/>
        <v>0</v>
      </c>
    </row>
    <row r="60" spans="1:62" ht="12.75">
      <c r="A60" s="36" t="s">
        <v>117</v>
      </c>
      <c r="B60" s="36" t="s">
        <v>59</v>
      </c>
      <c r="C60" s="36" t="s">
        <v>285</v>
      </c>
      <c r="D60" s="36" t="s">
        <v>478</v>
      </c>
      <c r="E60" s="36" t="s">
        <v>612</v>
      </c>
      <c r="F60" s="55">
        <f>'Stavební rozpočet'!F60</f>
        <v>0</v>
      </c>
      <c r="G60" s="55">
        <f>'Stavební rozpočet'!G60</f>
        <v>110.49</v>
      </c>
      <c r="H60" s="55">
        <f t="shared" si="48"/>
        <v>0</v>
      </c>
      <c r="I60" s="55">
        <f t="shared" si="49"/>
        <v>0</v>
      </c>
      <c r="J60" s="55">
        <f t="shared" si="50"/>
        <v>0</v>
      </c>
      <c r="K60" s="55">
        <f>'Stavební rozpočet'!K60</f>
        <v>0</v>
      </c>
      <c r="L60" s="55">
        <f t="shared" si="51"/>
        <v>0</v>
      </c>
      <c r="M60" s="51" t="s">
        <v>622</v>
      </c>
      <c r="Z60" s="29">
        <f t="shared" si="52"/>
        <v>0</v>
      </c>
      <c r="AB60" s="29">
        <f t="shared" si="53"/>
        <v>0</v>
      </c>
      <c r="AC60" s="29">
        <f t="shared" si="54"/>
        <v>0</v>
      </c>
      <c r="AD60" s="29">
        <f t="shared" si="55"/>
        <v>0</v>
      </c>
      <c r="AE60" s="29">
        <f t="shared" si="56"/>
        <v>0</v>
      </c>
      <c r="AF60" s="29">
        <f t="shared" si="57"/>
        <v>0</v>
      </c>
      <c r="AG60" s="29">
        <f t="shared" si="58"/>
        <v>0</v>
      </c>
      <c r="AH60" s="29">
        <f t="shared" si="59"/>
        <v>0</v>
      </c>
      <c r="AI60" s="48" t="s">
        <v>59</v>
      </c>
      <c r="AJ60" s="55">
        <f t="shared" si="60"/>
        <v>0</v>
      </c>
      <c r="AK60" s="55">
        <f t="shared" si="61"/>
        <v>0</v>
      </c>
      <c r="AL60" s="55">
        <f t="shared" si="62"/>
        <v>0</v>
      </c>
      <c r="AN60" s="29">
        <v>15</v>
      </c>
      <c r="AO60" s="29">
        <f t="shared" si="63"/>
        <v>0</v>
      </c>
      <c r="AP60" s="29">
        <f t="shared" si="64"/>
        <v>110.49</v>
      </c>
      <c r="AQ60" s="51" t="s">
        <v>83</v>
      </c>
      <c r="AV60" s="29">
        <f t="shared" si="65"/>
        <v>0</v>
      </c>
      <c r="AW60" s="29">
        <f t="shared" si="66"/>
        <v>0</v>
      </c>
      <c r="AX60" s="29">
        <f t="shared" si="67"/>
        <v>0</v>
      </c>
      <c r="AY60" s="54" t="s">
        <v>640</v>
      </c>
      <c r="AZ60" s="54" t="s">
        <v>652</v>
      </c>
      <c r="BA60" s="48" t="s">
        <v>658</v>
      </c>
      <c r="BC60" s="29">
        <f t="shared" si="68"/>
        <v>0</v>
      </c>
      <c r="BD60" s="29">
        <f t="shared" si="69"/>
        <v>110.49</v>
      </c>
      <c r="BE60" s="29">
        <v>0</v>
      </c>
      <c r="BF60" s="29">
        <f t="shared" si="70"/>
        <v>0</v>
      </c>
      <c r="BH60" s="55">
        <f t="shared" si="71"/>
        <v>0</v>
      </c>
      <c r="BI60" s="55">
        <f t="shared" si="72"/>
        <v>0</v>
      </c>
      <c r="BJ60" s="55">
        <f t="shared" si="73"/>
        <v>0</v>
      </c>
    </row>
    <row r="61" spans="1:62" ht="12.75">
      <c r="A61" s="36" t="s">
        <v>118</v>
      </c>
      <c r="B61" s="36" t="s">
        <v>59</v>
      </c>
      <c r="C61" s="36" t="s">
        <v>286</v>
      </c>
      <c r="D61" s="36" t="s">
        <v>479</v>
      </c>
      <c r="E61" s="36" t="s">
        <v>612</v>
      </c>
      <c r="F61" s="55">
        <f>'Stavební rozpočet'!F61</f>
        <v>0</v>
      </c>
      <c r="G61" s="55">
        <f>'Stavební rozpočet'!G61</f>
        <v>250</v>
      </c>
      <c r="H61" s="55">
        <f t="shared" si="48"/>
        <v>0</v>
      </c>
      <c r="I61" s="55">
        <f t="shared" si="49"/>
        <v>0</v>
      </c>
      <c r="J61" s="55">
        <f t="shared" si="50"/>
        <v>0</v>
      </c>
      <c r="K61" s="55">
        <f>'Stavební rozpočet'!K61</f>
        <v>0</v>
      </c>
      <c r="L61" s="55">
        <f t="shared" si="51"/>
        <v>0</v>
      </c>
      <c r="M61" s="51" t="s">
        <v>622</v>
      </c>
      <c r="Z61" s="29">
        <f t="shared" si="52"/>
        <v>0</v>
      </c>
      <c r="AB61" s="29">
        <f t="shared" si="53"/>
        <v>0</v>
      </c>
      <c r="AC61" s="29">
        <f t="shared" si="54"/>
        <v>0</v>
      </c>
      <c r="AD61" s="29">
        <f t="shared" si="55"/>
        <v>0</v>
      </c>
      <c r="AE61" s="29">
        <f t="shared" si="56"/>
        <v>0</v>
      </c>
      <c r="AF61" s="29">
        <f t="shared" si="57"/>
        <v>0</v>
      </c>
      <c r="AG61" s="29">
        <f t="shared" si="58"/>
        <v>0</v>
      </c>
      <c r="AH61" s="29">
        <f t="shared" si="59"/>
        <v>0</v>
      </c>
      <c r="AI61" s="48" t="s">
        <v>59</v>
      </c>
      <c r="AJ61" s="55">
        <f t="shared" si="60"/>
        <v>0</v>
      </c>
      <c r="AK61" s="55">
        <f t="shared" si="61"/>
        <v>0</v>
      </c>
      <c r="AL61" s="55">
        <f t="shared" si="62"/>
        <v>0</v>
      </c>
      <c r="AN61" s="29">
        <v>15</v>
      </c>
      <c r="AO61" s="29">
        <f t="shared" si="63"/>
        <v>0</v>
      </c>
      <c r="AP61" s="29">
        <f t="shared" si="64"/>
        <v>250</v>
      </c>
      <c r="AQ61" s="51" t="s">
        <v>83</v>
      </c>
      <c r="AV61" s="29">
        <f t="shared" si="65"/>
        <v>0</v>
      </c>
      <c r="AW61" s="29">
        <f t="shared" si="66"/>
        <v>0</v>
      </c>
      <c r="AX61" s="29">
        <f t="shared" si="67"/>
        <v>0</v>
      </c>
      <c r="AY61" s="54" t="s">
        <v>640</v>
      </c>
      <c r="AZ61" s="54" t="s">
        <v>652</v>
      </c>
      <c r="BA61" s="48" t="s">
        <v>658</v>
      </c>
      <c r="BC61" s="29">
        <f t="shared" si="68"/>
        <v>0</v>
      </c>
      <c r="BD61" s="29">
        <f t="shared" si="69"/>
        <v>250</v>
      </c>
      <c r="BE61" s="29">
        <v>0</v>
      </c>
      <c r="BF61" s="29">
        <f t="shared" si="70"/>
        <v>0</v>
      </c>
      <c r="BH61" s="55">
        <f t="shared" si="71"/>
        <v>0</v>
      </c>
      <c r="BI61" s="55">
        <f t="shared" si="72"/>
        <v>0</v>
      </c>
      <c r="BJ61" s="55">
        <f t="shared" si="73"/>
        <v>0</v>
      </c>
    </row>
    <row r="62" spans="1:62" ht="12.75">
      <c r="A62" s="36" t="s">
        <v>119</v>
      </c>
      <c r="B62" s="36" t="s">
        <v>59</v>
      </c>
      <c r="C62" s="36" t="s">
        <v>287</v>
      </c>
      <c r="D62" s="36" t="s">
        <v>480</v>
      </c>
      <c r="E62" s="36" t="s">
        <v>612</v>
      </c>
      <c r="F62" s="55">
        <f>'Stavební rozpočet'!F62</f>
        <v>0</v>
      </c>
      <c r="G62" s="55">
        <f>'Stavební rozpočet'!G62</f>
        <v>550</v>
      </c>
      <c r="H62" s="55">
        <f t="shared" si="48"/>
        <v>0</v>
      </c>
      <c r="I62" s="55">
        <f t="shared" si="49"/>
        <v>0</v>
      </c>
      <c r="J62" s="55">
        <f t="shared" si="50"/>
        <v>0</v>
      </c>
      <c r="K62" s="55">
        <f>'Stavební rozpočet'!K62</f>
        <v>0</v>
      </c>
      <c r="L62" s="55">
        <f t="shared" si="51"/>
        <v>0</v>
      </c>
      <c r="M62" s="51" t="s">
        <v>622</v>
      </c>
      <c r="Z62" s="29">
        <f t="shared" si="52"/>
        <v>0</v>
      </c>
      <c r="AB62" s="29">
        <f t="shared" si="53"/>
        <v>0</v>
      </c>
      <c r="AC62" s="29">
        <f t="shared" si="54"/>
        <v>0</v>
      </c>
      <c r="AD62" s="29">
        <f t="shared" si="55"/>
        <v>0</v>
      </c>
      <c r="AE62" s="29">
        <f t="shared" si="56"/>
        <v>0</v>
      </c>
      <c r="AF62" s="29">
        <f t="shared" si="57"/>
        <v>0</v>
      </c>
      <c r="AG62" s="29">
        <f t="shared" si="58"/>
        <v>0</v>
      </c>
      <c r="AH62" s="29">
        <f t="shared" si="59"/>
        <v>0</v>
      </c>
      <c r="AI62" s="48" t="s">
        <v>59</v>
      </c>
      <c r="AJ62" s="55">
        <f t="shared" si="60"/>
        <v>0</v>
      </c>
      <c r="AK62" s="55">
        <f t="shared" si="61"/>
        <v>0</v>
      </c>
      <c r="AL62" s="55">
        <f t="shared" si="62"/>
        <v>0</v>
      </c>
      <c r="AN62" s="29">
        <v>15</v>
      </c>
      <c r="AO62" s="29">
        <f t="shared" si="63"/>
        <v>0</v>
      </c>
      <c r="AP62" s="29">
        <f t="shared" si="64"/>
        <v>550</v>
      </c>
      <c r="AQ62" s="51" t="s">
        <v>83</v>
      </c>
      <c r="AV62" s="29">
        <f t="shared" si="65"/>
        <v>0</v>
      </c>
      <c r="AW62" s="29">
        <f t="shared" si="66"/>
        <v>0</v>
      </c>
      <c r="AX62" s="29">
        <f t="shared" si="67"/>
        <v>0</v>
      </c>
      <c r="AY62" s="54" t="s">
        <v>640</v>
      </c>
      <c r="AZ62" s="54" t="s">
        <v>652</v>
      </c>
      <c r="BA62" s="48" t="s">
        <v>658</v>
      </c>
      <c r="BC62" s="29">
        <f t="shared" si="68"/>
        <v>0</v>
      </c>
      <c r="BD62" s="29">
        <f t="shared" si="69"/>
        <v>550</v>
      </c>
      <c r="BE62" s="29">
        <v>0</v>
      </c>
      <c r="BF62" s="29">
        <f t="shared" si="70"/>
        <v>0</v>
      </c>
      <c r="BH62" s="55">
        <f t="shared" si="71"/>
        <v>0</v>
      </c>
      <c r="BI62" s="55">
        <f t="shared" si="72"/>
        <v>0</v>
      </c>
      <c r="BJ62" s="55">
        <f t="shared" si="73"/>
        <v>0</v>
      </c>
    </row>
    <row r="63" spans="1:47" ht="12.75">
      <c r="A63" s="35"/>
      <c r="B63" s="42" t="s">
        <v>59</v>
      </c>
      <c r="C63" s="42" t="s">
        <v>288</v>
      </c>
      <c r="D63" s="42" t="s">
        <v>481</v>
      </c>
      <c r="E63" s="35" t="s">
        <v>57</v>
      </c>
      <c r="F63" s="35" t="s">
        <v>57</v>
      </c>
      <c r="G63" s="35" t="s">
        <v>57</v>
      </c>
      <c r="H63" s="59">
        <f>SUM(H64:H64)</f>
        <v>0</v>
      </c>
      <c r="I63" s="59">
        <f>SUM(I64:I64)</f>
        <v>0</v>
      </c>
      <c r="J63" s="59">
        <f>SUM(J64:J64)</f>
        <v>0</v>
      </c>
      <c r="K63" s="48"/>
      <c r="L63" s="59">
        <f>SUM(L64:L64)</f>
        <v>0</v>
      </c>
      <c r="M63" s="48"/>
      <c r="AI63" s="48" t="s">
        <v>59</v>
      </c>
      <c r="AS63" s="59">
        <f>SUM(AJ64:AJ64)</f>
        <v>0</v>
      </c>
      <c r="AT63" s="59">
        <f>SUM(AK64:AK64)</f>
        <v>0</v>
      </c>
      <c r="AU63" s="59">
        <f>SUM(AL64:AL64)</f>
        <v>0</v>
      </c>
    </row>
    <row r="64" spans="1:62" ht="12.75">
      <c r="A64" s="36" t="s">
        <v>120</v>
      </c>
      <c r="B64" s="36" t="s">
        <v>59</v>
      </c>
      <c r="C64" s="36" t="s">
        <v>289</v>
      </c>
      <c r="D64" s="36" t="s">
        <v>482</v>
      </c>
      <c r="E64" s="36" t="s">
        <v>612</v>
      </c>
      <c r="F64" s="55">
        <f>'Stavební rozpočet'!F64</f>
        <v>0</v>
      </c>
      <c r="G64" s="55">
        <f>'Stavební rozpočet'!G64</f>
        <v>255</v>
      </c>
      <c r="H64" s="55">
        <f>F64*AO64</f>
        <v>0</v>
      </c>
      <c r="I64" s="55">
        <f>F64*AP64</f>
        <v>0</v>
      </c>
      <c r="J64" s="55">
        <f>F64*G64</f>
        <v>0</v>
      </c>
      <c r="K64" s="55">
        <f>'Stavební rozpočet'!K64</f>
        <v>0</v>
      </c>
      <c r="L64" s="55">
        <f>F64*K64</f>
        <v>0</v>
      </c>
      <c r="M64" s="51" t="s">
        <v>622</v>
      </c>
      <c r="Z64" s="29">
        <f>IF(AQ64="5",BJ64,0)</f>
        <v>0</v>
      </c>
      <c r="AB64" s="29">
        <f>IF(AQ64="1",BH64,0)</f>
        <v>0</v>
      </c>
      <c r="AC64" s="29">
        <f>IF(AQ64="1",BI64,0)</f>
        <v>0</v>
      </c>
      <c r="AD64" s="29">
        <f>IF(AQ64="7",BH64,0)</f>
        <v>0</v>
      </c>
      <c r="AE64" s="29">
        <f>IF(AQ64="7",BI64,0)</f>
        <v>0</v>
      </c>
      <c r="AF64" s="29">
        <f>IF(AQ64="2",BH64,0)</f>
        <v>0</v>
      </c>
      <c r="AG64" s="29">
        <f>IF(AQ64="2",BI64,0)</f>
        <v>0</v>
      </c>
      <c r="AH64" s="29">
        <f>IF(AQ64="0",BJ64,0)</f>
        <v>0</v>
      </c>
      <c r="AI64" s="48" t="s">
        <v>59</v>
      </c>
      <c r="AJ64" s="55">
        <f>IF(AN64=0,J64,0)</f>
        <v>0</v>
      </c>
      <c r="AK64" s="55">
        <f>IF(AN64=15,J64,0)</f>
        <v>0</v>
      </c>
      <c r="AL64" s="55">
        <f>IF(AN64=21,J64,0)</f>
        <v>0</v>
      </c>
      <c r="AN64" s="29">
        <v>15</v>
      </c>
      <c r="AO64" s="29">
        <f>G64*0</f>
        <v>0</v>
      </c>
      <c r="AP64" s="29">
        <f>G64*(1-0)</f>
        <v>255</v>
      </c>
      <c r="AQ64" s="51" t="s">
        <v>83</v>
      </c>
      <c r="AV64" s="29">
        <f>AW64+AX64</f>
        <v>0</v>
      </c>
      <c r="AW64" s="29">
        <f>F64*AO64</f>
        <v>0</v>
      </c>
      <c r="AX64" s="29">
        <f>F64*AP64</f>
        <v>0</v>
      </c>
      <c r="AY64" s="54" t="s">
        <v>641</v>
      </c>
      <c r="AZ64" s="54" t="s">
        <v>652</v>
      </c>
      <c r="BA64" s="48" t="s">
        <v>658</v>
      </c>
      <c r="BC64" s="29">
        <f>AW64+AX64</f>
        <v>0</v>
      </c>
      <c r="BD64" s="29">
        <f>G64/(100-BE64)*100</f>
        <v>254.99999999999997</v>
      </c>
      <c r="BE64" s="29">
        <v>0</v>
      </c>
      <c r="BF64" s="29">
        <f>L64</f>
        <v>0</v>
      </c>
      <c r="BH64" s="55">
        <f>F64*AO64</f>
        <v>0</v>
      </c>
      <c r="BI64" s="55">
        <f>F64*AP64</f>
        <v>0</v>
      </c>
      <c r="BJ64" s="55">
        <f>F64*G64</f>
        <v>0</v>
      </c>
    </row>
    <row r="65" spans="1:47" ht="12.75">
      <c r="A65" s="35"/>
      <c r="B65" s="42" t="s">
        <v>59</v>
      </c>
      <c r="C65" s="42" t="s">
        <v>290</v>
      </c>
      <c r="D65" s="42" t="s">
        <v>483</v>
      </c>
      <c r="E65" s="35" t="s">
        <v>57</v>
      </c>
      <c r="F65" s="35" t="s">
        <v>57</v>
      </c>
      <c r="G65" s="35" t="s">
        <v>57</v>
      </c>
      <c r="H65" s="59">
        <f>SUM(H66:H75)</f>
        <v>0</v>
      </c>
      <c r="I65" s="59">
        <f>SUM(I66:I75)</f>
        <v>0</v>
      </c>
      <c r="J65" s="59">
        <f>SUM(J66:J75)</f>
        <v>0</v>
      </c>
      <c r="K65" s="48"/>
      <c r="L65" s="59">
        <f>SUM(L66:L75)</f>
        <v>0</v>
      </c>
      <c r="M65" s="48"/>
      <c r="AI65" s="48" t="s">
        <v>59</v>
      </c>
      <c r="AS65" s="59">
        <f>SUM(AJ66:AJ75)</f>
        <v>0</v>
      </c>
      <c r="AT65" s="59">
        <f>SUM(AK66:AK75)</f>
        <v>0</v>
      </c>
      <c r="AU65" s="59">
        <f>SUM(AL66:AL75)</f>
        <v>0</v>
      </c>
    </row>
    <row r="66" spans="1:62" ht="12.75">
      <c r="A66" s="36" t="s">
        <v>121</v>
      </c>
      <c r="B66" s="36" t="s">
        <v>59</v>
      </c>
      <c r="C66" s="36" t="s">
        <v>291</v>
      </c>
      <c r="D66" s="36" t="s">
        <v>484</v>
      </c>
      <c r="E66" s="36" t="s">
        <v>609</v>
      </c>
      <c r="F66" s="55">
        <f>'Stavební rozpočet'!F66</f>
        <v>0</v>
      </c>
      <c r="G66" s="55">
        <f>'Stavební rozpočet'!G66</f>
        <v>180</v>
      </c>
      <c r="H66" s="55">
        <f aca="true" t="shared" si="74" ref="H66:H75">F66*AO66</f>
        <v>0</v>
      </c>
      <c r="I66" s="55">
        <f aca="true" t="shared" si="75" ref="I66:I75">F66*AP66</f>
        <v>0</v>
      </c>
      <c r="J66" s="55">
        <f aca="true" t="shared" si="76" ref="J66:J75">F66*G66</f>
        <v>0</v>
      </c>
      <c r="K66" s="55">
        <f>'Stavební rozpočet'!K66</f>
        <v>0</v>
      </c>
      <c r="L66" s="55">
        <f aca="true" t="shared" si="77" ref="L66:L75">F66*K66</f>
        <v>0</v>
      </c>
      <c r="M66" s="51" t="s">
        <v>622</v>
      </c>
      <c r="Z66" s="29">
        <f aca="true" t="shared" si="78" ref="Z66:Z75">IF(AQ66="5",BJ66,0)</f>
        <v>0</v>
      </c>
      <c r="AB66" s="29">
        <f aca="true" t="shared" si="79" ref="AB66:AB75">IF(AQ66="1",BH66,0)</f>
        <v>0</v>
      </c>
      <c r="AC66" s="29">
        <f aca="true" t="shared" si="80" ref="AC66:AC75">IF(AQ66="1",BI66,0)</f>
        <v>0</v>
      </c>
      <c r="AD66" s="29">
        <f aca="true" t="shared" si="81" ref="AD66:AD75">IF(AQ66="7",BH66,0)</f>
        <v>0</v>
      </c>
      <c r="AE66" s="29">
        <f aca="true" t="shared" si="82" ref="AE66:AE75">IF(AQ66="7",BI66,0)</f>
        <v>0</v>
      </c>
      <c r="AF66" s="29">
        <f aca="true" t="shared" si="83" ref="AF66:AF75">IF(AQ66="2",BH66,0)</f>
        <v>0</v>
      </c>
      <c r="AG66" s="29">
        <f aca="true" t="shared" si="84" ref="AG66:AG75">IF(AQ66="2",BI66,0)</f>
        <v>0</v>
      </c>
      <c r="AH66" s="29">
        <f aca="true" t="shared" si="85" ref="AH66:AH75">IF(AQ66="0",BJ66,0)</f>
        <v>0</v>
      </c>
      <c r="AI66" s="48" t="s">
        <v>59</v>
      </c>
      <c r="AJ66" s="55">
        <f aca="true" t="shared" si="86" ref="AJ66:AJ75">IF(AN66=0,J66,0)</f>
        <v>0</v>
      </c>
      <c r="AK66" s="55">
        <f aca="true" t="shared" si="87" ref="AK66:AK75">IF(AN66=15,J66,0)</f>
        <v>0</v>
      </c>
      <c r="AL66" s="55">
        <f aca="true" t="shared" si="88" ref="AL66:AL75">IF(AN66=21,J66,0)</f>
        <v>0</v>
      </c>
      <c r="AN66" s="29">
        <v>15</v>
      </c>
      <c r="AO66" s="29">
        <f aca="true" t="shared" si="89" ref="AO66:AO75">G66*0</f>
        <v>0</v>
      </c>
      <c r="AP66" s="29">
        <f aca="true" t="shared" si="90" ref="AP66:AP75">G66*(1-0)</f>
        <v>180</v>
      </c>
      <c r="AQ66" s="51" t="s">
        <v>85</v>
      </c>
      <c r="AV66" s="29">
        <f aca="true" t="shared" si="91" ref="AV66:AV75">AW66+AX66</f>
        <v>0</v>
      </c>
      <c r="AW66" s="29">
        <f aca="true" t="shared" si="92" ref="AW66:AW75">F66*AO66</f>
        <v>0</v>
      </c>
      <c r="AX66" s="29">
        <f aca="true" t="shared" si="93" ref="AX66:AX75">F66*AP66</f>
        <v>0</v>
      </c>
      <c r="AY66" s="54" t="s">
        <v>642</v>
      </c>
      <c r="AZ66" s="54" t="s">
        <v>653</v>
      </c>
      <c r="BA66" s="48" t="s">
        <v>658</v>
      </c>
      <c r="BC66" s="29">
        <f aca="true" t="shared" si="94" ref="BC66:BC75">AW66+AX66</f>
        <v>0</v>
      </c>
      <c r="BD66" s="29">
        <f aca="true" t="shared" si="95" ref="BD66:BD75">G66/(100-BE66)*100</f>
        <v>180</v>
      </c>
      <c r="BE66" s="29">
        <v>0</v>
      </c>
      <c r="BF66" s="29">
        <f aca="true" t="shared" si="96" ref="BF66:BF75">L66</f>
        <v>0</v>
      </c>
      <c r="BH66" s="55">
        <f aca="true" t="shared" si="97" ref="BH66:BH75">F66*AO66</f>
        <v>0</v>
      </c>
      <c r="BI66" s="55">
        <f aca="true" t="shared" si="98" ref="BI66:BI75">F66*AP66</f>
        <v>0</v>
      </c>
      <c r="BJ66" s="55">
        <f aca="true" t="shared" si="99" ref="BJ66:BJ75">F66*G66</f>
        <v>0</v>
      </c>
    </row>
    <row r="67" spans="1:62" ht="12.75">
      <c r="A67" s="36" t="s">
        <v>122</v>
      </c>
      <c r="B67" s="36" t="s">
        <v>59</v>
      </c>
      <c r="C67" s="36" t="s">
        <v>292</v>
      </c>
      <c r="D67" s="36" t="s">
        <v>485</v>
      </c>
      <c r="E67" s="36" t="s">
        <v>609</v>
      </c>
      <c r="F67" s="55">
        <f>'Stavební rozpočet'!F67</f>
        <v>0</v>
      </c>
      <c r="G67" s="55">
        <f>'Stavební rozpočet'!G67</f>
        <v>45</v>
      </c>
      <c r="H67" s="55">
        <f t="shared" si="74"/>
        <v>0</v>
      </c>
      <c r="I67" s="55">
        <f t="shared" si="75"/>
        <v>0</v>
      </c>
      <c r="J67" s="55">
        <f t="shared" si="76"/>
        <v>0</v>
      </c>
      <c r="K67" s="55">
        <f>'Stavební rozpočet'!K67</f>
        <v>0</v>
      </c>
      <c r="L67" s="55">
        <f t="shared" si="77"/>
        <v>0</v>
      </c>
      <c r="M67" s="51" t="s">
        <v>622</v>
      </c>
      <c r="Z67" s="29">
        <f t="shared" si="78"/>
        <v>0</v>
      </c>
      <c r="AB67" s="29">
        <f t="shared" si="79"/>
        <v>0</v>
      </c>
      <c r="AC67" s="29">
        <f t="shared" si="80"/>
        <v>0</v>
      </c>
      <c r="AD67" s="29">
        <f t="shared" si="81"/>
        <v>0</v>
      </c>
      <c r="AE67" s="29">
        <f t="shared" si="82"/>
        <v>0</v>
      </c>
      <c r="AF67" s="29">
        <f t="shared" si="83"/>
        <v>0</v>
      </c>
      <c r="AG67" s="29">
        <f t="shared" si="84"/>
        <v>0</v>
      </c>
      <c r="AH67" s="29">
        <f t="shared" si="85"/>
        <v>0</v>
      </c>
      <c r="AI67" s="48" t="s">
        <v>59</v>
      </c>
      <c r="AJ67" s="55">
        <f t="shared" si="86"/>
        <v>0</v>
      </c>
      <c r="AK67" s="55">
        <f t="shared" si="87"/>
        <v>0</v>
      </c>
      <c r="AL67" s="55">
        <f t="shared" si="88"/>
        <v>0</v>
      </c>
      <c r="AN67" s="29">
        <v>15</v>
      </c>
      <c r="AO67" s="29">
        <f t="shared" si="89"/>
        <v>0</v>
      </c>
      <c r="AP67" s="29">
        <f t="shared" si="90"/>
        <v>45</v>
      </c>
      <c r="AQ67" s="51" t="s">
        <v>85</v>
      </c>
      <c r="AV67" s="29">
        <f t="shared" si="91"/>
        <v>0</v>
      </c>
      <c r="AW67" s="29">
        <f t="shared" si="92"/>
        <v>0</v>
      </c>
      <c r="AX67" s="29">
        <f t="shared" si="93"/>
        <v>0</v>
      </c>
      <c r="AY67" s="54" t="s">
        <v>642</v>
      </c>
      <c r="AZ67" s="54" t="s">
        <v>653</v>
      </c>
      <c r="BA67" s="48" t="s">
        <v>658</v>
      </c>
      <c r="BC67" s="29">
        <f t="shared" si="94"/>
        <v>0</v>
      </c>
      <c r="BD67" s="29">
        <f t="shared" si="95"/>
        <v>45</v>
      </c>
      <c r="BE67" s="29">
        <v>0</v>
      </c>
      <c r="BF67" s="29">
        <f t="shared" si="96"/>
        <v>0</v>
      </c>
      <c r="BH67" s="55">
        <f t="shared" si="97"/>
        <v>0</v>
      </c>
      <c r="BI67" s="55">
        <f t="shared" si="98"/>
        <v>0</v>
      </c>
      <c r="BJ67" s="55">
        <f t="shared" si="99"/>
        <v>0</v>
      </c>
    </row>
    <row r="68" spans="1:62" ht="12.75">
      <c r="A68" s="36" t="s">
        <v>123</v>
      </c>
      <c r="B68" s="36" t="s">
        <v>59</v>
      </c>
      <c r="C68" s="36" t="s">
        <v>293</v>
      </c>
      <c r="D68" s="36" t="s">
        <v>486</v>
      </c>
      <c r="E68" s="36" t="s">
        <v>606</v>
      </c>
      <c r="F68" s="55">
        <f>'Stavební rozpočet'!F68</f>
        <v>0</v>
      </c>
      <c r="G68" s="55">
        <f>'Stavební rozpočet'!G68</f>
        <v>50</v>
      </c>
      <c r="H68" s="55">
        <f t="shared" si="74"/>
        <v>0</v>
      </c>
      <c r="I68" s="55">
        <f t="shared" si="75"/>
        <v>0</v>
      </c>
      <c r="J68" s="55">
        <f t="shared" si="76"/>
        <v>0</v>
      </c>
      <c r="K68" s="55">
        <f>'Stavební rozpočet'!K68</f>
        <v>0</v>
      </c>
      <c r="L68" s="55">
        <f t="shared" si="77"/>
        <v>0</v>
      </c>
      <c r="M68" s="51" t="s">
        <v>622</v>
      </c>
      <c r="Z68" s="29">
        <f t="shared" si="78"/>
        <v>0</v>
      </c>
      <c r="AB68" s="29">
        <f t="shared" si="79"/>
        <v>0</v>
      </c>
      <c r="AC68" s="29">
        <f t="shared" si="80"/>
        <v>0</v>
      </c>
      <c r="AD68" s="29">
        <f t="shared" si="81"/>
        <v>0</v>
      </c>
      <c r="AE68" s="29">
        <f t="shared" si="82"/>
        <v>0</v>
      </c>
      <c r="AF68" s="29">
        <f t="shared" si="83"/>
        <v>0</v>
      </c>
      <c r="AG68" s="29">
        <f t="shared" si="84"/>
        <v>0</v>
      </c>
      <c r="AH68" s="29">
        <f t="shared" si="85"/>
        <v>0</v>
      </c>
      <c r="AI68" s="48" t="s">
        <v>59</v>
      </c>
      <c r="AJ68" s="55">
        <f t="shared" si="86"/>
        <v>0</v>
      </c>
      <c r="AK68" s="55">
        <f t="shared" si="87"/>
        <v>0</v>
      </c>
      <c r="AL68" s="55">
        <f t="shared" si="88"/>
        <v>0</v>
      </c>
      <c r="AN68" s="29">
        <v>15</v>
      </c>
      <c r="AO68" s="29">
        <f t="shared" si="89"/>
        <v>0</v>
      </c>
      <c r="AP68" s="29">
        <f t="shared" si="90"/>
        <v>50</v>
      </c>
      <c r="AQ68" s="51" t="s">
        <v>85</v>
      </c>
      <c r="AV68" s="29">
        <f t="shared" si="91"/>
        <v>0</v>
      </c>
      <c r="AW68" s="29">
        <f t="shared" si="92"/>
        <v>0</v>
      </c>
      <c r="AX68" s="29">
        <f t="shared" si="93"/>
        <v>0</v>
      </c>
      <c r="AY68" s="54" t="s">
        <v>642</v>
      </c>
      <c r="AZ68" s="54" t="s">
        <v>653</v>
      </c>
      <c r="BA68" s="48" t="s">
        <v>658</v>
      </c>
      <c r="BC68" s="29">
        <f t="shared" si="94"/>
        <v>0</v>
      </c>
      <c r="BD68" s="29">
        <f t="shared" si="95"/>
        <v>50</v>
      </c>
      <c r="BE68" s="29">
        <v>0</v>
      </c>
      <c r="BF68" s="29">
        <f t="shared" si="96"/>
        <v>0</v>
      </c>
      <c r="BH68" s="55">
        <f t="shared" si="97"/>
        <v>0</v>
      </c>
      <c r="BI68" s="55">
        <f t="shared" si="98"/>
        <v>0</v>
      </c>
      <c r="BJ68" s="55">
        <f t="shared" si="99"/>
        <v>0</v>
      </c>
    </row>
    <row r="69" spans="1:62" ht="12.75">
      <c r="A69" s="36" t="s">
        <v>124</v>
      </c>
      <c r="B69" s="36" t="s">
        <v>59</v>
      </c>
      <c r="C69" s="36" t="s">
        <v>294</v>
      </c>
      <c r="D69" s="36" t="s">
        <v>487</v>
      </c>
      <c r="E69" s="36" t="s">
        <v>606</v>
      </c>
      <c r="F69" s="55">
        <f>'Stavební rozpočet'!F69</f>
        <v>0</v>
      </c>
      <c r="G69" s="55">
        <f>'Stavební rozpočet'!G69</f>
        <v>250</v>
      </c>
      <c r="H69" s="55">
        <f t="shared" si="74"/>
        <v>0</v>
      </c>
      <c r="I69" s="55">
        <f t="shared" si="75"/>
        <v>0</v>
      </c>
      <c r="J69" s="55">
        <f t="shared" si="76"/>
        <v>0</v>
      </c>
      <c r="K69" s="55">
        <f>'Stavební rozpočet'!K69</f>
        <v>0</v>
      </c>
      <c r="L69" s="55">
        <f t="shared" si="77"/>
        <v>0</v>
      </c>
      <c r="M69" s="51" t="s">
        <v>622</v>
      </c>
      <c r="Z69" s="29">
        <f t="shared" si="78"/>
        <v>0</v>
      </c>
      <c r="AB69" s="29">
        <f t="shared" si="79"/>
        <v>0</v>
      </c>
      <c r="AC69" s="29">
        <f t="shared" si="80"/>
        <v>0</v>
      </c>
      <c r="AD69" s="29">
        <f t="shared" si="81"/>
        <v>0</v>
      </c>
      <c r="AE69" s="29">
        <f t="shared" si="82"/>
        <v>0</v>
      </c>
      <c r="AF69" s="29">
        <f t="shared" si="83"/>
        <v>0</v>
      </c>
      <c r="AG69" s="29">
        <f t="shared" si="84"/>
        <v>0</v>
      </c>
      <c r="AH69" s="29">
        <f t="shared" si="85"/>
        <v>0</v>
      </c>
      <c r="AI69" s="48" t="s">
        <v>59</v>
      </c>
      <c r="AJ69" s="55">
        <f t="shared" si="86"/>
        <v>0</v>
      </c>
      <c r="AK69" s="55">
        <f t="shared" si="87"/>
        <v>0</v>
      </c>
      <c r="AL69" s="55">
        <f t="shared" si="88"/>
        <v>0</v>
      </c>
      <c r="AN69" s="29">
        <v>15</v>
      </c>
      <c r="AO69" s="29">
        <f t="shared" si="89"/>
        <v>0</v>
      </c>
      <c r="AP69" s="29">
        <f t="shared" si="90"/>
        <v>250</v>
      </c>
      <c r="AQ69" s="51" t="s">
        <v>85</v>
      </c>
      <c r="AV69" s="29">
        <f t="shared" si="91"/>
        <v>0</v>
      </c>
      <c r="AW69" s="29">
        <f t="shared" si="92"/>
        <v>0</v>
      </c>
      <c r="AX69" s="29">
        <f t="shared" si="93"/>
        <v>0</v>
      </c>
      <c r="AY69" s="54" t="s">
        <v>642</v>
      </c>
      <c r="AZ69" s="54" t="s">
        <v>653</v>
      </c>
      <c r="BA69" s="48" t="s">
        <v>658</v>
      </c>
      <c r="BC69" s="29">
        <f t="shared" si="94"/>
        <v>0</v>
      </c>
      <c r="BD69" s="29">
        <f t="shared" si="95"/>
        <v>250</v>
      </c>
      <c r="BE69" s="29">
        <v>0</v>
      </c>
      <c r="BF69" s="29">
        <f t="shared" si="96"/>
        <v>0</v>
      </c>
      <c r="BH69" s="55">
        <f t="shared" si="97"/>
        <v>0</v>
      </c>
      <c r="BI69" s="55">
        <f t="shared" si="98"/>
        <v>0</v>
      </c>
      <c r="BJ69" s="55">
        <f t="shared" si="99"/>
        <v>0</v>
      </c>
    </row>
    <row r="70" spans="1:62" ht="12.75">
      <c r="A70" s="36" t="s">
        <v>125</v>
      </c>
      <c r="B70" s="36" t="s">
        <v>59</v>
      </c>
      <c r="C70" s="36" t="s">
        <v>295</v>
      </c>
      <c r="D70" s="36" t="s">
        <v>488</v>
      </c>
      <c r="E70" s="36" t="s">
        <v>606</v>
      </c>
      <c r="F70" s="55">
        <f>'Stavební rozpočet'!F70</f>
        <v>0</v>
      </c>
      <c r="G70" s="55">
        <f>'Stavební rozpočet'!G70</f>
        <v>250</v>
      </c>
      <c r="H70" s="55">
        <f t="shared" si="74"/>
        <v>0</v>
      </c>
      <c r="I70" s="55">
        <f t="shared" si="75"/>
        <v>0</v>
      </c>
      <c r="J70" s="55">
        <f t="shared" si="76"/>
        <v>0</v>
      </c>
      <c r="K70" s="55">
        <f>'Stavební rozpočet'!K70</f>
        <v>0</v>
      </c>
      <c r="L70" s="55">
        <f t="shared" si="77"/>
        <v>0</v>
      </c>
      <c r="M70" s="51" t="s">
        <v>622</v>
      </c>
      <c r="Z70" s="29">
        <f t="shared" si="78"/>
        <v>0</v>
      </c>
      <c r="AB70" s="29">
        <f t="shared" si="79"/>
        <v>0</v>
      </c>
      <c r="AC70" s="29">
        <f t="shared" si="80"/>
        <v>0</v>
      </c>
      <c r="AD70" s="29">
        <f t="shared" si="81"/>
        <v>0</v>
      </c>
      <c r="AE70" s="29">
        <f t="shared" si="82"/>
        <v>0</v>
      </c>
      <c r="AF70" s="29">
        <f t="shared" si="83"/>
        <v>0</v>
      </c>
      <c r="AG70" s="29">
        <f t="shared" si="84"/>
        <v>0</v>
      </c>
      <c r="AH70" s="29">
        <f t="shared" si="85"/>
        <v>0</v>
      </c>
      <c r="AI70" s="48" t="s">
        <v>59</v>
      </c>
      <c r="AJ70" s="55">
        <f t="shared" si="86"/>
        <v>0</v>
      </c>
      <c r="AK70" s="55">
        <f t="shared" si="87"/>
        <v>0</v>
      </c>
      <c r="AL70" s="55">
        <f t="shared" si="88"/>
        <v>0</v>
      </c>
      <c r="AN70" s="29">
        <v>15</v>
      </c>
      <c r="AO70" s="29">
        <f t="shared" si="89"/>
        <v>0</v>
      </c>
      <c r="AP70" s="29">
        <f t="shared" si="90"/>
        <v>250</v>
      </c>
      <c r="AQ70" s="51" t="s">
        <v>85</v>
      </c>
      <c r="AV70" s="29">
        <f t="shared" si="91"/>
        <v>0</v>
      </c>
      <c r="AW70" s="29">
        <f t="shared" si="92"/>
        <v>0</v>
      </c>
      <c r="AX70" s="29">
        <f t="shared" si="93"/>
        <v>0</v>
      </c>
      <c r="AY70" s="54" t="s">
        <v>642</v>
      </c>
      <c r="AZ70" s="54" t="s">
        <v>653</v>
      </c>
      <c r="BA70" s="48" t="s">
        <v>658</v>
      </c>
      <c r="BC70" s="29">
        <f t="shared" si="94"/>
        <v>0</v>
      </c>
      <c r="BD70" s="29">
        <f t="shared" si="95"/>
        <v>250</v>
      </c>
      <c r="BE70" s="29">
        <v>0</v>
      </c>
      <c r="BF70" s="29">
        <f t="shared" si="96"/>
        <v>0</v>
      </c>
      <c r="BH70" s="55">
        <f t="shared" si="97"/>
        <v>0</v>
      </c>
      <c r="BI70" s="55">
        <f t="shared" si="98"/>
        <v>0</v>
      </c>
      <c r="BJ70" s="55">
        <f t="shared" si="99"/>
        <v>0</v>
      </c>
    </row>
    <row r="71" spans="1:62" ht="12.75">
      <c r="A71" s="36" t="s">
        <v>126</v>
      </c>
      <c r="B71" s="36" t="s">
        <v>59</v>
      </c>
      <c r="C71" s="36" t="s">
        <v>296</v>
      </c>
      <c r="D71" s="36" t="s">
        <v>489</v>
      </c>
      <c r="E71" s="36" t="s">
        <v>606</v>
      </c>
      <c r="F71" s="55">
        <f>'Stavební rozpočet'!F71</f>
        <v>0</v>
      </c>
      <c r="G71" s="55">
        <f>'Stavební rozpočet'!G71</f>
        <v>150</v>
      </c>
      <c r="H71" s="55">
        <f t="shared" si="74"/>
        <v>0</v>
      </c>
      <c r="I71" s="55">
        <f t="shared" si="75"/>
        <v>0</v>
      </c>
      <c r="J71" s="55">
        <f t="shared" si="76"/>
        <v>0</v>
      </c>
      <c r="K71" s="55">
        <f>'Stavební rozpočet'!K71</f>
        <v>0</v>
      </c>
      <c r="L71" s="55">
        <f t="shared" si="77"/>
        <v>0</v>
      </c>
      <c r="M71" s="51" t="s">
        <v>622</v>
      </c>
      <c r="Z71" s="29">
        <f t="shared" si="78"/>
        <v>0</v>
      </c>
      <c r="AB71" s="29">
        <f t="shared" si="79"/>
        <v>0</v>
      </c>
      <c r="AC71" s="29">
        <f t="shared" si="80"/>
        <v>0</v>
      </c>
      <c r="AD71" s="29">
        <f t="shared" si="81"/>
        <v>0</v>
      </c>
      <c r="AE71" s="29">
        <f t="shared" si="82"/>
        <v>0</v>
      </c>
      <c r="AF71" s="29">
        <f t="shared" si="83"/>
        <v>0</v>
      </c>
      <c r="AG71" s="29">
        <f t="shared" si="84"/>
        <v>0</v>
      </c>
      <c r="AH71" s="29">
        <f t="shared" si="85"/>
        <v>0</v>
      </c>
      <c r="AI71" s="48" t="s">
        <v>59</v>
      </c>
      <c r="AJ71" s="55">
        <f t="shared" si="86"/>
        <v>0</v>
      </c>
      <c r="AK71" s="55">
        <f t="shared" si="87"/>
        <v>0</v>
      </c>
      <c r="AL71" s="55">
        <f t="shared" si="88"/>
        <v>0</v>
      </c>
      <c r="AN71" s="29">
        <v>15</v>
      </c>
      <c r="AO71" s="29">
        <f t="shared" si="89"/>
        <v>0</v>
      </c>
      <c r="AP71" s="29">
        <f t="shared" si="90"/>
        <v>150</v>
      </c>
      <c r="AQ71" s="51" t="s">
        <v>85</v>
      </c>
      <c r="AV71" s="29">
        <f t="shared" si="91"/>
        <v>0</v>
      </c>
      <c r="AW71" s="29">
        <f t="shared" si="92"/>
        <v>0</v>
      </c>
      <c r="AX71" s="29">
        <f t="shared" si="93"/>
        <v>0</v>
      </c>
      <c r="AY71" s="54" t="s">
        <v>642</v>
      </c>
      <c r="AZ71" s="54" t="s">
        <v>653</v>
      </c>
      <c r="BA71" s="48" t="s">
        <v>658</v>
      </c>
      <c r="BC71" s="29">
        <f t="shared" si="94"/>
        <v>0</v>
      </c>
      <c r="BD71" s="29">
        <f t="shared" si="95"/>
        <v>150</v>
      </c>
      <c r="BE71" s="29">
        <v>0</v>
      </c>
      <c r="BF71" s="29">
        <f t="shared" si="96"/>
        <v>0</v>
      </c>
      <c r="BH71" s="55">
        <f t="shared" si="97"/>
        <v>0</v>
      </c>
      <c r="BI71" s="55">
        <f t="shared" si="98"/>
        <v>0</v>
      </c>
      <c r="BJ71" s="55">
        <f t="shared" si="99"/>
        <v>0</v>
      </c>
    </row>
    <row r="72" spans="1:62" ht="12.75">
      <c r="A72" s="36" t="s">
        <v>127</v>
      </c>
      <c r="B72" s="36" t="s">
        <v>59</v>
      </c>
      <c r="C72" s="36" t="s">
        <v>297</v>
      </c>
      <c r="D72" s="36" t="s">
        <v>490</v>
      </c>
      <c r="E72" s="36" t="s">
        <v>606</v>
      </c>
      <c r="F72" s="55">
        <f>'Stavební rozpočet'!F72</f>
        <v>0</v>
      </c>
      <c r="G72" s="55">
        <f>'Stavební rozpočet'!G72</f>
        <v>150</v>
      </c>
      <c r="H72" s="55">
        <f t="shared" si="74"/>
        <v>0</v>
      </c>
      <c r="I72" s="55">
        <f t="shared" si="75"/>
        <v>0</v>
      </c>
      <c r="J72" s="55">
        <f t="shared" si="76"/>
        <v>0</v>
      </c>
      <c r="K72" s="55">
        <f>'Stavební rozpočet'!K72</f>
        <v>0</v>
      </c>
      <c r="L72" s="55">
        <f t="shared" si="77"/>
        <v>0</v>
      </c>
      <c r="M72" s="51" t="s">
        <v>622</v>
      </c>
      <c r="Z72" s="29">
        <f t="shared" si="78"/>
        <v>0</v>
      </c>
      <c r="AB72" s="29">
        <f t="shared" si="79"/>
        <v>0</v>
      </c>
      <c r="AC72" s="29">
        <f t="shared" si="80"/>
        <v>0</v>
      </c>
      <c r="AD72" s="29">
        <f t="shared" si="81"/>
        <v>0</v>
      </c>
      <c r="AE72" s="29">
        <f t="shared" si="82"/>
        <v>0</v>
      </c>
      <c r="AF72" s="29">
        <f t="shared" si="83"/>
        <v>0</v>
      </c>
      <c r="AG72" s="29">
        <f t="shared" si="84"/>
        <v>0</v>
      </c>
      <c r="AH72" s="29">
        <f t="shared" si="85"/>
        <v>0</v>
      </c>
      <c r="AI72" s="48" t="s">
        <v>59</v>
      </c>
      <c r="AJ72" s="55">
        <f t="shared" si="86"/>
        <v>0</v>
      </c>
      <c r="AK72" s="55">
        <f t="shared" si="87"/>
        <v>0</v>
      </c>
      <c r="AL72" s="55">
        <f t="shared" si="88"/>
        <v>0</v>
      </c>
      <c r="AN72" s="29">
        <v>15</v>
      </c>
      <c r="AO72" s="29">
        <f t="shared" si="89"/>
        <v>0</v>
      </c>
      <c r="AP72" s="29">
        <f t="shared" si="90"/>
        <v>150</v>
      </c>
      <c r="AQ72" s="51" t="s">
        <v>85</v>
      </c>
      <c r="AV72" s="29">
        <f t="shared" si="91"/>
        <v>0</v>
      </c>
      <c r="AW72" s="29">
        <f t="shared" si="92"/>
        <v>0</v>
      </c>
      <c r="AX72" s="29">
        <f t="shared" si="93"/>
        <v>0</v>
      </c>
      <c r="AY72" s="54" t="s">
        <v>642</v>
      </c>
      <c r="AZ72" s="54" t="s">
        <v>653</v>
      </c>
      <c r="BA72" s="48" t="s">
        <v>658</v>
      </c>
      <c r="BC72" s="29">
        <f t="shared" si="94"/>
        <v>0</v>
      </c>
      <c r="BD72" s="29">
        <f t="shared" si="95"/>
        <v>150</v>
      </c>
      <c r="BE72" s="29">
        <v>0</v>
      </c>
      <c r="BF72" s="29">
        <f t="shared" si="96"/>
        <v>0</v>
      </c>
      <c r="BH72" s="55">
        <f t="shared" si="97"/>
        <v>0</v>
      </c>
      <c r="BI72" s="55">
        <f t="shared" si="98"/>
        <v>0</v>
      </c>
      <c r="BJ72" s="55">
        <f t="shared" si="99"/>
        <v>0</v>
      </c>
    </row>
    <row r="73" spans="1:62" ht="12.75">
      <c r="A73" s="36" t="s">
        <v>128</v>
      </c>
      <c r="B73" s="36" t="s">
        <v>59</v>
      </c>
      <c r="C73" s="36" t="s">
        <v>298</v>
      </c>
      <c r="D73" s="36" t="s">
        <v>491</v>
      </c>
      <c r="E73" s="36" t="s">
        <v>606</v>
      </c>
      <c r="F73" s="55">
        <f>'Stavební rozpočet'!F73</f>
        <v>0</v>
      </c>
      <c r="G73" s="55">
        <f>'Stavební rozpočet'!G73</f>
        <v>200</v>
      </c>
      <c r="H73" s="55">
        <f t="shared" si="74"/>
        <v>0</v>
      </c>
      <c r="I73" s="55">
        <f t="shared" si="75"/>
        <v>0</v>
      </c>
      <c r="J73" s="55">
        <f t="shared" si="76"/>
        <v>0</v>
      </c>
      <c r="K73" s="55">
        <f>'Stavební rozpočet'!K73</f>
        <v>0</v>
      </c>
      <c r="L73" s="55">
        <f t="shared" si="77"/>
        <v>0</v>
      </c>
      <c r="M73" s="51" t="s">
        <v>622</v>
      </c>
      <c r="Z73" s="29">
        <f t="shared" si="78"/>
        <v>0</v>
      </c>
      <c r="AB73" s="29">
        <f t="shared" si="79"/>
        <v>0</v>
      </c>
      <c r="AC73" s="29">
        <f t="shared" si="80"/>
        <v>0</v>
      </c>
      <c r="AD73" s="29">
        <f t="shared" si="81"/>
        <v>0</v>
      </c>
      <c r="AE73" s="29">
        <f t="shared" si="82"/>
        <v>0</v>
      </c>
      <c r="AF73" s="29">
        <f t="shared" si="83"/>
        <v>0</v>
      </c>
      <c r="AG73" s="29">
        <f t="shared" si="84"/>
        <v>0</v>
      </c>
      <c r="AH73" s="29">
        <f t="shared" si="85"/>
        <v>0</v>
      </c>
      <c r="AI73" s="48" t="s">
        <v>59</v>
      </c>
      <c r="AJ73" s="55">
        <f t="shared" si="86"/>
        <v>0</v>
      </c>
      <c r="AK73" s="55">
        <f t="shared" si="87"/>
        <v>0</v>
      </c>
      <c r="AL73" s="55">
        <f t="shared" si="88"/>
        <v>0</v>
      </c>
      <c r="AN73" s="29">
        <v>15</v>
      </c>
      <c r="AO73" s="29">
        <f t="shared" si="89"/>
        <v>0</v>
      </c>
      <c r="AP73" s="29">
        <f t="shared" si="90"/>
        <v>200</v>
      </c>
      <c r="AQ73" s="51" t="s">
        <v>85</v>
      </c>
      <c r="AV73" s="29">
        <f t="shared" si="91"/>
        <v>0</v>
      </c>
      <c r="AW73" s="29">
        <f t="shared" si="92"/>
        <v>0</v>
      </c>
      <c r="AX73" s="29">
        <f t="shared" si="93"/>
        <v>0</v>
      </c>
      <c r="AY73" s="54" t="s">
        <v>642</v>
      </c>
      <c r="AZ73" s="54" t="s">
        <v>653</v>
      </c>
      <c r="BA73" s="48" t="s">
        <v>658</v>
      </c>
      <c r="BC73" s="29">
        <f t="shared" si="94"/>
        <v>0</v>
      </c>
      <c r="BD73" s="29">
        <f t="shared" si="95"/>
        <v>200</v>
      </c>
      <c r="BE73" s="29">
        <v>0</v>
      </c>
      <c r="BF73" s="29">
        <f t="shared" si="96"/>
        <v>0</v>
      </c>
      <c r="BH73" s="55">
        <f t="shared" si="97"/>
        <v>0</v>
      </c>
      <c r="BI73" s="55">
        <f t="shared" si="98"/>
        <v>0</v>
      </c>
      <c r="BJ73" s="55">
        <f t="shared" si="99"/>
        <v>0</v>
      </c>
    </row>
    <row r="74" spans="1:62" ht="12.75">
      <c r="A74" s="36" t="s">
        <v>129</v>
      </c>
      <c r="B74" s="36" t="s">
        <v>59</v>
      </c>
      <c r="C74" s="36" t="s">
        <v>299</v>
      </c>
      <c r="D74" s="36" t="s">
        <v>492</v>
      </c>
      <c r="E74" s="36" t="s">
        <v>606</v>
      </c>
      <c r="F74" s="55">
        <f>'Stavební rozpočet'!F74</f>
        <v>0</v>
      </c>
      <c r="G74" s="55">
        <f>'Stavební rozpočet'!G74</f>
        <v>200</v>
      </c>
      <c r="H74" s="55">
        <f t="shared" si="74"/>
        <v>0</v>
      </c>
      <c r="I74" s="55">
        <f t="shared" si="75"/>
        <v>0</v>
      </c>
      <c r="J74" s="55">
        <f t="shared" si="76"/>
        <v>0</v>
      </c>
      <c r="K74" s="55">
        <f>'Stavební rozpočet'!K74</f>
        <v>0</v>
      </c>
      <c r="L74" s="55">
        <f t="shared" si="77"/>
        <v>0</v>
      </c>
      <c r="M74" s="51" t="s">
        <v>622</v>
      </c>
      <c r="Z74" s="29">
        <f t="shared" si="78"/>
        <v>0</v>
      </c>
      <c r="AB74" s="29">
        <f t="shared" si="79"/>
        <v>0</v>
      </c>
      <c r="AC74" s="29">
        <f t="shared" si="80"/>
        <v>0</v>
      </c>
      <c r="AD74" s="29">
        <f t="shared" si="81"/>
        <v>0</v>
      </c>
      <c r="AE74" s="29">
        <f t="shared" si="82"/>
        <v>0</v>
      </c>
      <c r="AF74" s="29">
        <f t="shared" si="83"/>
        <v>0</v>
      </c>
      <c r="AG74" s="29">
        <f t="shared" si="84"/>
        <v>0</v>
      </c>
      <c r="AH74" s="29">
        <f t="shared" si="85"/>
        <v>0</v>
      </c>
      <c r="AI74" s="48" t="s">
        <v>59</v>
      </c>
      <c r="AJ74" s="55">
        <f t="shared" si="86"/>
        <v>0</v>
      </c>
      <c r="AK74" s="55">
        <f t="shared" si="87"/>
        <v>0</v>
      </c>
      <c r="AL74" s="55">
        <f t="shared" si="88"/>
        <v>0</v>
      </c>
      <c r="AN74" s="29">
        <v>15</v>
      </c>
      <c r="AO74" s="29">
        <f t="shared" si="89"/>
        <v>0</v>
      </c>
      <c r="AP74" s="29">
        <f t="shared" si="90"/>
        <v>200</v>
      </c>
      <c r="AQ74" s="51" t="s">
        <v>85</v>
      </c>
      <c r="AV74" s="29">
        <f t="shared" si="91"/>
        <v>0</v>
      </c>
      <c r="AW74" s="29">
        <f t="shared" si="92"/>
        <v>0</v>
      </c>
      <c r="AX74" s="29">
        <f t="shared" si="93"/>
        <v>0</v>
      </c>
      <c r="AY74" s="54" t="s">
        <v>642</v>
      </c>
      <c r="AZ74" s="54" t="s">
        <v>653</v>
      </c>
      <c r="BA74" s="48" t="s">
        <v>658</v>
      </c>
      <c r="BC74" s="29">
        <f t="shared" si="94"/>
        <v>0</v>
      </c>
      <c r="BD74" s="29">
        <f t="shared" si="95"/>
        <v>200</v>
      </c>
      <c r="BE74" s="29">
        <v>0</v>
      </c>
      <c r="BF74" s="29">
        <f t="shared" si="96"/>
        <v>0</v>
      </c>
      <c r="BH74" s="55">
        <f t="shared" si="97"/>
        <v>0</v>
      </c>
      <c r="BI74" s="55">
        <f t="shared" si="98"/>
        <v>0</v>
      </c>
      <c r="BJ74" s="55">
        <f t="shared" si="99"/>
        <v>0</v>
      </c>
    </row>
    <row r="75" spans="1:62" ht="12.75">
      <c r="A75" s="36" t="s">
        <v>130</v>
      </c>
      <c r="B75" s="36" t="s">
        <v>59</v>
      </c>
      <c r="C75" s="36" t="s">
        <v>300</v>
      </c>
      <c r="D75" s="36" t="s">
        <v>493</v>
      </c>
      <c r="E75" s="36" t="s">
        <v>606</v>
      </c>
      <c r="F75" s="55">
        <f>'Stavební rozpočet'!F75</f>
        <v>0</v>
      </c>
      <c r="G75" s="55">
        <f>'Stavební rozpočet'!G75</f>
        <v>100</v>
      </c>
      <c r="H75" s="55">
        <f t="shared" si="74"/>
        <v>0</v>
      </c>
      <c r="I75" s="55">
        <f t="shared" si="75"/>
        <v>0</v>
      </c>
      <c r="J75" s="55">
        <f t="shared" si="76"/>
        <v>0</v>
      </c>
      <c r="K75" s="55">
        <f>'Stavební rozpočet'!K75</f>
        <v>0</v>
      </c>
      <c r="L75" s="55">
        <f t="shared" si="77"/>
        <v>0</v>
      </c>
      <c r="M75" s="51" t="s">
        <v>622</v>
      </c>
      <c r="Z75" s="29">
        <f t="shared" si="78"/>
        <v>0</v>
      </c>
      <c r="AB75" s="29">
        <f t="shared" si="79"/>
        <v>0</v>
      </c>
      <c r="AC75" s="29">
        <f t="shared" si="80"/>
        <v>0</v>
      </c>
      <c r="AD75" s="29">
        <f t="shared" si="81"/>
        <v>0</v>
      </c>
      <c r="AE75" s="29">
        <f t="shared" si="82"/>
        <v>0</v>
      </c>
      <c r="AF75" s="29">
        <f t="shared" si="83"/>
        <v>0</v>
      </c>
      <c r="AG75" s="29">
        <f t="shared" si="84"/>
        <v>0</v>
      </c>
      <c r="AH75" s="29">
        <f t="shared" si="85"/>
        <v>0</v>
      </c>
      <c r="AI75" s="48" t="s">
        <v>59</v>
      </c>
      <c r="AJ75" s="55">
        <f t="shared" si="86"/>
        <v>0</v>
      </c>
      <c r="AK75" s="55">
        <f t="shared" si="87"/>
        <v>0</v>
      </c>
      <c r="AL75" s="55">
        <f t="shared" si="88"/>
        <v>0</v>
      </c>
      <c r="AN75" s="29">
        <v>15</v>
      </c>
      <c r="AO75" s="29">
        <f t="shared" si="89"/>
        <v>0</v>
      </c>
      <c r="AP75" s="29">
        <f t="shared" si="90"/>
        <v>100</v>
      </c>
      <c r="AQ75" s="51" t="s">
        <v>85</v>
      </c>
      <c r="AV75" s="29">
        <f t="shared" si="91"/>
        <v>0</v>
      </c>
      <c r="AW75" s="29">
        <f t="shared" si="92"/>
        <v>0</v>
      </c>
      <c r="AX75" s="29">
        <f t="shared" si="93"/>
        <v>0</v>
      </c>
      <c r="AY75" s="54" t="s">
        <v>642</v>
      </c>
      <c r="AZ75" s="54" t="s">
        <v>653</v>
      </c>
      <c r="BA75" s="48" t="s">
        <v>658</v>
      </c>
      <c r="BC75" s="29">
        <f t="shared" si="94"/>
        <v>0</v>
      </c>
      <c r="BD75" s="29">
        <f t="shared" si="95"/>
        <v>100</v>
      </c>
      <c r="BE75" s="29">
        <v>0</v>
      </c>
      <c r="BF75" s="29">
        <f t="shared" si="96"/>
        <v>0</v>
      </c>
      <c r="BH75" s="55">
        <f t="shared" si="97"/>
        <v>0</v>
      </c>
      <c r="BI75" s="55">
        <f t="shared" si="98"/>
        <v>0</v>
      </c>
      <c r="BJ75" s="55">
        <f t="shared" si="99"/>
        <v>0</v>
      </c>
    </row>
    <row r="76" spans="1:47" ht="12.75">
      <c r="A76" s="35"/>
      <c r="B76" s="42" t="s">
        <v>59</v>
      </c>
      <c r="C76" s="42" t="s">
        <v>301</v>
      </c>
      <c r="D76" s="42" t="s">
        <v>494</v>
      </c>
      <c r="E76" s="35" t="s">
        <v>57</v>
      </c>
      <c r="F76" s="35" t="s">
        <v>57</v>
      </c>
      <c r="G76" s="35" t="s">
        <v>57</v>
      </c>
      <c r="H76" s="59">
        <f>SUM(H77:H88)</f>
        <v>0</v>
      </c>
      <c r="I76" s="59">
        <f>SUM(I77:I88)</f>
        <v>0</v>
      </c>
      <c r="J76" s="59">
        <f>SUM(J77:J88)</f>
        <v>0</v>
      </c>
      <c r="K76" s="48"/>
      <c r="L76" s="59">
        <f>SUM(L77:L88)</f>
        <v>0</v>
      </c>
      <c r="M76" s="48"/>
      <c r="AI76" s="48" t="s">
        <v>59</v>
      </c>
      <c r="AS76" s="59">
        <f>SUM(AJ77:AJ88)</f>
        <v>0</v>
      </c>
      <c r="AT76" s="59">
        <f>SUM(AK77:AK88)</f>
        <v>0</v>
      </c>
      <c r="AU76" s="59">
        <f>SUM(AL77:AL88)</f>
        <v>0</v>
      </c>
    </row>
    <row r="77" spans="1:62" ht="12.75">
      <c r="A77" s="36" t="s">
        <v>131</v>
      </c>
      <c r="B77" s="36" t="s">
        <v>59</v>
      </c>
      <c r="C77" s="36" t="s">
        <v>302</v>
      </c>
      <c r="D77" s="36" t="s">
        <v>495</v>
      </c>
      <c r="E77" s="36" t="s">
        <v>609</v>
      </c>
      <c r="F77" s="55">
        <f>'Stavební rozpočet'!F77</f>
        <v>0</v>
      </c>
      <c r="G77" s="55">
        <f>'Stavební rozpočet'!G77</f>
        <v>60.1</v>
      </c>
      <c r="H77" s="55">
        <f aca="true" t="shared" si="100" ref="H77:H88">F77*AO77</f>
        <v>0</v>
      </c>
      <c r="I77" s="55">
        <f aca="true" t="shared" si="101" ref="I77:I88">F77*AP77</f>
        <v>0</v>
      </c>
      <c r="J77" s="55">
        <f aca="true" t="shared" si="102" ref="J77:J88">F77*G77</f>
        <v>0</v>
      </c>
      <c r="K77" s="55">
        <f>'Stavební rozpočet'!K77</f>
        <v>0</v>
      </c>
      <c r="L77" s="55">
        <f aca="true" t="shared" si="103" ref="L77:L88">F77*K77</f>
        <v>0</v>
      </c>
      <c r="M77" s="51" t="s">
        <v>622</v>
      </c>
      <c r="Z77" s="29">
        <f aca="true" t="shared" si="104" ref="Z77:Z88">IF(AQ77="5",BJ77,0)</f>
        <v>0</v>
      </c>
      <c r="AB77" s="29">
        <f aca="true" t="shared" si="105" ref="AB77:AB88">IF(AQ77="1",BH77,0)</f>
        <v>0</v>
      </c>
      <c r="AC77" s="29">
        <f aca="true" t="shared" si="106" ref="AC77:AC88">IF(AQ77="1",BI77,0)</f>
        <v>0</v>
      </c>
      <c r="AD77" s="29">
        <f aca="true" t="shared" si="107" ref="AD77:AD88">IF(AQ77="7",BH77,0)</f>
        <v>0</v>
      </c>
      <c r="AE77" s="29">
        <f aca="true" t="shared" si="108" ref="AE77:AE88">IF(AQ77="7",BI77,0)</f>
        <v>0</v>
      </c>
      <c r="AF77" s="29">
        <f aca="true" t="shared" si="109" ref="AF77:AF88">IF(AQ77="2",BH77,0)</f>
        <v>0</v>
      </c>
      <c r="AG77" s="29">
        <f aca="true" t="shared" si="110" ref="AG77:AG88">IF(AQ77="2",BI77,0)</f>
        <v>0</v>
      </c>
      <c r="AH77" s="29">
        <f aca="true" t="shared" si="111" ref="AH77:AH88">IF(AQ77="0",BJ77,0)</f>
        <v>0</v>
      </c>
      <c r="AI77" s="48" t="s">
        <v>59</v>
      </c>
      <c r="AJ77" s="55">
        <f aca="true" t="shared" si="112" ref="AJ77:AJ88">IF(AN77=0,J77,0)</f>
        <v>0</v>
      </c>
      <c r="AK77" s="55">
        <f aca="true" t="shared" si="113" ref="AK77:AK88">IF(AN77=15,J77,0)</f>
        <v>0</v>
      </c>
      <c r="AL77" s="55">
        <f aca="true" t="shared" si="114" ref="AL77:AL88">IF(AN77=21,J77,0)</f>
        <v>0</v>
      </c>
      <c r="AN77" s="29">
        <v>15</v>
      </c>
      <c r="AO77" s="29">
        <f aca="true" t="shared" si="115" ref="AO77:AO88">G77*0</f>
        <v>0</v>
      </c>
      <c r="AP77" s="29">
        <f aca="true" t="shared" si="116" ref="AP77:AP88">G77*(1-0)</f>
        <v>60.1</v>
      </c>
      <c r="AQ77" s="51" t="s">
        <v>85</v>
      </c>
      <c r="AV77" s="29">
        <f aca="true" t="shared" si="117" ref="AV77:AV88">AW77+AX77</f>
        <v>0</v>
      </c>
      <c r="AW77" s="29">
        <f aca="true" t="shared" si="118" ref="AW77:AW88">F77*AO77</f>
        <v>0</v>
      </c>
      <c r="AX77" s="29">
        <f aca="true" t="shared" si="119" ref="AX77:AX88">F77*AP77</f>
        <v>0</v>
      </c>
      <c r="AY77" s="54" t="s">
        <v>643</v>
      </c>
      <c r="AZ77" s="54" t="s">
        <v>653</v>
      </c>
      <c r="BA77" s="48" t="s">
        <v>658</v>
      </c>
      <c r="BC77" s="29">
        <f aca="true" t="shared" si="120" ref="BC77:BC88">AW77+AX77</f>
        <v>0</v>
      </c>
      <c r="BD77" s="29">
        <f aca="true" t="shared" si="121" ref="BD77:BD88">G77/(100-BE77)*100</f>
        <v>60.099999999999994</v>
      </c>
      <c r="BE77" s="29">
        <v>0</v>
      </c>
      <c r="BF77" s="29">
        <f aca="true" t="shared" si="122" ref="BF77:BF88">L77</f>
        <v>0</v>
      </c>
      <c r="BH77" s="55">
        <f aca="true" t="shared" si="123" ref="BH77:BH88">F77*AO77</f>
        <v>0</v>
      </c>
      <c r="BI77" s="55">
        <f aca="true" t="shared" si="124" ref="BI77:BI88">F77*AP77</f>
        <v>0</v>
      </c>
      <c r="BJ77" s="55">
        <f aca="true" t="shared" si="125" ref="BJ77:BJ88">F77*G77</f>
        <v>0</v>
      </c>
    </row>
    <row r="78" spans="1:62" ht="12.75">
      <c r="A78" s="36" t="s">
        <v>132</v>
      </c>
      <c r="B78" s="36" t="s">
        <v>59</v>
      </c>
      <c r="C78" s="36" t="s">
        <v>303</v>
      </c>
      <c r="D78" s="36" t="s">
        <v>496</v>
      </c>
      <c r="E78" s="36" t="s">
        <v>606</v>
      </c>
      <c r="F78" s="55">
        <f>'Stavební rozpočet'!F78</f>
        <v>0</v>
      </c>
      <c r="G78" s="55">
        <f>'Stavební rozpočet'!G78</f>
        <v>475</v>
      </c>
      <c r="H78" s="55">
        <f t="shared" si="100"/>
        <v>0</v>
      </c>
      <c r="I78" s="55">
        <f t="shared" si="101"/>
        <v>0</v>
      </c>
      <c r="J78" s="55">
        <f t="shared" si="102"/>
        <v>0</v>
      </c>
      <c r="K78" s="55">
        <f>'Stavební rozpočet'!K78</f>
        <v>0</v>
      </c>
      <c r="L78" s="55">
        <f t="shared" si="103"/>
        <v>0</v>
      </c>
      <c r="M78" s="51" t="s">
        <v>622</v>
      </c>
      <c r="Z78" s="29">
        <f t="shared" si="104"/>
        <v>0</v>
      </c>
      <c r="AB78" s="29">
        <f t="shared" si="105"/>
        <v>0</v>
      </c>
      <c r="AC78" s="29">
        <f t="shared" si="106"/>
        <v>0</v>
      </c>
      <c r="AD78" s="29">
        <f t="shared" si="107"/>
        <v>0</v>
      </c>
      <c r="AE78" s="29">
        <f t="shared" si="108"/>
        <v>0</v>
      </c>
      <c r="AF78" s="29">
        <f t="shared" si="109"/>
        <v>0</v>
      </c>
      <c r="AG78" s="29">
        <f t="shared" si="110"/>
        <v>0</v>
      </c>
      <c r="AH78" s="29">
        <f t="shared" si="111"/>
        <v>0</v>
      </c>
      <c r="AI78" s="48" t="s">
        <v>59</v>
      </c>
      <c r="AJ78" s="55">
        <f t="shared" si="112"/>
        <v>0</v>
      </c>
      <c r="AK78" s="55">
        <f t="shared" si="113"/>
        <v>0</v>
      </c>
      <c r="AL78" s="55">
        <f t="shared" si="114"/>
        <v>0</v>
      </c>
      <c r="AN78" s="29">
        <v>15</v>
      </c>
      <c r="AO78" s="29">
        <f t="shared" si="115"/>
        <v>0</v>
      </c>
      <c r="AP78" s="29">
        <f t="shared" si="116"/>
        <v>475</v>
      </c>
      <c r="AQ78" s="51" t="s">
        <v>85</v>
      </c>
      <c r="AV78" s="29">
        <f t="shared" si="117"/>
        <v>0</v>
      </c>
      <c r="AW78" s="29">
        <f t="shared" si="118"/>
        <v>0</v>
      </c>
      <c r="AX78" s="29">
        <f t="shared" si="119"/>
        <v>0</v>
      </c>
      <c r="AY78" s="54" t="s">
        <v>643</v>
      </c>
      <c r="AZ78" s="54" t="s">
        <v>653</v>
      </c>
      <c r="BA78" s="48" t="s">
        <v>658</v>
      </c>
      <c r="BC78" s="29">
        <f t="shared" si="120"/>
        <v>0</v>
      </c>
      <c r="BD78" s="29">
        <f t="shared" si="121"/>
        <v>475</v>
      </c>
      <c r="BE78" s="29">
        <v>0</v>
      </c>
      <c r="BF78" s="29">
        <f t="shared" si="122"/>
        <v>0</v>
      </c>
      <c r="BH78" s="55">
        <f t="shared" si="123"/>
        <v>0</v>
      </c>
      <c r="BI78" s="55">
        <f t="shared" si="124"/>
        <v>0</v>
      </c>
      <c r="BJ78" s="55">
        <f t="shared" si="125"/>
        <v>0</v>
      </c>
    </row>
    <row r="79" spans="1:62" ht="12.75">
      <c r="A79" s="36" t="s">
        <v>133</v>
      </c>
      <c r="B79" s="36" t="s">
        <v>59</v>
      </c>
      <c r="C79" s="36" t="s">
        <v>304</v>
      </c>
      <c r="D79" s="36" t="s">
        <v>497</v>
      </c>
      <c r="E79" s="36" t="s">
        <v>611</v>
      </c>
      <c r="F79" s="55">
        <f>'Stavební rozpočet'!F79</f>
        <v>0</v>
      </c>
      <c r="G79" s="55">
        <f>'Stavební rozpočet'!G79</f>
        <v>249</v>
      </c>
      <c r="H79" s="55">
        <f t="shared" si="100"/>
        <v>0</v>
      </c>
      <c r="I79" s="55">
        <f t="shared" si="101"/>
        <v>0</v>
      </c>
      <c r="J79" s="55">
        <f t="shared" si="102"/>
        <v>0</v>
      </c>
      <c r="K79" s="55">
        <f>'Stavební rozpočet'!K79</f>
        <v>0</v>
      </c>
      <c r="L79" s="55">
        <f t="shared" si="103"/>
        <v>0</v>
      </c>
      <c r="M79" s="51" t="s">
        <v>622</v>
      </c>
      <c r="Z79" s="29">
        <f t="shared" si="104"/>
        <v>0</v>
      </c>
      <c r="AB79" s="29">
        <f t="shared" si="105"/>
        <v>0</v>
      </c>
      <c r="AC79" s="29">
        <f t="shared" si="106"/>
        <v>0</v>
      </c>
      <c r="AD79" s="29">
        <f t="shared" si="107"/>
        <v>0</v>
      </c>
      <c r="AE79" s="29">
        <f t="shared" si="108"/>
        <v>0</v>
      </c>
      <c r="AF79" s="29">
        <f t="shared" si="109"/>
        <v>0</v>
      </c>
      <c r="AG79" s="29">
        <f t="shared" si="110"/>
        <v>0</v>
      </c>
      <c r="AH79" s="29">
        <f t="shared" si="111"/>
        <v>0</v>
      </c>
      <c r="AI79" s="48" t="s">
        <v>59</v>
      </c>
      <c r="AJ79" s="55">
        <f t="shared" si="112"/>
        <v>0</v>
      </c>
      <c r="AK79" s="55">
        <f t="shared" si="113"/>
        <v>0</v>
      </c>
      <c r="AL79" s="55">
        <f t="shared" si="114"/>
        <v>0</v>
      </c>
      <c r="AN79" s="29">
        <v>15</v>
      </c>
      <c r="AO79" s="29">
        <f t="shared" si="115"/>
        <v>0</v>
      </c>
      <c r="AP79" s="29">
        <f t="shared" si="116"/>
        <v>249</v>
      </c>
      <c r="AQ79" s="51" t="s">
        <v>85</v>
      </c>
      <c r="AV79" s="29">
        <f t="shared" si="117"/>
        <v>0</v>
      </c>
      <c r="AW79" s="29">
        <f t="shared" si="118"/>
        <v>0</v>
      </c>
      <c r="AX79" s="29">
        <f t="shared" si="119"/>
        <v>0</v>
      </c>
      <c r="AY79" s="54" t="s">
        <v>643</v>
      </c>
      <c r="AZ79" s="54" t="s">
        <v>653</v>
      </c>
      <c r="BA79" s="48" t="s">
        <v>658</v>
      </c>
      <c r="BC79" s="29">
        <f t="shared" si="120"/>
        <v>0</v>
      </c>
      <c r="BD79" s="29">
        <f t="shared" si="121"/>
        <v>249.00000000000003</v>
      </c>
      <c r="BE79" s="29">
        <v>0</v>
      </c>
      <c r="BF79" s="29">
        <f t="shared" si="122"/>
        <v>0</v>
      </c>
      <c r="BH79" s="55">
        <f t="shared" si="123"/>
        <v>0</v>
      </c>
      <c r="BI79" s="55">
        <f t="shared" si="124"/>
        <v>0</v>
      </c>
      <c r="BJ79" s="55">
        <f t="shared" si="125"/>
        <v>0</v>
      </c>
    </row>
    <row r="80" spans="1:62" ht="12.75">
      <c r="A80" s="36" t="s">
        <v>134</v>
      </c>
      <c r="B80" s="36" t="s">
        <v>59</v>
      </c>
      <c r="C80" s="36" t="s">
        <v>305</v>
      </c>
      <c r="D80" s="36" t="s">
        <v>498</v>
      </c>
      <c r="E80" s="36" t="s">
        <v>606</v>
      </c>
      <c r="F80" s="55">
        <f>'Stavební rozpočet'!F80</f>
        <v>0</v>
      </c>
      <c r="G80" s="55">
        <f>'Stavební rozpočet'!G80</f>
        <v>200</v>
      </c>
      <c r="H80" s="55">
        <f t="shared" si="100"/>
        <v>0</v>
      </c>
      <c r="I80" s="55">
        <f t="shared" si="101"/>
        <v>0</v>
      </c>
      <c r="J80" s="55">
        <f t="shared" si="102"/>
        <v>0</v>
      </c>
      <c r="K80" s="55">
        <f>'Stavební rozpočet'!K80</f>
        <v>0</v>
      </c>
      <c r="L80" s="55">
        <f t="shared" si="103"/>
        <v>0</v>
      </c>
      <c r="M80" s="51" t="s">
        <v>622</v>
      </c>
      <c r="Z80" s="29">
        <f t="shared" si="104"/>
        <v>0</v>
      </c>
      <c r="AB80" s="29">
        <f t="shared" si="105"/>
        <v>0</v>
      </c>
      <c r="AC80" s="29">
        <f t="shared" si="106"/>
        <v>0</v>
      </c>
      <c r="AD80" s="29">
        <f t="shared" si="107"/>
        <v>0</v>
      </c>
      <c r="AE80" s="29">
        <f t="shared" si="108"/>
        <v>0</v>
      </c>
      <c r="AF80" s="29">
        <f t="shared" si="109"/>
        <v>0</v>
      </c>
      <c r="AG80" s="29">
        <f t="shared" si="110"/>
        <v>0</v>
      </c>
      <c r="AH80" s="29">
        <f t="shared" si="111"/>
        <v>0</v>
      </c>
      <c r="AI80" s="48" t="s">
        <v>59</v>
      </c>
      <c r="AJ80" s="55">
        <f t="shared" si="112"/>
        <v>0</v>
      </c>
      <c r="AK80" s="55">
        <f t="shared" si="113"/>
        <v>0</v>
      </c>
      <c r="AL80" s="55">
        <f t="shared" si="114"/>
        <v>0</v>
      </c>
      <c r="AN80" s="29">
        <v>15</v>
      </c>
      <c r="AO80" s="29">
        <f t="shared" si="115"/>
        <v>0</v>
      </c>
      <c r="AP80" s="29">
        <f t="shared" si="116"/>
        <v>200</v>
      </c>
      <c r="AQ80" s="51" t="s">
        <v>85</v>
      </c>
      <c r="AV80" s="29">
        <f t="shared" si="117"/>
        <v>0</v>
      </c>
      <c r="AW80" s="29">
        <f t="shared" si="118"/>
        <v>0</v>
      </c>
      <c r="AX80" s="29">
        <f t="shared" si="119"/>
        <v>0</v>
      </c>
      <c r="AY80" s="54" t="s">
        <v>643</v>
      </c>
      <c r="AZ80" s="54" t="s">
        <v>653</v>
      </c>
      <c r="BA80" s="48" t="s">
        <v>658</v>
      </c>
      <c r="BC80" s="29">
        <f t="shared" si="120"/>
        <v>0</v>
      </c>
      <c r="BD80" s="29">
        <f t="shared" si="121"/>
        <v>200</v>
      </c>
      <c r="BE80" s="29">
        <v>0</v>
      </c>
      <c r="BF80" s="29">
        <f t="shared" si="122"/>
        <v>0</v>
      </c>
      <c r="BH80" s="55">
        <f t="shared" si="123"/>
        <v>0</v>
      </c>
      <c r="BI80" s="55">
        <f t="shared" si="124"/>
        <v>0</v>
      </c>
      <c r="BJ80" s="55">
        <f t="shared" si="125"/>
        <v>0</v>
      </c>
    </row>
    <row r="81" spans="1:62" ht="12.75">
      <c r="A81" s="36" t="s">
        <v>135</v>
      </c>
      <c r="B81" s="36" t="s">
        <v>59</v>
      </c>
      <c r="C81" s="36" t="s">
        <v>306</v>
      </c>
      <c r="D81" s="36" t="s">
        <v>499</v>
      </c>
      <c r="E81" s="36" t="s">
        <v>606</v>
      </c>
      <c r="F81" s="55">
        <f>'Stavební rozpočet'!F81</f>
        <v>0</v>
      </c>
      <c r="G81" s="55">
        <f>'Stavební rozpočet'!G81</f>
        <v>250</v>
      </c>
      <c r="H81" s="55">
        <f t="shared" si="100"/>
        <v>0</v>
      </c>
      <c r="I81" s="55">
        <f t="shared" si="101"/>
        <v>0</v>
      </c>
      <c r="J81" s="55">
        <f t="shared" si="102"/>
        <v>0</v>
      </c>
      <c r="K81" s="55">
        <f>'Stavební rozpočet'!K81</f>
        <v>0</v>
      </c>
      <c r="L81" s="55">
        <f t="shared" si="103"/>
        <v>0</v>
      </c>
      <c r="M81" s="51" t="s">
        <v>622</v>
      </c>
      <c r="Z81" s="29">
        <f t="shared" si="104"/>
        <v>0</v>
      </c>
      <c r="AB81" s="29">
        <f t="shared" si="105"/>
        <v>0</v>
      </c>
      <c r="AC81" s="29">
        <f t="shared" si="106"/>
        <v>0</v>
      </c>
      <c r="AD81" s="29">
        <f t="shared" si="107"/>
        <v>0</v>
      </c>
      <c r="AE81" s="29">
        <f t="shared" si="108"/>
        <v>0</v>
      </c>
      <c r="AF81" s="29">
        <f t="shared" si="109"/>
        <v>0</v>
      </c>
      <c r="AG81" s="29">
        <f t="shared" si="110"/>
        <v>0</v>
      </c>
      <c r="AH81" s="29">
        <f t="shared" si="111"/>
        <v>0</v>
      </c>
      <c r="AI81" s="48" t="s">
        <v>59</v>
      </c>
      <c r="AJ81" s="55">
        <f t="shared" si="112"/>
        <v>0</v>
      </c>
      <c r="AK81" s="55">
        <f t="shared" si="113"/>
        <v>0</v>
      </c>
      <c r="AL81" s="55">
        <f t="shared" si="114"/>
        <v>0</v>
      </c>
      <c r="AN81" s="29">
        <v>15</v>
      </c>
      <c r="AO81" s="29">
        <f t="shared" si="115"/>
        <v>0</v>
      </c>
      <c r="AP81" s="29">
        <f t="shared" si="116"/>
        <v>250</v>
      </c>
      <c r="AQ81" s="51" t="s">
        <v>85</v>
      </c>
      <c r="AV81" s="29">
        <f t="shared" si="117"/>
        <v>0</v>
      </c>
      <c r="AW81" s="29">
        <f t="shared" si="118"/>
        <v>0</v>
      </c>
      <c r="AX81" s="29">
        <f t="shared" si="119"/>
        <v>0</v>
      </c>
      <c r="AY81" s="54" t="s">
        <v>643</v>
      </c>
      <c r="AZ81" s="54" t="s">
        <v>653</v>
      </c>
      <c r="BA81" s="48" t="s">
        <v>658</v>
      </c>
      <c r="BC81" s="29">
        <f t="shared" si="120"/>
        <v>0</v>
      </c>
      <c r="BD81" s="29">
        <f t="shared" si="121"/>
        <v>250</v>
      </c>
      <c r="BE81" s="29">
        <v>0</v>
      </c>
      <c r="BF81" s="29">
        <f t="shared" si="122"/>
        <v>0</v>
      </c>
      <c r="BH81" s="55">
        <f t="shared" si="123"/>
        <v>0</v>
      </c>
      <c r="BI81" s="55">
        <f t="shared" si="124"/>
        <v>0</v>
      </c>
      <c r="BJ81" s="55">
        <f t="shared" si="125"/>
        <v>0</v>
      </c>
    </row>
    <row r="82" spans="1:62" ht="12.75">
      <c r="A82" s="36" t="s">
        <v>136</v>
      </c>
      <c r="B82" s="36" t="s">
        <v>59</v>
      </c>
      <c r="C82" s="36" t="s">
        <v>307</v>
      </c>
      <c r="D82" s="36" t="s">
        <v>500</v>
      </c>
      <c r="E82" s="36" t="s">
        <v>606</v>
      </c>
      <c r="F82" s="55">
        <f>'Stavební rozpočet'!F82</f>
        <v>0</v>
      </c>
      <c r="G82" s="55">
        <f>'Stavební rozpočet'!G82</f>
        <v>1000</v>
      </c>
      <c r="H82" s="55">
        <f t="shared" si="100"/>
        <v>0</v>
      </c>
      <c r="I82" s="55">
        <f t="shared" si="101"/>
        <v>0</v>
      </c>
      <c r="J82" s="55">
        <f t="shared" si="102"/>
        <v>0</v>
      </c>
      <c r="K82" s="55">
        <f>'Stavební rozpočet'!K82</f>
        <v>0</v>
      </c>
      <c r="L82" s="55">
        <f t="shared" si="103"/>
        <v>0</v>
      </c>
      <c r="M82" s="51" t="s">
        <v>622</v>
      </c>
      <c r="Z82" s="29">
        <f t="shared" si="104"/>
        <v>0</v>
      </c>
      <c r="AB82" s="29">
        <f t="shared" si="105"/>
        <v>0</v>
      </c>
      <c r="AC82" s="29">
        <f t="shared" si="106"/>
        <v>0</v>
      </c>
      <c r="AD82" s="29">
        <f t="shared" si="107"/>
        <v>0</v>
      </c>
      <c r="AE82" s="29">
        <f t="shared" si="108"/>
        <v>0</v>
      </c>
      <c r="AF82" s="29">
        <f t="shared" si="109"/>
        <v>0</v>
      </c>
      <c r="AG82" s="29">
        <f t="shared" si="110"/>
        <v>0</v>
      </c>
      <c r="AH82" s="29">
        <f t="shared" si="111"/>
        <v>0</v>
      </c>
      <c r="AI82" s="48" t="s">
        <v>59</v>
      </c>
      <c r="AJ82" s="55">
        <f t="shared" si="112"/>
        <v>0</v>
      </c>
      <c r="AK82" s="55">
        <f t="shared" si="113"/>
        <v>0</v>
      </c>
      <c r="AL82" s="55">
        <f t="shared" si="114"/>
        <v>0</v>
      </c>
      <c r="AN82" s="29">
        <v>15</v>
      </c>
      <c r="AO82" s="29">
        <f t="shared" si="115"/>
        <v>0</v>
      </c>
      <c r="AP82" s="29">
        <f t="shared" si="116"/>
        <v>1000</v>
      </c>
      <c r="AQ82" s="51" t="s">
        <v>85</v>
      </c>
      <c r="AV82" s="29">
        <f t="shared" si="117"/>
        <v>0</v>
      </c>
      <c r="AW82" s="29">
        <f t="shared" si="118"/>
        <v>0</v>
      </c>
      <c r="AX82" s="29">
        <f t="shared" si="119"/>
        <v>0</v>
      </c>
      <c r="AY82" s="54" t="s">
        <v>643</v>
      </c>
      <c r="AZ82" s="54" t="s">
        <v>653</v>
      </c>
      <c r="BA82" s="48" t="s">
        <v>658</v>
      </c>
      <c r="BC82" s="29">
        <f t="shared" si="120"/>
        <v>0</v>
      </c>
      <c r="BD82" s="29">
        <f t="shared" si="121"/>
        <v>1000</v>
      </c>
      <c r="BE82" s="29">
        <v>0</v>
      </c>
      <c r="BF82" s="29">
        <f t="shared" si="122"/>
        <v>0</v>
      </c>
      <c r="BH82" s="55">
        <f t="shared" si="123"/>
        <v>0</v>
      </c>
      <c r="BI82" s="55">
        <f t="shared" si="124"/>
        <v>0</v>
      </c>
      <c r="BJ82" s="55">
        <f t="shared" si="125"/>
        <v>0</v>
      </c>
    </row>
    <row r="83" spans="1:62" ht="12.75">
      <c r="A83" s="36" t="s">
        <v>137</v>
      </c>
      <c r="B83" s="36" t="s">
        <v>59</v>
      </c>
      <c r="C83" s="36" t="s">
        <v>308</v>
      </c>
      <c r="D83" s="36" t="s">
        <v>501</v>
      </c>
      <c r="E83" s="36" t="s">
        <v>611</v>
      </c>
      <c r="F83" s="55">
        <f>'Stavební rozpočet'!F83</f>
        <v>0</v>
      </c>
      <c r="G83" s="55">
        <f>'Stavební rozpočet'!G83</f>
        <v>100</v>
      </c>
      <c r="H83" s="55">
        <f t="shared" si="100"/>
        <v>0</v>
      </c>
      <c r="I83" s="55">
        <f t="shared" si="101"/>
        <v>0</v>
      </c>
      <c r="J83" s="55">
        <f t="shared" si="102"/>
        <v>0</v>
      </c>
      <c r="K83" s="55">
        <f>'Stavební rozpočet'!K83</f>
        <v>0</v>
      </c>
      <c r="L83" s="55">
        <f t="shared" si="103"/>
        <v>0</v>
      </c>
      <c r="M83" s="51" t="s">
        <v>622</v>
      </c>
      <c r="Z83" s="29">
        <f t="shared" si="104"/>
        <v>0</v>
      </c>
      <c r="AB83" s="29">
        <f t="shared" si="105"/>
        <v>0</v>
      </c>
      <c r="AC83" s="29">
        <f t="shared" si="106"/>
        <v>0</v>
      </c>
      <c r="AD83" s="29">
        <f t="shared" si="107"/>
        <v>0</v>
      </c>
      <c r="AE83" s="29">
        <f t="shared" si="108"/>
        <v>0</v>
      </c>
      <c r="AF83" s="29">
        <f t="shared" si="109"/>
        <v>0</v>
      </c>
      <c r="AG83" s="29">
        <f t="shared" si="110"/>
        <v>0</v>
      </c>
      <c r="AH83" s="29">
        <f t="shared" si="111"/>
        <v>0</v>
      </c>
      <c r="AI83" s="48" t="s">
        <v>59</v>
      </c>
      <c r="AJ83" s="55">
        <f t="shared" si="112"/>
        <v>0</v>
      </c>
      <c r="AK83" s="55">
        <f t="shared" si="113"/>
        <v>0</v>
      </c>
      <c r="AL83" s="55">
        <f t="shared" si="114"/>
        <v>0</v>
      </c>
      <c r="AN83" s="29">
        <v>15</v>
      </c>
      <c r="AO83" s="29">
        <f t="shared" si="115"/>
        <v>0</v>
      </c>
      <c r="AP83" s="29">
        <f t="shared" si="116"/>
        <v>100</v>
      </c>
      <c r="AQ83" s="51" t="s">
        <v>85</v>
      </c>
      <c r="AV83" s="29">
        <f t="shared" si="117"/>
        <v>0</v>
      </c>
      <c r="AW83" s="29">
        <f t="shared" si="118"/>
        <v>0</v>
      </c>
      <c r="AX83" s="29">
        <f t="shared" si="119"/>
        <v>0</v>
      </c>
      <c r="AY83" s="54" t="s">
        <v>643</v>
      </c>
      <c r="AZ83" s="54" t="s">
        <v>653</v>
      </c>
      <c r="BA83" s="48" t="s">
        <v>658</v>
      </c>
      <c r="BC83" s="29">
        <f t="shared" si="120"/>
        <v>0</v>
      </c>
      <c r="BD83" s="29">
        <f t="shared" si="121"/>
        <v>100</v>
      </c>
      <c r="BE83" s="29">
        <v>0</v>
      </c>
      <c r="BF83" s="29">
        <f t="shared" si="122"/>
        <v>0</v>
      </c>
      <c r="BH83" s="55">
        <f t="shared" si="123"/>
        <v>0</v>
      </c>
      <c r="BI83" s="55">
        <f t="shared" si="124"/>
        <v>0</v>
      </c>
      <c r="BJ83" s="55">
        <f t="shared" si="125"/>
        <v>0</v>
      </c>
    </row>
    <row r="84" spans="1:62" ht="12.75">
      <c r="A84" s="36" t="s">
        <v>138</v>
      </c>
      <c r="B84" s="36" t="s">
        <v>59</v>
      </c>
      <c r="C84" s="36" t="s">
        <v>309</v>
      </c>
      <c r="D84" s="36" t="s">
        <v>490</v>
      </c>
      <c r="E84" s="36" t="s">
        <v>606</v>
      </c>
      <c r="F84" s="55">
        <f>'Stavební rozpočet'!F84</f>
        <v>0</v>
      </c>
      <c r="G84" s="55">
        <f>'Stavební rozpočet'!G84</f>
        <v>150</v>
      </c>
      <c r="H84" s="55">
        <f t="shared" si="100"/>
        <v>0</v>
      </c>
      <c r="I84" s="55">
        <f t="shared" si="101"/>
        <v>0</v>
      </c>
      <c r="J84" s="55">
        <f t="shared" si="102"/>
        <v>0</v>
      </c>
      <c r="K84" s="55">
        <f>'Stavební rozpočet'!K84</f>
        <v>0</v>
      </c>
      <c r="L84" s="55">
        <f t="shared" si="103"/>
        <v>0</v>
      </c>
      <c r="M84" s="51" t="s">
        <v>622</v>
      </c>
      <c r="Z84" s="29">
        <f t="shared" si="104"/>
        <v>0</v>
      </c>
      <c r="AB84" s="29">
        <f t="shared" si="105"/>
        <v>0</v>
      </c>
      <c r="AC84" s="29">
        <f t="shared" si="106"/>
        <v>0</v>
      </c>
      <c r="AD84" s="29">
        <f t="shared" si="107"/>
        <v>0</v>
      </c>
      <c r="AE84" s="29">
        <f t="shared" si="108"/>
        <v>0</v>
      </c>
      <c r="AF84" s="29">
        <f t="shared" si="109"/>
        <v>0</v>
      </c>
      <c r="AG84" s="29">
        <f t="shared" si="110"/>
        <v>0</v>
      </c>
      <c r="AH84" s="29">
        <f t="shared" si="111"/>
        <v>0</v>
      </c>
      <c r="AI84" s="48" t="s">
        <v>59</v>
      </c>
      <c r="AJ84" s="55">
        <f t="shared" si="112"/>
        <v>0</v>
      </c>
      <c r="AK84" s="55">
        <f t="shared" si="113"/>
        <v>0</v>
      </c>
      <c r="AL84" s="55">
        <f t="shared" si="114"/>
        <v>0</v>
      </c>
      <c r="AN84" s="29">
        <v>15</v>
      </c>
      <c r="AO84" s="29">
        <f t="shared" si="115"/>
        <v>0</v>
      </c>
      <c r="AP84" s="29">
        <f t="shared" si="116"/>
        <v>150</v>
      </c>
      <c r="AQ84" s="51" t="s">
        <v>85</v>
      </c>
      <c r="AV84" s="29">
        <f t="shared" si="117"/>
        <v>0</v>
      </c>
      <c r="AW84" s="29">
        <f t="shared" si="118"/>
        <v>0</v>
      </c>
      <c r="AX84" s="29">
        <f t="shared" si="119"/>
        <v>0</v>
      </c>
      <c r="AY84" s="54" t="s">
        <v>643</v>
      </c>
      <c r="AZ84" s="54" t="s">
        <v>653</v>
      </c>
      <c r="BA84" s="48" t="s">
        <v>658</v>
      </c>
      <c r="BC84" s="29">
        <f t="shared" si="120"/>
        <v>0</v>
      </c>
      <c r="BD84" s="29">
        <f t="shared" si="121"/>
        <v>150</v>
      </c>
      <c r="BE84" s="29">
        <v>0</v>
      </c>
      <c r="BF84" s="29">
        <f t="shared" si="122"/>
        <v>0</v>
      </c>
      <c r="BH84" s="55">
        <f t="shared" si="123"/>
        <v>0</v>
      </c>
      <c r="BI84" s="55">
        <f t="shared" si="124"/>
        <v>0</v>
      </c>
      <c r="BJ84" s="55">
        <f t="shared" si="125"/>
        <v>0</v>
      </c>
    </row>
    <row r="85" spans="1:62" ht="12.75">
      <c r="A85" s="36" t="s">
        <v>139</v>
      </c>
      <c r="B85" s="36" t="s">
        <v>59</v>
      </c>
      <c r="C85" s="36" t="s">
        <v>310</v>
      </c>
      <c r="D85" s="36" t="s">
        <v>502</v>
      </c>
      <c r="E85" s="36" t="s">
        <v>606</v>
      </c>
      <c r="F85" s="55">
        <f>'Stavební rozpočet'!F85</f>
        <v>0</v>
      </c>
      <c r="G85" s="55">
        <f>'Stavební rozpočet'!G85</f>
        <v>200</v>
      </c>
      <c r="H85" s="55">
        <f t="shared" si="100"/>
        <v>0</v>
      </c>
      <c r="I85" s="55">
        <f t="shared" si="101"/>
        <v>0</v>
      </c>
      <c r="J85" s="55">
        <f t="shared" si="102"/>
        <v>0</v>
      </c>
      <c r="K85" s="55">
        <f>'Stavební rozpočet'!K85</f>
        <v>0</v>
      </c>
      <c r="L85" s="55">
        <f t="shared" si="103"/>
        <v>0</v>
      </c>
      <c r="M85" s="51" t="s">
        <v>622</v>
      </c>
      <c r="Z85" s="29">
        <f t="shared" si="104"/>
        <v>0</v>
      </c>
      <c r="AB85" s="29">
        <f t="shared" si="105"/>
        <v>0</v>
      </c>
      <c r="AC85" s="29">
        <f t="shared" si="106"/>
        <v>0</v>
      </c>
      <c r="AD85" s="29">
        <f t="shared" si="107"/>
        <v>0</v>
      </c>
      <c r="AE85" s="29">
        <f t="shared" si="108"/>
        <v>0</v>
      </c>
      <c r="AF85" s="29">
        <f t="shared" si="109"/>
        <v>0</v>
      </c>
      <c r="AG85" s="29">
        <f t="shared" si="110"/>
        <v>0</v>
      </c>
      <c r="AH85" s="29">
        <f t="shared" si="111"/>
        <v>0</v>
      </c>
      <c r="AI85" s="48" t="s">
        <v>59</v>
      </c>
      <c r="AJ85" s="55">
        <f t="shared" si="112"/>
        <v>0</v>
      </c>
      <c r="AK85" s="55">
        <f t="shared" si="113"/>
        <v>0</v>
      </c>
      <c r="AL85" s="55">
        <f t="shared" si="114"/>
        <v>0</v>
      </c>
      <c r="AN85" s="29">
        <v>15</v>
      </c>
      <c r="AO85" s="29">
        <f t="shared" si="115"/>
        <v>0</v>
      </c>
      <c r="AP85" s="29">
        <f t="shared" si="116"/>
        <v>200</v>
      </c>
      <c r="AQ85" s="51" t="s">
        <v>85</v>
      </c>
      <c r="AV85" s="29">
        <f t="shared" si="117"/>
        <v>0</v>
      </c>
      <c r="AW85" s="29">
        <f t="shared" si="118"/>
        <v>0</v>
      </c>
      <c r="AX85" s="29">
        <f t="shared" si="119"/>
        <v>0</v>
      </c>
      <c r="AY85" s="54" t="s">
        <v>643</v>
      </c>
      <c r="AZ85" s="54" t="s">
        <v>653</v>
      </c>
      <c r="BA85" s="48" t="s">
        <v>658</v>
      </c>
      <c r="BC85" s="29">
        <f t="shared" si="120"/>
        <v>0</v>
      </c>
      <c r="BD85" s="29">
        <f t="shared" si="121"/>
        <v>200</v>
      </c>
      <c r="BE85" s="29">
        <v>0</v>
      </c>
      <c r="BF85" s="29">
        <f t="shared" si="122"/>
        <v>0</v>
      </c>
      <c r="BH85" s="55">
        <f t="shared" si="123"/>
        <v>0</v>
      </c>
      <c r="BI85" s="55">
        <f t="shared" si="124"/>
        <v>0</v>
      </c>
      <c r="BJ85" s="55">
        <f t="shared" si="125"/>
        <v>0</v>
      </c>
    </row>
    <row r="86" spans="1:62" ht="12.75">
      <c r="A86" s="36" t="s">
        <v>140</v>
      </c>
      <c r="B86" s="36" t="s">
        <v>59</v>
      </c>
      <c r="C86" s="36" t="s">
        <v>311</v>
      </c>
      <c r="D86" s="36" t="s">
        <v>489</v>
      </c>
      <c r="E86" s="36" t="s">
        <v>606</v>
      </c>
      <c r="F86" s="55">
        <f>'Stavební rozpočet'!F86</f>
        <v>0</v>
      </c>
      <c r="G86" s="55">
        <f>'Stavební rozpočet'!G86</f>
        <v>150</v>
      </c>
      <c r="H86" s="55">
        <f t="shared" si="100"/>
        <v>0</v>
      </c>
      <c r="I86" s="55">
        <f t="shared" si="101"/>
        <v>0</v>
      </c>
      <c r="J86" s="55">
        <f t="shared" si="102"/>
        <v>0</v>
      </c>
      <c r="K86" s="55">
        <f>'Stavební rozpočet'!K86</f>
        <v>0</v>
      </c>
      <c r="L86" s="55">
        <f t="shared" si="103"/>
        <v>0</v>
      </c>
      <c r="M86" s="51" t="s">
        <v>622</v>
      </c>
      <c r="Z86" s="29">
        <f t="shared" si="104"/>
        <v>0</v>
      </c>
      <c r="AB86" s="29">
        <f t="shared" si="105"/>
        <v>0</v>
      </c>
      <c r="AC86" s="29">
        <f t="shared" si="106"/>
        <v>0</v>
      </c>
      <c r="AD86" s="29">
        <f t="shared" si="107"/>
        <v>0</v>
      </c>
      <c r="AE86" s="29">
        <f t="shared" si="108"/>
        <v>0</v>
      </c>
      <c r="AF86" s="29">
        <f t="shared" si="109"/>
        <v>0</v>
      </c>
      <c r="AG86" s="29">
        <f t="shared" si="110"/>
        <v>0</v>
      </c>
      <c r="AH86" s="29">
        <f t="shared" si="111"/>
        <v>0</v>
      </c>
      <c r="AI86" s="48" t="s">
        <v>59</v>
      </c>
      <c r="AJ86" s="55">
        <f t="shared" si="112"/>
        <v>0</v>
      </c>
      <c r="AK86" s="55">
        <f t="shared" si="113"/>
        <v>0</v>
      </c>
      <c r="AL86" s="55">
        <f t="shared" si="114"/>
        <v>0</v>
      </c>
      <c r="AN86" s="29">
        <v>15</v>
      </c>
      <c r="AO86" s="29">
        <f t="shared" si="115"/>
        <v>0</v>
      </c>
      <c r="AP86" s="29">
        <f t="shared" si="116"/>
        <v>150</v>
      </c>
      <c r="AQ86" s="51" t="s">
        <v>85</v>
      </c>
      <c r="AV86" s="29">
        <f t="shared" si="117"/>
        <v>0</v>
      </c>
      <c r="AW86" s="29">
        <f t="shared" si="118"/>
        <v>0</v>
      </c>
      <c r="AX86" s="29">
        <f t="shared" si="119"/>
        <v>0</v>
      </c>
      <c r="AY86" s="54" t="s">
        <v>643</v>
      </c>
      <c r="AZ86" s="54" t="s">
        <v>653</v>
      </c>
      <c r="BA86" s="48" t="s">
        <v>658</v>
      </c>
      <c r="BC86" s="29">
        <f t="shared" si="120"/>
        <v>0</v>
      </c>
      <c r="BD86" s="29">
        <f t="shared" si="121"/>
        <v>150</v>
      </c>
      <c r="BE86" s="29">
        <v>0</v>
      </c>
      <c r="BF86" s="29">
        <f t="shared" si="122"/>
        <v>0</v>
      </c>
      <c r="BH86" s="55">
        <f t="shared" si="123"/>
        <v>0</v>
      </c>
      <c r="BI86" s="55">
        <f t="shared" si="124"/>
        <v>0</v>
      </c>
      <c r="BJ86" s="55">
        <f t="shared" si="125"/>
        <v>0</v>
      </c>
    </row>
    <row r="87" spans="1:62" ht="12.75">
      <c r="A87" s="36" t="s">
        <v>141</v>
      </c>
      <c r="B87" s="36" t="s">
        <v>59</v>
      </c>
      <c r="C87" s="36" t="s">
        <v>312</v>
      </c>
      <c r="D87" s="36" t="s">
        <v>492</v>
      </c>
      <c r="E87" s="36" t="s">
        <v>606</v>
      </c>
      <c r="F87" s="55">
        <f>'Stavební rozpočet'!F87</f>
        <v>0</v>
      </c>
      <c r="G87" s="55">
        <f>'Stavební rozpočet'!G87</f>
        <v>200</v>
      </c>
      <c r="H87" s="55">
        <f t="shared" si="100"/>
        <v>0</v>
      </c>
      <c r="I87" s="55">
        <f t="shared" si="101"/>
        <v>0</v>
      </c>
      <c r="J87" s="55">
        <f t="shared" si="102"/>
        <v>0</v>
      </c>
      <c r="K87" s="55">
        <f>'Stavební rozpočet'!K87</f>
        <v>0</v>
      </c>
      <c r="L87" s="55">
        <f t="shared" si="103"/>
        <v>0</v>
      </c>
      <c r="M87" s="51" t="s">
        <v>622</v>
      </c>
      <c r="Z87" s="29">
        <f t="shared" si="104"/>
        <v>0</v>
      </c>
      <c r="AB87" s="29">
        <f t="shared" si="105"/>
        <v>0</v>
      </c>
      <c r="AC87" s="29">
        <f t="shared" si="106"/>
        <v>0</v>
      </c>
      <c r="AD87" s="29">
        <f t="shared" si="107"/>
        <v>0</v>
      </c>
      <c r="AE87" s="29">
        <f t="shared" si="108"/>
        <v>0</v>
      </c>
      <c r="AF87" s="29">
        <f t="shared" si="109"/>
        <v>0</v>
      </c>
      <c r="AG87" s="29">
        <f t="shared" si="110"/>
        <v>0</v>
      </c>
      <c r="AH87" s="29">
        <f t="shared" si="111"/>
        <v>0</v>
      </c>
      <c r="AI87" s="48" t="s">
        <v>59</v>
      </c>
      <c r="AJ87" s="55">
        <f t="shared" si="112"/>
        <v>0</v>
      </c>
      <c r="AK87" s="55">
        <f t="shared" si="113"/>
        <v>0</v>
      </c>
      <c r="AL87" s="55">
        <f t="shared" si="114"/>
        <v>0</v>
      </c>
      <c r="AN87" s="29">
        <v>15</v>
      </c>
      <c r="AO87" s="29">
        <f t="shared" si="115"/>
        <v>0</v>
      </c>
      <c r="AP87" s="29">
        <f t="shared" si="116"/>
        <v>200</v>
      </c>
      <c r="AQ87" s="51" t="s">
        <v>85</v>
      </c>
      <c r="AV87" s="29">
        <f t="shared" si="117"/>
        <v>0</v>
      </c>
      <c r="AW87" s="29">
        <f t="shared" si="118"/>
        <v>0</v>
      </c>
      <c r="AX87" s="29">
        <f t="shared" si="119"/>
        <v>0</v>
      </c>
      <c r="AY87" s="54" t="s">
        <v>643</v>
      </c>
      <c r="AZ87" s="54" t="s">
        <v>653</v>
      </c>
      <c r="BA87" s="48" t="s">
        <v>658</v>
      </c>
      <c r="BC87" s="29">
        <f t="shared" si="120"/>
        <v>0</v>
      </c>
      <c r="BD87" s="29">
        <f t="shared" si="121"/>
        <v>200</v>
      </c>
      <c r="BE87" s="29">
        <v>0</v>
      </c>
      <c r="BF87" s="29">
        <f t="shared" si="122"/>
        <v>0</v>
      </c>
      <c r="BH87" s="55">
        <f t="shared" si="123"/>
        <v>0</v>
      </c>
      <c r="BI87" s="55">
        <f t="shared" si="124"/>
        <v>0</v>
      </c>
      <c r="BJ87" s="55">
        <f t="shared" si="125"/>
        <v>0</v>
      </c>
    </row>
    <row r="88" spans="1:62" ht="12.75">
      <c r="A88" s="36" t="s">
        <v>142</v>
      </c>
      <c r="B88" s="36" t="s">
        <v>59</v>
      </c>
      <c r="C88" s="36" t="s">
        <v>313</v>
      </c>
      <c r="D88" s="36" t="s">
        <v>493</v>
      </c>
      <c r="E88" s="36" t="s">
        <v>606</v>
      </c>
      <c r="F88" s="55">
        <f>'Stavební rozpočet'!F88</f>
        <v>0</v>
      </c>
      <c r="G88" s="55">
        <f>'Stavební rozpočet'!G88</f>
        <v>100</v>
      </c>
      <c r="H88" s="55">
        <f t="shared" si="100"/>
        <v>0</v>
      </c>
      <c r="I88" s="55">
        <f t="shared" si="101"/>
        <v>0</v>
      </c>
      <c r="J88" s="55">
        <f t="shared" si="102"/>
        <v>0</v>
      </c>
      <c r="K88" s="55">
        <f>'Stavební rozpočet'!K88</f>
        <v>0</v>
      </c>
      <c r="L88" s="55">
        <f t="shared" si="103"/>
        <v>0</v>
      </c>
      <c r="M88" s="51" t="s">
        <v>622</v>
      </c>
      <c r="Z88" s="29">
        <f t="shared" si="104"/>
        <v>0</v>
      </c>
      <c r="AB88" s="29">
        <f t="shared" si="105"/>
        <v>0</v>
      </c>
      <c r="AC88" s="29">
        <f t="shared" si="106"/>
        <v>0</v>
      </c>
      <c r="AD88" s="29">
        <f t="shared" si="107"/>
        <v>0</v>
      </c>
      <c r="AE88" s="29">
        <f t="shared" si="108"/>
        <v>0</v>
      </c>
      <c r="AF88" s="29">
        <f t="shared" si="109"/>
        <v>0</v>
      </c>
      <c r="AG88" s="29">
        <f t="shared" si="110"/>
        <v>0</v>
      </c>
      <c r="AH88" s="29">
        <f t="shared" si="111"/>
        <v>0</v>
      </c>
      <c r="AI88" s="48" t="s">
        <v>59</v>
      </c>
      <c r="AJ88" s="55">
        <f t="shared" si="112"/>
        <v>0</v>
      </c>
      <c r="AK88" s="55">
        <f t="shared" si="113"/>
        <v>0</v>
      </c>
      <c r="AL88" s="55">
        <f t="shared" si="114"/>
        <v>0</v>
      </c>
      <c r="AN88" s="29">
        <v>15</v>
      </c>
      <c r="AO88" s="29">
        <f t="shared" si="115"/>
        <v>0</v>
      </c>
      <c r="AP88" s="29">
        <f t="shared" si="116"/>
        <v>100</v>
      </c>
      <c r="AQ88" s="51" t="s">
        <v>85</v>
      </c>
      <c r="AV88" s="29">
        <f t="shared" si="117"/>
        <v>0</v>
      </c>
      <c r="AW88" s="29">
        <f t="shared" si="118"/>
        <v>0</v>
      </c>
      <c r="AX88" s="29">
        <f t="shared" si="119"/>
        <v>0</v>
      </c>
      <c r="AY88" s="54" t="s">
        <v>643</v>
      </c>
      <c r="AZ88" s="54" t="s">
        <v>653</v>
      </c>
      <c r="BA88" s="48" t="s">
        <v>658</v>
      </c>
      <c r="BC88" s="29">
        <f t="shared" si="120"/>
        <v>0</v>
      </c>
      <c r="BD88" s="29">
        <f t="shared" si="121"/>
        <v>100</v>
      </c>
      <c r="BE88" s="29">
        <v>0</v>
      </c>
      <c r="BF88" s="29">
        <f t="shared" si="122"/>
        <v>0</v>
      </c>
      <c r="BH88" s="55">
        <f t="shared" si="123"/>
        <v>0</v>
      </c>
      <c r="BI88" s="55">
        <f t="shared" si="124"/>
        <v>0</v>
      </c>
      <c r="BJ88" s="55">
        <f t="shared" si="125"/>
        <v>0</v>
      </c>
    </row>
    <row r="89" spans="1:47" ht="12.75">
      <c r="A89" s="35"/>
      <c r="B89" s="42" t="s">
        <v>59</v>
      </c>
      <c r="C89" s="42" t="s">
        <v>314</v>
      </c>
      <c r="D89" s="42" t="s">
        <v>503</v>
      </c>
      <c r="E89" s="35" t="s">
        <v>57</v>
      </c>
      <c r="F89" s="35" t="s">
        <v>57</v>
      </c>
      <c r="G89" s="35" t="s">
        <v>57</v>
      </c>
      <c r="H89" s="59">
        <f>SUM(H90:H93)</f>
        <v>0</v>
      </c>
      <c r="I89" s="59">
        <f>SUM(I90:I93)</f>
        <v>0</v>
      </c>
      <c r="J89" s="59">
        <f>SUM(J90:J93)</f>
        <v>0</v>
      </c>
      <c r="K89" s="48"/>
      <c r="L89" s="59">
        <f>SUM(L90:L93)</f>
        <v>0</v>
      </c>
      <c r="M89" s="48"/>
      <c r="AI89" s="48" t="s">
        <v>59</v>
      </c>
      <c r="AS89" s="59">
        <f>SUM(AJ90:AJ93)</f>
        <v>0</v>
      </c>
      <c r="AT89" s="59">
        <f>SUM(AK90:AK93)</f>
        <v>0</v>
      </c>
      <c r="AU89" s="59">
        <f>SUM(AL90:AL93)</f>
        <v>0</v>
      </c>
    </row>
    <row r="90" spans="1:62" ht="12.75">
      <c r="A90" s="36" t="s">
        <v>143</v>
      </c>
      <c r="B90" s="36" t="s">
        <v>59</v>
      </c>
      <c r="C90" s="36" t="s">
        <v>179</v>
      </c>
      <c r="D90" s="36" t="s">
        <v>504</v>
      </c>
      <c r="E90" s="36" t="s">
        <v>606</v>
      </c>
      <c r="F90" s="55">
        <f>'Stavební rozpočet'!F90</f>
        <v>0</v>
      </c>
      <c r="G90" s="55">
        <f>'Stavební rozpočet'!G90</f>
        <v>1000</v>
      </c>
      <c r="H90" s="55">
        <f>F90*AO90</f>
        <v>0</v>
      </c>
      <c r="I90" s="55">
        <f>F90*AP90</f>
        <v>0</v>
      </c>
      <c r="J90" s="55">
        <f>F90*G90</f>
        <v>0</v>
      </c>
      <c r="K90" s="55">
        <f>'Stavební rozpočet'!K90</f>
        <v>0</v>
      </c>
      <c r="L90" s="55">
        <f>F90*K90</f>
        <v>0</v>
      </c>
      <c r="M90" s="51" t="s">
        <v>622</v>
      </c>
      <c r="Z90" s="29">
        <f>IF(AQ90="5",BJ90,0)</f>
        <v>0</v>
      </c>
      <c r="AB90" s="29">
        <f>IF(AQ90="1",BH90,0)</f>
        <v>0</v>
      </c>
      <c r="AC90" s="29">
        <f>IF(AQ90="1",BI90,0)</f>
        <v>0</v>
      </c>
      <c r="AD90" s="29">
        <f>IF(AQ90="7",BH90,0)</f>
        <v>0</v>
      </c>
      <c r="AE90" s="29">
        <f>IF(AQ90="7",BI90,0)</f>
        <v>0</v>
      </c>
      <c r="AF90" s="29">
        <f>IF(AQ90="2",BH90,0)</f>
        <v>0</v>
      </c>
      <c r="AG90" s="29">
        <f>IF(AQ90="2",BI90,0)</f>
        <v>0</v>
      </c>
      <c r="AH90" s="29">
        <f>IF(AQ90="0",BJ90,0)</f>
        <v>0</v>
      </c>
      <c r="AI90" s="48" t="s">
        <v>59</v>
      </c>
      <c r="AJ90" s="55">
        <f>IF(AN90=0,J90,0)</f>
        <v>0</v>
      </c>
      <c r="AK90" s="55">
        <f>IF(AN90=15,J90,0)</f>
        <v>0</v>
      </c>
      <c r="AL90" s="55">
        <f>IF(AN90=21,J90,0)</f>
        <v>0</v>
      </c>
      <c r="AN90" s="29">
        <v>15</v>
      </c>
      <c r="AO90" s="29">
        <f>G90*0</f>
        <v>0</v>
      </c>
      <c r="AP90" s="29">
        <f>G90*(1-0)</f>
        <v>1000</v>
      </c>
      <c r="AQ90" s="51" t="s">
        <v>85</v>
      </c>
      <c r="AV90" s="29">
        <f>AW90+AX90</f>
        <v>0</v>
      </c>
      <c r="AW90" s="29">
        <f>F90*AO90</f>
        <v>0</v>
      </c>
      <c r="AX90" s="29">
        <f>F90*AP90</f>
        <v>0</v>
      </c>
      <c r="AY90" s="54" t="s">
        <v>644</v>
      </c>
      <c r="AZ90" s="54" t="s">
        <v>653</v>
      </c>
      <c r="BA90" s="48" t="s">
        <v>658</v>
      </c>
      <c r="BC90" s="29">
        <f>AW90+AX90</f>
        <v>0</v>
      </c>
      <c r="BD90" s="29">
        <f>G90/(100-BE90)*100</f>
        <v>1000</v>
      </c>
      <c r="BE90" s="29">
        <v>0</v>
      </c>
      <c r="BF90" s="29">
        <f>L90</f>
        <v>0</v>
      </c>
      <c r="BH90" s="55">
        <f>F90*AO90</f>
        <v>0</v>
      </c>
      <c r="BI90" s="55">
        <f>F90*AP90</f>
        <v>0</v>
      </c>
      <c r="BJ90" s="55">
        <f>F90*G90</f>
        <v>0</v>
      </c>
    </row>
    <row r="91" spans="1:62" ht="12.75">
      <c r="A91" s="36" t="s">
        <v>144</v>
      </c>
      <c r="B91" s="36" t="s">
        <v>59</v>
      </c>
      <c r="C91" s="36" t="s">
        <v>180</v>
      </c>
      <c r="D91" s="36" t="s">
        <v>505</v>
      </c>
      <c r="E91" s="36" t="s">
        <v>609</v>
      </c>
      <c r="F91" s="55">
        <f>'Stavební rozpočet'!F91</f>
        <v>0</v>
      </c>
      <c r="G91" s="55">
        <f>'Stavební rozpočet'!G91</f>
        <v>50</v>
      </c>
      <c r="H91" s="55">
        <f>F91*AO91</f>
        <v>0</v>
      </c>
      <c r="I91" s="55">
        <f>F91*AP91</f>
        <v>0</v>
      </c>
      <c r="J91" s="55">
        <f>F91*G91</f>
        <v>0</v>
      </c>
      <c r="K91" s="55">
        <f>'Stavební rozpočet'!K91</f>
        <v>0</v>
      </c>
      <c r="L91" s="55">
        <f>F91*K91</f>
        <v>0</v>
      </c>
      <c r="M91" s="51" t="s">
        <v>622</v>
      </c>
      <c r="Z91" s="29">
        <f>IF(AQ91="5",BJ91,0)</f>
        <v>0</v>
      </c>
      <c r="AB91" s="29">
        <f>IF(AQ91="1",BH91,0)</f>
        <v>0</v>
      </c>
      <c r="AC91" s="29">
        <f>IF(AQ91="1",BI91,0)</f>
        <v>0</v>
      </c>
      <c r="AD91" s="29">
        <f>IF(AQ91="7",BH91,0)</f>
        <v>0</v>
      </c>
      <c r="AE91" s="29">
        <f>IF(AQ91="7",BI91,0)</f>
        <v>0</v>
      </c>
      <c r="AF91" s="29">
        <f>IF(AQ91="2",BH91,0)</f>
        <v>0</v>
      </c>
      <c r="AG91" s="29">
        <f>IF(AQ91="2",BI91,0)</f>
        <v>0</v>
      </c>
      <c r="AH91" s="29">
        <f>IF(AQ91="0",BJ91,0)</f>
        <v>0</v>
      </c>
      <c r="AI91" s="48" t="s">
        <v>59</v>
      </c>
      <c r="AJ91" s="55">
        <f>IF(AN91=0,J91,0)</f>
        <v>0</v>
      </c>
      <c r="AK91" s="55">
        <f>IF(AN91=15,J91,0)</f>
        <v>0</v>
      </c>
      <c r="AL91" s="55">
        <f>IF(AN91=21,J91,0)</f>
        <v>0</v>
      </c>
      <c r="AN91" s="29">
        <v>15</v>
      </c>
      <c r="AO91" s="29">
        <f>G91*0</f>
        <v>0</v>
      </c>
      <c r="AP91" s="29">
        <f>G91*(1-0)</f>
        <v>50</v>
      </c>
      <c r="AQ91" s="51" t="s">
        <v>85</v>
      </c>
      <c r="AV91" s="29">
        <f>AW91+AX91</f>
        <v>0</v>
      </c>
      <c r="AW91" s="29">
        <f>F91*AO91</f>
        <v>0</v>
      </c>
      <c r="AX91" s="29">
        <f>F91*AP91</f>
        <v>0</v>
      </c>
      <c r="AY91" s="54" t="s">
        <v>644</v>
      </c>
      <c r="AZ91" s="54" t="s">
        <v>653</v>
      </c>
      <c r="BA91" s="48" t="s">
        <v>658</v>
      </c>
      <c r="BC91" s="29">
        <f>AW91+AX91</f>
        <v>0</v>
      </c>
      <c r="BD91" s="29">
        <f>G91/(100-BE91)*100</f>
        <v>50</v>
      </c>
      <c r="BE91" s="29">
        <v>0</v>
      </c>
      <c r="BF91" s="29">
        <f>L91</f>
        <v>0</v>
      </c>
      <c r="BH91" s="55">
        <f>F91*AO91</f>
        <v>0</v>
      </c>
      <c r="BI91" s="55">
        <f>F91*AP91</f>
        <v>0</v>
      </c>
      <c r="BJ91" s="55">
        <f>F91*G91</f>
        <v>0</v>
      </c>
    </row>
    <row r="92" spans="1:62" ht="12.75">
      <c r="A92" s="36" t="s">
        <v>145</v>
      </c>
      <c r="B92" s="36" t="s">
        <v>59</v>
      </c>
      <c r="C92" s="36" t="s">
        <v>315</v>
      </c>
      <c r="D92" s="36" t="s">
        <v>501</v>
      </c>
      <c r="E92" s="36" t="s">
        <v>611</v>
      </c>
      <c r="F92" s="55">
        <f>'Stavební rozpočet'!F92</f>
        <v>0</v>
      </c>
      <c r="G92" s="55">
        <f>'Stavební rozpočet'!G92</f>
        <v>100</v>
      </c>
      <c r="H92" s="55">
        <f>F92*AO92</f>
        <v>0</v>
      </c>
      <c r="I92" s="55">
        <f>F92*AP92</f>
        <v>0</v>
      </c>
      <c r="J92" s="55">
        <f>F92*G92</f>
        <v>0</v>
      </c>
      <c r="K92" s="55">
        <f>'Stavební rozpočet'!K92</f>
        <v>0</v>
      </c>
      <c r="L92" s="55">
        <f>F92*K92</f>
        <v>0</v>
      </c>
      <c r="M92" s="51" t="s">
        <v>622</v>
      </c>
      <c r="Z92" s="29">
        <f>IF(AQ92="5",BJ92,0)</f>
        <v>0</v>
      </c>
      <c r="AB92" s="29">
        <f>IF(AQ92="1",BH92,0)</f>
        <v>0</v>
      </c>
      <c r="AC92" s="29">
        <f>IF(AQ92="1",BI92,0)</f>
        <v>0</v>
      </c>
      <c r="AD92" s="29">
        <f>IF(AQ92="7",BH92,0)</f>
        <v>0</v>
      </c>
      <c r="AE92" s="29">
        <f>IF(AQ92="7",BI92,0)</f>
        <v>0</v>
      </c>
      <c r="AF92" s="29">
        <f>IF(AQ92="2",BH92,0)</f>
        <v>0</v>
      </c>
      <c r="AG92" s="29">
        <f>IF(AQ92="2",BI92,0)</f>
        <v>0</v>
      </c>
      <c r="AH92" s="29">
        <f>IF(AQ92="0",BJ92,0)</f>
        <v>0</v>
      </c>
      <c r="AI92" s="48" t="s">
        <v>59</v>
      </c>
      <c r="AJ92" s="55">
        <f>IF(AN92=0,J92,0)</f>
        <v>0</v>
      </c>
      <c r="AK92" s="55">
        <f>IF(AN92=15,J92,0)</f>
        <v>0</v>
      </c>
      <c r="AL92" s="55">
        <f>IF(AN92=21,J92,0)</f>
        <v>0</v>
      </c>
      <c r="AN92" s="29">
        <v>15</v>
      </c>
      <c r="AO92" s="29">
        <f>G92*0</f>
        <v>0</v>
      </c>
      <c r="AP92" s="29">
        <f>G92*(1-0)</f>
        <v>100</v>
      </c>
      <c r="AQ92" s="51" t="s">
        <v>85</v>
      </c>
      <c r="AV92" s="29">
        <f>AW92+AX92</f>
        <v>0</v>
      </c>
      <c r="AW92" s="29">
        <f>F92*AO92</f>
        <v>0</v>
      </c>
      <c r="AX92" s="29">
        <f>F92*AP92</f>
        <v>0</v>
      </c>
      <c r="AY92" s="54" t="s">
        <v>644</v>
      </c>
      <c r="AZ92" s="54" t="s">
        <v>653</v>
      </c>
      <c r="BA92" s="48" t="s">
        <v>658</v>
      </c>
      <c r="BC92" s="29">
        <f>AW92+AX92</f>
        <v>0</v>
      </c>
      <c r="BD92" s="29">
        <f>G92/(100-BE92)*100</f>
        <v>100</v>
      </c>
      <c r="BE92" s="29">
        <v>0</v>
      </c>
      <c r="BF92" s="29">
        <f>L92</f>
        <v>0</v>
      </c>
      <c r="BH92" s="55">
        <f>F92*AO92</f>
        <v>0</v>
      </c>
      <c r="BI92" s="55">
        <f>F92*AP92</f>
        <v>0</v>
      </c>
      <c r="BJ92" s="55">
        <f>F92*G92</f>
        <v>0</v>
      </c>
    </row>
    <row r="93" spans="1:62" ht="12.75">
      <c r="A93" s="36" t="s">
        <v>146</v>
      </c>
      <c r="B93" s="36" t="s">
        <v>59</v>
      </c>
      <c r="C93" s="36" t="s">
        <v>316</v>
      </c>
      <c r="D93" s="36" t="s">
        <v>497</v>
      </c>
      <c r="E93" s="36" t="s">
        <v>611</v>
      </c>
      <c r="F93" s="55">
        <f>'Stavební rozpočet'!F93</f>
        <v>0</v>
      </c>
      <c r="G93" s="55">
        <f>'Stavební rozpočet'!G93</f>
        <v>250</v>
      </c>
      <c r="H93" s="55">
        <f>F93*AO93</f>
        <v>0</v>
      </c>
      <c r="I93" s="55">
        <f>F93*AP93</f>
        <v>0</v>
      </c>
      <c r="J93" s="55">
        <f>F93*G93</f>
        <v>0</v>
      </c>
      <c r="K93" s="55">
        <f>'Stavební rozpočet'!K93</f>
        <v>0</v>
      </c>
      <c r="L93" s="55">
        <f>F93*K93</f>
        <v>0</v>
      </c>
      <c r="M93" s="51" t="s">
        <v>622</v>
      </c>
      <c r="Z93" s="29">
        <f>IF(AQ93="5",BJ93,0)</f>
        <v>0</v>
      </c>
      <c r="AB93" s="29">
        <f>IF(AQ93="1",BH93,0)</f>
        <v>0</v>
      </c>
      <c r="AC93" s="29">
        <f>IF(AQ93="1",BI93,0)</f>
        <v>0</v>
      </c>
      <c r="AD93" s="29">
        <f>IF(AQ93="7",BH93,0)</f>
        <v>0</v>
      </c>
      <c r="AE93" s="29">
        <f>IF(AQ93="7",BI93,0)</f>
        <v>0</v>
      </c>
      <c r="AF93" s="29">
        <f>IF(AQ93="2",BH93,0)</f>
        <v>0</v>
      </c>
      <c r="AG93" s="29">
        <f>IF(AQ93="2",BI93,0)</f>
        <v>0</v>
      </c>
      <c r="AH93" s="29">
        <f>IF(AQ93="0",BJ93,0)</f>
        <v>0</v>
      </c>
      <c r="AI93" s="48" t="s">
        <v>59</v>
      </c>
      <c r="AJ93" s="55">
        <f>IF(AN93=0,J93,0)</f>
        <v>0</v>
      </c>
      <c r="AK93" s="55">
        <f>IF(AN93=15,J93,0)</f>
        <v>0</v>
      </c>
      <c r="AL93" s="55">
        <f>IF(AN93=21,J93,0)</f>
        <v>0</v>
      </c>
      <c r="AN93" s="29">
        <v>15</v>
      </c>
      <c r="AO93" s="29">
        <f>G93*0</f>
        <v>0</v>
      </c>
      <c r="AP93" s="29">
        <f>G93*(1-0)</f>
        <v>250</v>
      </c>
      <c r="AQ93" s="51" t="s">
        <v>85</v>
      </c>
      <c r="AV93" s="29">
        <f>AW93+AX93</f>
        <v>0</v>
      </c>
      <c r="AW93" s="29">
        <f>F93*AO93</f>
        <v>0</v>
      </c>
      <c r="AX93" s="29">
        <f>F93*AP93</f>
        <v>0</v>
      </c>
      <c r="AY93" s="54" t="s">
        <v>644</v>
      </c>
      <c r="AZ93" s="54" t="s">
        <v>653</v>
      </c>
      <c r="BA93" s="48" t="s">
        <v>658</v>
      </c>
      <c r="BC93" s="29">
        <f>AW93+AX93</f>
        <v>0</v>
      </c>
      <c r="BD93" s="29">
        <f>G93/(100-BE93)*100</f>
        <v>250</v>
      </c>
      <c r="BE93" s="29">
        <v>0</v>
      </c>
      <c r="BF93" s="29">
        <f>L93</f>
        <v>0</v>
      </c>
      <c r="BH93" s="55">
        <f>F93*AO93</f>
        <v>0</v>
      </c>
      <c r="BI93" s="55">
        <f>F93*AP93</f>
        <v>0</v>
      </c>
      <c r="BJ93" s="55">
        <f>F93*G93</f>
        <v>0</v>
      </c>
    </row>
    <row r="94" spans="1:47" ht="12.75">
      <c r="A94" s="35"/>
      <c r="B94" s="42" t="s">
        <v>59</v>
      </c>
      <c r="C94" s="42" t="s">
        <v>317</v>
      </c>
      <c r="D94" s="42" t="s">
        <v>506</v>
      </c>
      <c r="E94" s="35" t="s">
        <v>57</v>
      </c>
      <c r="F94" s="35" t="s">
        <v>57</v>
      </c>
      <c r="G94" s="35" t="s">
        <v>57</v>
      </c>
      <c r="H94" s="59">
        <f>SUM(H95:H137)</f>
        <v>0</v>
      </c>
      <c r="I94" s="59">
        <f>SUM(I95:I137)</f>
        <v>0</v>
      </c>
      <c r="J94" s="59">
        <f>SUM(J95:J137)</f>
        <v>0</v>
      </c>
      <c r="K94" s="48"/>
      <c r="L94" s="59">
        <f>SUM(L95:L137)</f>
        <v>0</v>
      </c>
      <c r="M94" s="48"/>
      <c r="AI94" s="48" t="s">
        <v>59</v>
      </c>
      <c r="AS94" s="59">
        <f>SUM(AJ95:AJ137)</f>
        <v>0</v>
      </c>
      <c r="AT94" s="59">
        <f>SUM(AK95:AK137)</f>
        <v>0</v>
      </c>
      <c r="AU94" s="59">
        <f>SUM(AL95:AL137)</f>
        <v>0</v>
      </c>
    </row>
    <row r="95" spans="1:62" ht="12.75">
      <c r="A95" s="36" t="s">
        <v>147</v>
      </c>
      <c r="B95" s="36" t="s">
        <v>59</v>
      </c>
      <c r="C95" s="36" t="s">
        <v>318</v>
      </c>
      <c r="D95" s="36" t="s">
        <v>507</v>
      </c>
      <c r="E95" s="36" t="s">
        <v>609</v>
      </c>
      <c r="F95" s="55">
        <f>'Stavební rozpočet'!F95</f>
        <v>0</v>
      </c>
      <c r="G95" s="55">
        <f>'Stavební rozpočet'!G95</f>
        <v>25</v>
      </c>
      <c r="H95" s="55">
        <f aca="true" t="shared" si="126" ref="H95:H137">F95*AO95</f>
        <v>0</v>
      </c>
      <c r="I95" s="55">
        <f aca="true" t="shared" si="127" ref="I95:I137">F95*AP95</f>
        <v>0</v>
      </c>
      <c r="J95" s="55">
        <f aca="true" t="shared" si="128" ref="J95:J137">F95*G95</f>
        <v>0</v>
      </c>
      <c r="K95" s="55">
        <f>'Stavební rozpočet'!K95</f>
        <v>0</v>
      </c>
      <c r="L95" s="55">
        <f aca="true" t="shared" si="129" ref="L95:L137">F95*K95</f>
        <v>0</v>
      </c>
      <c r="M95" s="51" t="s">
        <v>622</v>
      </c>
      <c r="Z95" s="29">
        <f aca="true" t="shared" si="130" ref="Z95:Z137">IF(AQ95="5",BJ95,0)</f>
        <v>0</v>
      </c>
      <c r="AB95" s="29">
        <f aca="true" t="shared" si="131" ref="AB95:AB137">IF(AQ95="1",BH95,0)</f>
        <v>0</v>
      </c>
      <c r="AC95" s="29">
        <f aca="true" t="shared" si="132" ref="AC95:AC137">IF(AQ95="1",BI95,0)</f>
        <v>0</v>
      </c>
      <c r="AD95" s="29">
        <f aca="true" t="shared" si="133" ref="AD95:AD137">IF(AQ95="7",BH95,0)</f>
        <v>0</v>
      </c>
      <c r="AE95" s="29">
        <f aca="true" t="shared" si="134" ref="AE95:AE137">IF(AQ95="7",BI95,0)</f>
        <v>0</v>
      </c>
      <c r="AF95" s="29">
        <f aca="true" t="shared" si="135" ref="AF95:AF137">IF(AQ95="2",BH95,0)</f>
        <v>0</v>
      </c>
      <c r="AG95" s="29">
        <f aca="true" t="shared" si="136" ref="AG95:AG137">IF(AQ95="2",BI95,0)</f>
        <v>0</v>
      </c>
      <c r="AH95" s="29">
        <f aca="true" t="shared" si="137" ref="AH95:AH137">IF(AQ95="0",BJ95,0)</f>
        <v>0</v>
      </c>
      <c r="AI95" s="48" t="s">
        <v>59</v>
      </c>
      <c r="AJ95" s="55">
        <f aca="true" t="shared" si="138" ref="AJ95:AJ137">IF(AN95=0,J95,0)</f>
        <v>0</v>
      </c>
      <c r="AK95" s="55">
        <f aca="true" t="shared" si="139" ref="AK95:AK137">IF(AN95=15,J95,0)</f>
        <v>0</v>
      </c>
      <c r="AL95" s="55">
        <f aca="true" t="shared" si="140" ref="AL95:AL137">IF(AN95=21,J95,0)</f>
        <v>0</v>
      </c>
      <c r="AN95" s="29">
        <v>15</v>
      </c>
      <c r="AO95" s="29">
        <f aca="true" t="shared" si="141" ref="AO95:AO137">G95*0</f>
        <v>0</v>
      </c>
      <c r="AP95" s="29">
        <f aca="true" t="shared" si="142" ref="AP95:AP137">G95*(1-0)</f>
        <v>25</v>
      </c>
      <c r="AQ95" s="51" t="s">
        <v>85</v>
      </c>
      <c r="AV95" s="29">
        <f aca="true" t="shared" si="143" ref="AV95:AV137">AW95+AX95</f>
        <v>0</v>
      </c>
      <c r="AW95" s="29">
        <f aca="true" t="shared" si="144" ref="AW95:AW137">F95*AO95</f>
        <v>0</v>
      </c>
      <c r="AX95" s="29">
        <f aca="true" t="shared" si="145" ref="AX95:AX137">F95*AP95</f>
        <v>0</v>
      </c>
      <c r="AY95" s="54" t="s">
        <v>645</v>
      </c>
      <c r="AZ95" s="54" t="s">
        <v>654</v>
      </c>
      <c r="BA95" s="48" t="s">
        <v>658</v>
      </c>
      <c r="BC95" s="29">
        <f aca="true" t="shared" si="146" ref="BC95:BC137">AW95+AX95</f>
        <v>0</v>
      </c>
      <c r="BD95" s="29">
        <f aca="true" t="shared" si="147" ref="BD95:BD137">G95/(100-BE95)*100</f>
        <v>25</v>
      </c>
      <c r="BE95" s="29">
        <v>0</v>
      </c>
      <c r="BF95" s="29">
        <f aca="true" t="shared" si="148" ref="BF95:BF137">L95</f>
        <v>0</v>
      </c>
      <c r="BH95" s="55">
        <f aca="true" t="shared" si="149" ref="BH95:BH137">F95*AO95</f>
        <v>0</v>
      </c>
      <c r="BI95" s="55">
        <f aca="true" t="shared" si="150" ref="BI95:BI137">F95*AP95</f>
        <v>0</v>
      </c>
      <c r="BJ95" s="55">
        <f aca="true" t="shared" si="151" ref="BJ95:BJ137">F95*G95</f>
        <v>0</v>
      </c>
    </row>
    <row r="96" spans="1:62" ht="12.75">
      <c r="A96" s="36" t="s">
        <v>148</v>
      </c>
      <c r="B96" s="36" t="s">
        <v>59</v>
      </c>
      <c r="C96" s="36" t="s">
        <v>319</v>
      </c>
      <c r="D96" s="36" t="s">
        <v>508</v>
      </c>
      <c r="E96" s="36" t="s">
        <v>606</v>
      </c>
      <c r="F96" s="55">
        <f>'Stavební rozpočet'!F96</f>
        <v>0</v>
      </c>
      <c r="G96" s="55">
        <f>'Stavební rozpočet'!G96</f>
        <v>100</v>
      </c>
      <c r="H96" s="55">
        <f t="shared" si="126"/>
        <v>0</v>
      </c>
      <c r="I96" s="55">
        <f t="shared" si="127"/>
        <v>0</v>
      </c>
      <c r="J96" s="55">
        <f t="shared" si="128"/>
        <v>0</v>
      </c>
      <c r="K96" s="55">
        <f>'Stavební rozpočet'!K96</f>
        <v>0</v>
      </c>
      <c r="L96" s="55">
        <f t="shared" si="129"/>
        <v>0</v>
      </c>
      <c r="M96" s="51" t="s">
        <v>622</v>
      </c>
      <c r="Z96" s="29">
        <f t="shared" si="130"/>
        <v>0</v>
      </c>
      <c r="AB96" s="29">
        <f t="shared" si="131"/>
        <v>0</v>
      </c>
      <c r="AC96" s="29">
        <f t="shared" si="132"/>
        <v>0</v>
      </c>
      <c r="AD96" s="29">
        <f t="shared" si="133"/>
        <v>0</v>
      </c>
      <c r="AE96" s="29">
        <f t="shared" si="134"/>
        <v>0</v>
      </c>
      <c r="AF96" s="29">
        <f t="shared" si="135"/>
        <v>0</v>
      </c>
      <c r="AG96" s="29">
        <f t="shared" si="136"/>
        <v>0</v>
      </c>
      <c r="AH96" s="29">
        <f t="shared" si="137"/>
        <v>0</v>
      </c>
      <c r="AI96" s="48" t="s">
        <v>59</v>
      </c>
      <c r="AJ96" s="55">
        <f t="shared" si="138"/>
        <v>0</v>
      </c>
      <c r="AK96" s="55">
        <f t="shared" si="139"/>
        <v>0</v>
      </c>
      <c r="AL96" s="55">
        <f t="shared" si="140"/>
        <v>0</v>
      </c>
      <c r="AN96" s="29">
        <v>15</v>
      </c>
      <c r="AO96" s="29">
        <f t="shared" si="141"/>
        <v>0</v>
      </c>
      <c r="AP96" s="29">
        <f t="shared" si="142"/>
        <v>100</v>
      </c>
      <c r="AQ96" s="51" t="s">
        <v>85</v>
      </c>
      <c r="AV96" s="29">
        <f t="shared" si="143"/>
        <v>0</v>
      </c>
      <c r="AW96" s="29">
        <f t="shared" si="144"/>
        <v>0</v>
      </c>
      <c r="AX96" s="29">
        <f t="shared" si="145"/>
        <v>0</v>
      </c>
      <c r="AY96" s="54" t="s">
        <v>645</v>
      </c>
      <c r="AZ96" s="54" t="s">
        <v>654</v>
      </c>
      <c r="BA96" s="48" t="s">
        <v>658</v>
      </c>
      <c r="BC96" s="29">
        <f t="shared" si="146"/>
        <v>0</v>
      </c>
      <c r="BD96" s="29">
        <f t="shared" si="147"/>
        <v>100</v>
      </c>
      <c r="BE96" s="29">
        <v>0</v>
      </c>
      <c r="BF96" s="29">
        <f t="shared" si="148"/>
        <v>0</v>
      </c>
      <c r="BH96" s="55">
        <f t="shared" si="149"/>
        <v>0</v>
      </c>
      <c r="BI96" s="55">
        <f t="shared" si="150"/>
        <v>0</v>
      </c>
      <c r="BJ96" s="55">
        <f t="shared" si="151"/>
        <v>0</v>
      </c>
    </row>
    <row r="97" spans="1:62" ht="12.75">
      <c r="A97" s="36" t="s">
        <v>149</v>
      </c>
      <c r="B97" s="36" t="s">
        <v>59</v>
      </c>
      <c r="C97" s="36" t="s">
        <v>320</v>
      </c>
      <c r="D97" s="36" t="s">
        <v>509</v>
      </c>
      <c r="E97" s="36" t="s">
        <v>609</v>
      </c>
      <c r="F97" s="55">
        <f>'Stavební rozpočet'!F97</f>
        <v>0</v>
      </c>
      <c r="G97" s="55">
        <f>'Stavební rozpočet'!G97</f>
        <v>96</v>
      </c>
      <c r="H97" s="55">
        <f t="shared" si="126"/>
        <v>0</v>
      </c>
      <c r="I97" s="55">
        <f t="shared" si="127"/>
        <v>0</v>
      </c>
      <c r="J97" s="55">
        <f t="shared" si="128"/>
        <v>0</v>
      </c>
      <c r="K97" s="55">
        <f>'Stavební rozpočet'!K97</f>
        <v>0</v>
      </c>
      <c r="L97" s="55">
        <f t="shared" si="129"/>
        <v>0</v>
      </c>
      <c r="M97" s="51" t="s">
        <v>622</v>
      </c>
      <c r="Z97" s="29">
        <f t="shared" si="130"/>
        <v>0</v>
      </c>
      <c r="AB97" s="29">
        <f t="shared" si="131"/>
        <v>0</v>
      </c>
      <c r="AC97" s="29">
        <f t="shared" si="132"/>
        <v>0</v>
      </c>
      <c r="AD97" s="29">
        <f t="shared" si="133"/>
        <v>0</v>
      </c>
      <c r="AE97" s="29">
        <f t="shared" si="134"/>
        <v>0</v>
      </c>
      <c r="AF97" s="29">
        <f t="shared" si="135"/>
        <v>0</v>
      </c>
      <c r="AG97" s="29">
        <f t="shared" si="136"/>
        <v>0</v>
      </c>
      <c r="AH97" s="29">
        <f t="shared" si="137"/>
        <v>0</v>
      </c>
      <c r="AI97" s="48" t="s">
        <v>59</v>
      </c>
      <c r="AJ97" s="55">
        <f t="shared" si="138"/>
        <v>0</v>
      </c>
      <c r="AK97" s="55">
        <f t="shared" si="139"/>
        <v>0</v>
      </c>
      <c r="AL97" s="55">
        <f t="shared" si="140"/>
        <v>0</v>
      </c>
      <c r="AN97" s="29">
        <v>15</v>
      </c>
      <c r="AO97" s="29">
        <f t="shared" si="141"/>
        <v>0</v>
      </c>
      <c r="AP97" s="29">
        <f t="shared" si="142"/>
        <v>96</v>
      </c>
      <c r="AQ97" s="51" t="s">
        <v>85</v>
      </c>
      <c r="AV97" s="29">
        <f t="shared" si="143"/>
        <v>0</v>
      </c>
      <c r="AW97" s="29">
        <f t="shared" si="144"/>
        <v>0</v>
      </c>
      <c r="AX97" s="29">
        <f t="shared" si="145"/>
        <v>0</v>
      </c>
      <c r="AY97" s="54" t="s">
        <v>645</v>
      </c>
      <c r="AZ97" s="54" t="s">
        <v>654</v>
      </c>
      <c r="BA97" s="48" t="s">
        <v>658</v>
      </c>
      <c r="BC97" s="29">
        <f t="shared" si="146"/>
        <v>0</v>
      </c>
      <c r="BD97" s="29">
        <f t="shared" si="147"/>
        <v>96</v>
      </c>
      <c r="BE97" s="29">
        <v>0</v>
      </c>
      <c r="BF97" s="29">
        <f t="shared" si="148"/>
        <v>0</v>
      </c>
      <c r="BH97" s="55">
        <f t="shared" si="149"/>
        <v>0</v>
      </c>
      <c r="BI97" s="55">
        <f t="shared" si="150"/>
        <v>0</v>
      </c>
      <c r="BJ97" s="55">
        <f t="shared" si="151"/>
        <v>0</v>
      </c>
    </row>
    <row r="98" spans="1:62" ht="12.75">
      <c r="A98" s="36" t="s">
        <v>150</v>
      </c>
      <c r="B98" s="36" t="s">
        <v>59</v>
      </c>
      <c r="C98" s="36" t="s">
        <v>321</v>
      </c>
      <c r="D98" s="36" t="s">
        <v>510</v>
      </c>
      <c r="E98" s="36" t="s">
        <v>609</v>
      </c>
      <c r="F98" s="55">
        <f>'Stavební rozpočet'!F98</f>
        <v>0</v>
      </c>
      <c r="G98" s="55">
        <f>'Stavební rozpočet'!G98</f>
        <v>125</v>
      </c>
      <c r="H98" s="55">
        <f t="shared" si="126"/>
        <v>0</v>
      </c>
      <c r="I98" s="55">
        <f t="shared" si="127"/>
        <v>0</v>
      </c>
      <c r="J98" s="55">
        <f t="shared" si="128"/>
        <v>0</v>
      </c>
      <c r="K98" s="55">
        <f>'Stavební rozpočet'!K98</f>
        <v>0</v>
      </c>
      <c r="L98" s="55">
        <f t="shared" si="129"/>
        <v>0</v>
      </c>
      <c r="M98" s="51" t="s">
        <v>622</v>
      </c>
      <c r="Z98" s="29">
        <f t="shared" si="130"/>
        <v>0</v>
      </c>
      <c r="AB98" s="29">
        <f t="shared" si="131"/>
        <v>0</v>
      </c>
      <c r="AC98" s="29">
        <f t="shared" si="132"/>
        <v>0</v>
      </c>
      <c r="AD98" s="29">
        <f t="shared" si="133"/>
        <v>0</v>
      </c>
      <c r="AE98" s="29">
        <f t="shared" si="134"/>
        <v>0</v>
      </c>
      <c r="AF98" s="29">
        <f t="shared" si="135"/>
        <v>0</v>
      </c>
      <c r="AG98" s="29">
        <f t="shared" si="136"/>
        <v>0</v>
      </c>
      <c r="AH98" s="29">
        <f t="shared" si="137"/>
        <v>0</v>
      </c>
      <c r="AI98" s="48" t="s">
        <v>59</v>
      </c>
      <c r="AJ98" s="55">
        <f t="shared" si="138"/>
        <v>0</v>
      </c>
      <c r="AK98" s="55">
        <f t="shared" si="139"/>
        <v>0</v>
      </c>
      <c r="AL98" s="55">
        <f t="shared" si="140"/>
        <v>0</v>
      </c>
      <c r="AN98" s="29">
        <v>15</v>
      </c>
      <c r="AO98" s="29">
        <f t="shared" si="141"/>
        <v>0</v>
      </c>
      <c r="AP98" s="29">
        <f t="shared" si="142"/>
        <v>125</v>
      </c>
      <c r="AQ98" s="51" t="s">
        <v>85</v>
      </c>
      <c r="AV98" s="29">
        <f t="shared" si="143"/>
        <v>0</v>
      </c>
      <c r="AW98" s="29">
        <f t="shared" si="144"/>
        <v>0</v>
      </c>
      <c r="AX98" s="29">
        <f t="shared" si="145"/>
        <v>0</v>
      </c>
      <c r="AY98" s="54" t="s">
        <v>645</v>
      </c>
      <c r="AZ98" s="54" t="s">
        <v>654</v>
      </c>
      <c r="BA98" s="48" t="s">
        <v>658</v>
      </c>
      <c r="BC98" s="29">
        <f t="shared" si="146"/>
        <v>0</v>
      </c>
      <c r="BD98" s="29">
        <f t="shared" si="147"/>
        <v>125</v>
      </c>
      <c r="BE98" s="29">
        <v>0</v>
      </c>
      <c r="BF98" s="29">
        <f t="shared" si="148"/>
        <v>0</v>
      </c>
      <c r="BH98" s="55">
        <f t="shared" si="149"/>
        <v>0</v>
      </c>
      <c r="BI98" s="55">
        <f t="shared" si="150"/>
        <v>0</v>
      </c>
      <c r="BJ98" s="55">
        <f t="shared" si="151"/>
        <v>0</v>
      </c>
    </row>
    <row r="99" spans="1:62" ht="12.75">
      <c r="A99" s="36" t="s">
        <v>151</v>
      </c>
      <c r="B99" s="36" t="s">
        <v>59</v>
      </c>
      <c r="C99" s="36" t="s">
        <v>322</v>
      </c>
      <c r="D99" s="36" t="s">
        <v>511</v>
      </c>
      <c r="E99" s="36" t="s">
        <v>609</v>
      </c>
      <c r="F99" s="55">
        <f>'Stavební rozpočet'!F99</f>
        <v>0</v>
      </c>
      <c r="G99" s="55">
        <f>'Stavební rozpočet'!G99</f>
        <v>200</v>
      </c>
      <c r="H99" s="55">
        <f t="shared" si="126"/>
        <v>0</v>
      </c>
      <c r="I99" s="55">
        <f t="shared" si="127"/>
        <v>0</v>
      </c>
      <c r="J99" s="55">
        <f t="shared" si="128"/>
        <v>0</v>
      </c>
      <c r="K99" s="55">
        <f>'Stavební rozpočet'!K99</f>
        <v>0</v>
      </c>
      <c r="L99" s="55">
        <f t="shared" si="129"/>
        <v>0</v>
      </c>
      <c r="M99" s="51" t="s">
        <v>622</v>
      </c>
      <c r="Z99" s="29">
        <f t="shared" si="130"/>
        <v>0</v>
      </c>
      <c r="AB99" s="29">
        <f t="shared" si="131"/>
        <v>0</v>
      </c>
      <c r="AC99" s="29">
        <f t="shared" si="132"/>
        <v>0</v>
      </c>
      <c r="AD99" s="29">
        <f t="shared" si="133"/>
        <v>0</v>
      </c>
      <c r="AE99" s="29">
        <f t="shared" si="134"/>
        <v>0</v>
      </c>
      <c r="AF99" s="29">
        <f t="shared" si="135"/>
        <v>0</v>
      </c>
      <c r="AG99" s="29">
        <f t="shared" si="136"/>
        <v>0</v>
      </c>
      <c r="AH99" s="29">
        <f t="shared" si="137"/>
        <v>0</v>
      </c>
      <c r="AI99" s="48" t="s">
        <v>59</v>
      </c>
      <c r="AJ99" s="55">
        <f t="shared" si="138"/>
        <v>0</v>
      </c>
      <c r="AK99" s="55">
        <f t="shared" si="139"/>
        <v>0</v>
      </c>
      <c r="AL99" s="55">
        <f t="shared" si="140"/>
        <v>0</v>
      </c>
      <c r="AN99" s="29">
        <v>15</v>
      </c>
      <c r="AO99" s="29">
        <f t="shared" si="141"/>
        <v>0</v>
      </c>
      <c r="AP99" s="29">
        <f t="shared" si="142"/>
        <v>200</v>
      </c>
      <c r="AQ99" s="51" t="s">
        <v>85</v>
      </c>
      <c r="AV99" s="29">
        <f t="shared" si="143"/>
        <v>0</v>
      </c>
      <c r="AW99" s="29">
        <f t="shared" si="144"/>
        <v>0</v>
      </c>
      <c r="AX99" s="29">
        <f t="shared" si="145"/>
        <v>0</v>
      </c>
      <c r="AY99" s="54" t="s">
        <v>645</v>
      </c>
      <c r="AZ99" s="54" t="s">
        <v>654</v>
      </c>
      <c r="BA99" s="48" t="s">
        <v>658</v>
      </c>
      <c r="BC99" s="29">
        <f t="shared" si="146"/>
        <v>0</v>
      </c>
      <c r="BD99" s="29">
        <f t="shared" si="147"/>
        <v>200</v>
      </c>
      <c r="BE99" s="29">
        <v>0</v>
      </c>
      <c r="BF99" s="29">
        <f t="shared" si="148"/>
        <v>0</v>
      </c>
      <c r="BH99" s="55">
        <f t="shared" si="149"/>
        <v>0</v>
      </c>
      <c r="BI99" s="55">
        <f t="shared" si="150"/>
        <v>0</v>
      </c>
      <c r="BJ99" s="55">
        <f t="shared" si="151"/>
        <v>0</v>
      </c>
    </row>
    <row r="100" spans="1:62" ht="12.75">
      <c r="A100" s="36" t="s">
        <v>152</v>
      </c>
      <c r="B100" s="36" t="s">
        <v>59</v>
      </c>
      <c r="C100" s="36" t="s">
        <v>323</v>
      </c>
      <c r="D100" s="36" t="s">
        <v>512</v>
      </c>
      <c r="E100" s="36" t="s">
        <v>609</v>
      </c>
      <c r="F100" s="55">
        <f>'Stavební rozpočet'!F100</f>
        <v>0</v>
      </c>
      <c r="G100" s="55">
        <f>'Stavební rozpočet'!G100</f>
        <v>280</v>
      </c>
      <c r="H100" s="55">
        <f t="shared" si="126"/>
        <v>0</v>
      </c>
      <c r="I100" s="55">
        <f t="shared" si="127"/>
        <v>0</v>
      </c>
      <c r="J100" s="55">
        <f t="shared" si="128"/>
        <v>0</v>
      </c>
      <c r="K100" s="55">
        <f>'Stavební rozpočet'!K100</f>
        <v>0</v>
      </c>
      <c r="L100" s="55">
        <f t="shared" si="129"/>
        <v>0</v>
      </c>
      <c r="M100" s="51" t="s">
        <v>622</v>
      </c>
      <c r="Z100" s="29">
        <f t="shared" si="130"/>
        <v>0</v>
      </c>
      <c r="AB100" s="29">
        <f t="shared" si="131"/>
        <v>0</v>
      </c>
      <c r="AC100" s="29">
        <f t="shared" si="132"/>
        <v>0</v>
      </c>
      <c r="AD100" s="29">
        <f t="shared" si="133"/>
        <v>0</v>
      </c>
      <c r="AE100" s="29">
        <f t="shared" si="134"/>
        <v>0</v>
      </c>
      <c r="AF100" s="29">
        <f t="shared" si="135"/>
        <v>0</v>
      </c>
      <c r="AG100" s="29">
        <f t="shared" si="136"/>
        <v>0</v>
      </c>
      <c r="AH100" s="29">
        <f t="shared" si="137"/>
        <v>0</v>
      </c>
      <c r="AI100" s="48" t="s">
        <v>59</v>
      </c>
      <c r="AJ100" s="55">
        <f t="shared" si="138"/>
        <v>0</v>
      </c>
      <c r="AK100" s="55">
        <f t="shared" si="139"/>
        <v>0</v>
      </c>
      <c r="AL100" s="55">
        <f t="shared" si="140"/>
        <v>0</v>
      </c>
      <c r="AN100" s="29">
        <v>15</v>
      </c>
      <c r="AO100" s="29">
        <f t="shared" si="141"/>
        <v>0</v>
      </c>
      <c r="AP100" s="29">
        <f t="shared" si="142"/>
        <v>280</v>
      </c>
      <c r="AQ100" s="51" t="s">
        <v>85</v>
      </c>
      <c r="AV100" s="29">
        <f t="shared" si="143"/>
        <v>0</v>
      </c>
      <c r="AW100" s="29">
        <f t="shared" si="144"/>
        <v>0</v>
      </c>
      <c r="AX100" s="29">
        <f t="shared" si="145"/>
        <v>0</v>
      </c>
      <c r="AY100" s="54" t="s">
        <v>645</v>
      </c>
      <c r="AZ100" s="54" t="s">
        <v>654</v>
      </c>
      <c r="BA100" s="48" t="s">
        <v>658</v>
      </c>
      <c r="BC100" s="29">
        <f t="shared" si="146"/>
        <v>0</v>
      </c>
      <c r="BD100" s="29">
        <f t="shared" si="147"/>
        <v>280</v>
      </c>
      <c r="BE100" s="29">
        <v>0</v>
      </c>
      <c r="BF100" s="29">
        <f t="shared" si="148"/>
        <v>0</v>
      </c>
      <c r="BH100" s="55">
        <f t="shared" si="149"/>
        <v>0</v>
      </c>
      <c r="BI100" s="55">
        <f t="shared" si="150"/>
        <v>0</v>
      </c>
      <c r="BJ100" s="55">
        <f t="shared" si="151"/>
        <v>0</v>
      </c>
    </row>
    <row r="101" spans="1:62" ht="12.75">
      <c r="A101" s="36" t="s">
        <v>153</v>
      </c>
      <c r="B101" s="36" t="s">
        <v>59</v>
      </c>
      <c r="C101" s="36" t="s">
        <v>324</v>
      </c>
      <c r="D101" s="36" t="s">
        <v>513</v>
      </c>
      <c r="E101" s="36" t="s">
        <v>609</v>
      </c>
      <c r="F101" s="55">
        <f>'Stavební rozpočet'!F101</f>
        <v>0</v>
      </c>
      <c r="G101" s="55">
        <f>'Stavební rozpočet'!G101</f>
        <v>85</v>
      </c>
      <c r="H101" s="55">
        <f t="shared" si="126"/>
        <v>0</v>
      </c>
      <c r="I101" s="55">
        <f t="shared" si="127"/>
        <v>0</v>
      </c>
      <c r="J101" s="55">
        <f t="shared" si="128"/>
        <v>0</v>
      </c>
      <c r="K101" s="55">
        <f>'Stavební rozpočet'!K101</f>
        <v>0</v>
      </c>
      <c r="L101" s="55">
        <f t="shared" si="129"/>
        <v>0</v>
      </c>
      <c r="M101" s="51" t="s">
        <v>622</v>
      </c>
      <c r="Z101" s="29">
        <f t="shared" si="130"/>
        <v>0</v>
      </c>
      <c r="AB101" s="29">
        <f t="shared" si="131"/>
        <v>0</v>
      </c>
      <c r="AC101" s="29">
        <f t="shared" si="132"/>
        <v>0</v>
      </c>
      <c r="AD101" s="29">
        <f t="shared" si="133"/>
        <v>0</v>
      </c>
      <c r="AE101" s="29">
        <f t="shared" si="134"/>
        <v>0</v>
      </c>
      <c r="AF101" s="29">
        <f t="shared" si="135"/>
        <v>0</v>
      </c>
      <c r="AG101" s="29">
        <f t="shared" si="136"/>
        <v>0</v>
      </c>
      <c r="AH101" s="29">
        <f t="shared" si="137"/>
        <v>0</v>
      </c>
      <c r="AI101" s="48" t="s">
        <v>59</v>
      </c>
      <c r="AJ101" s="55">
        <f t="shared" si="138"/>
        <v>0</v>
      </c>
      <c r="AK101" s="55">
        <f t="shared" si="139"/>
        <v>0</v>
      </c>
      <c r="AL101" s="55">
        <f t="shared" si="140"/>
        <v>0</v>
      </c>
      <c r="AN101" s="29">
        <v>15</v>
      </c>
      <c r="AO101" s="29">
        <f t="shared" si="141"/>
        <v>0</v>
      </c>
      <c r="AP101" s="29">
        <f t="shared" si="142"/>
        <v>85</v>
      </c>
      <c r="AQ101" s="51" t="s">
        <v>85</v>
      </c>
      <c r="AV101" s="29">
        <f t="shared" si="143"/>
        <v>0</v>
      </c>
      <c r="AW101" s="29">
        <f t="shared" si="144"/>
        <v>0</v>
      </c>
      <c r="AX101" s="29">
        <f t="shared" si="145"/>
        <v>0</v>
      </c>
      <c r="AY101" s="54" t="s">
        <v>645</v>
      </c>
      <c r="AZ101" s="54" t="s">
        <v>654</v>
      </c>
      <c r="BA101" s="48" t="s">
        <v>658</v>
      </c>
      <c r="BC101" s="29">
        <f t="shared" si="146"/>
        <v>0</v>
      </c>
      <c r="BD101" s="29">
        <f t="shared" si="147"/>
        <v>85</v>
      </c>
      <c r="BE101" s="29">
        <v>0</v>
      </c>
      <c r="BF101" s="29">
        <f t="shared" si="148"/>
        <v>0</v>
      </c>
      <c r="BH101" s="55">
        <f t="shared" si="149"/>
        <v>0</v>
      </c>
      <c r="BI101" s="55">
        <f t="shared" si="150"/>
        <v>0</v>
      </c>
      <c r="BJ101" s="55">
        <f t="shared" si="151"/>
        <v>0</v>
      </c>
    </row>
    <row r="102" spans="1:62" ht="12.75">
      <c r="A102" s="36" t="s">
        <v>154</v>
      </c>
      <c r="B102" s="36" t="s">
        <v>59</v>
      </c>
      <c r="C102" s="36" t="s">
        <v>325</v>
      </c>
      <c r="D102" s="36" t="s">
        <v>514</v>
      </c>
      <c r="E102" s="36" t="s">
        <v>609</v>
      </c>
      <c r="F102" s="55">
        <f>'Stavební rozpočet'!F102</f>
        <v>0</v>
      </c>
      <c r="G102" s="55">
        <f>'Stavební rozpočet'!G102</f>
        <v>85</v>
      </c>
      <c r="H102" s="55">
        <f t="shared" si="126"/>
        <v>0</v>
      </c>
      <c r="I102" s="55">
        <f t="shared" si="127"/>
        <v>0</v>
      </c>
      <c r="J102" s="55">
        <f t="shared" si="128"/>
        <v>0</v>
      </c>
      <c r="K102" s="55">
        <f>'Stavební rozpočet'!K102</f>
        <v>0</v>
      </c>
      <c r="L102" s="55">
        <f t="shared" si="129"/>
        <v>0</v>
      </c>
      <c r="M102" s="51" t="s">
        <v>622</v>
      </c>
      <c r="Z102" s="29">
        <f t="shared" si="130"/>
        <v>0</v>
      </c>
      <c r="AB102" s="29">
        <f t="shared" si="131"/>
        <v>0</v>
      </c>
      <c r="AC102" s="29">
        <f t="shared" si="132"/>
        <v>0</v>
      </c>
      <c r="AD102" s="29">
        <f t="shared" si="133"/>
        <v>0</v>
      </c>
      <c r="AE102" s="29">
        <f t="shared" si="134"/>
        <v>0</v>
      </c>
      <c r="AF102" s="29">
        <f t="shared" si="135"/>
        <v>0</v>
      </c>
      <c r="AG102" s="29">
        <f t="shared" si="136"/>
        <v>0</v>
      </c>
      <c r="AH102" s="29">
        <f t="shared" si="137"/>
        <v>0</v>
      </c>
      <c r="AI102" s="48" t="s">
        <v>59</v>
      </c>
      <c r="AJ102" s="55">
        <f t="shared" si="138"/>
        <v>0</v>
      </c>
      <c r="AK102" s="55">
        <f t="shared" si="139"/>
        <v>0</v>
      </c>
      <c r="AL102" s="55">
        <f t="shared" si="140"/>
        <v>0</v>
      </c>
      <c r="AN102" s="29">
        <v>15</v>
      </c>
      <c r="AO102" s="29">
        <f t="shared" si="141"/>
        <v>0</v>
      </c>
      <c r="AP102" s="29">
        <f t="shared" si="142"/>
        <v>85</v>
      </c>
      <c r="AQ102" s="51" t="s">
        <v>85</v>
      </c>
      <c r="AV102" s="29">
        <f t="shared" si="143"/>
        <v>0</v>
      </c>
      <c r="AW102" s="29">
        <f t="shared" si="144"/>
        <v>0</v>
      </c>
      <c r="AX102" s="29">
        <f t="shared" si="145"/>
        <v>0</v>
      </c>
      <c r="AY102" s="54" t="s">
        <v>645</v>
      </c>
      <c r="AZ102" s="54" t="s">
        <v>654</v>
      </c>
      <c r="BA102" s="48" t="s">
        <v>658</v>
      </c>
      <c r="BC102" s="29">
        <f t="shared" si="146"/>
        <v>0</v>
      </c>
      <c r="BD102" s="29">
        <f t="shared" si="147"/>
        <v>85</v>
      </c>
      <c r="BE102" s="29">
        <v>0</v>
      </c>
      <c r="BF102" s="29">
        <f t="shared" si="148"/>
        <v>0</v>
      </c>
      <c r="BH102" s="55">
        <f t="shared" si="149"/>
        <v>0</v>
      </c>
      <c r="BI102" s="55">
        <f t="shared" si="150"/>
        <v>0</v>
      </c>
      <c r="BJ102" s="55">
        <f t="shared" si="151"/>
        <v>0</v>
      </c>
    </row>
    <row r="103" spans="1:62" ht="12.75">
      <c r="A103" s="36" t="s">
        <v>155</v>
      </c>
      <c r="B103" s="36" t="s">
        <v>59</v>
      </c>
      <c r="C103" s="36" t="s">
        <v>326</v>
      </c>
      <c r="D103" s="36" t="s">
        <v>515</v>
      </c>
      <c r="E103" s="36" t="s">
        <v>609</v>
      </c>
      <c r="F103" s="55">
        <f>'Stavební rozpočet'!F103</f>
        <v>0</v>
      </c>
      <c r="G103" s="55">
        <f>'Stavební rozpočet'!G103</f>
        <v>85</v>
      </c>
      <c r="H103" s="55">
        <f t="shared" si="126"/>
        <v>0</v>
      </c>
      <c r="I103" s="55">
        <f t="shared" si="127"/>
        <v>0</v>
      </c>
      <c r="J103" s="55">
        <f t="shared" si="128"/>
        <v>0</v>
      </c>
      <c r="K103" s="55">
        <f>'Stavební rozpočet'!K103</f>
        <v>0</v>
      </c>
      <c r="L103" s="55">
        <f t="shared" si="129"/>
        <v>0</v>
      </c>
      <c r="M103" s="51" t="s">
        <v>622</v>
      </c>
      <c r="Z103" s="29">
        <f t="shared" si="130"/>
        <v>0</v>
      </c>
      <c r="AB103" s="29">
        <f t="shared" si="131"/>
        <v>0</v>
      </c>
      <c r="AC103" s="29">
        <f t="shared" si="132"/>
        <v>0</v>
      </c>
      <c r="AD103" s="29">
        <f t="shared" si="133"/>
        <v>0</v>
      </c>
      <c r="AE103" s="29">
        <f t="shared" si="134"/>
        <v>0</v>
      </c>
      <c r="AF103" s="29">
        <f t="shared" si="135"/>
        <v>0</v>
      </c>
      <c r="AG103" s="29">
        <f t="shared" si="136"/>
        <v>0</v>
      </c>
      <c r="AH103" s="29">
        <f t="shared" si="137"/>
        <v>0</v>
      </c>
      <c r="AI103" s="48" t="s">
        <v>59</v>
      </c>
      <c r="AJ103" s="55">
        <f t="shared" si="138"/>
        <v>0</v>
      </c>
      <c r="AK103" s="55">
        <f t="shared" si="139"/>
        <v>0</v>
      </c>
      <c r="AL103" s="55">
        <f t="shared" si="140"/>
        <v>0</v>
      </c>
      <c r="AN103" s="29">
        <v>15</v>
      </c>
      <c r="AO103" s="29">
        <f t="shared" si="141"/>
        <v>0</v>
      </c>
      <c r="AP103" s="29">
        <f t="shared" si="142"/>
        <v>85</v>
      </c>
      <c r="AQ103" s="51" t="s">
        <v>85</v>
      </c>
      <c r="AV103" s="29">
        <f t="shared" si="143"/>
        <v>0</v>
      </c>
      <c r="AW103" s="29">
        <f t="shared" si="144"/>
        <v>0</v>
      </c>
      <c r="AX103" s="29">
        <f t="shared" si="145"/>
        <v>0</v>
      </c>
      <c r="AY103" s="54" t="s">
        <v>645</v>
      </c>
      <c r="AZ103" s="54" t="s">
        <v>654</v>
      </c>
      <c r="BA103" s="48" t="s">
        <v>658</v>
      </c>
      <c r="BC103" s="29">
        <f t="shared" si="146"/>
        <v>0</v>
      </c>
      <c r="BD103" s="29">
        <f t="shared" si="147"/>
        <v>85</v>
      </c>
      <c r="BE103" s="29">
        <v>0</v>
      </c>
      <c r="BF103" s="29">
        <f t="shared" si="148"/>
        <v>0</v>
      </c>
      <c r="BH103" s="55">
        <f t="shared" si="149"/>
        <v>0</v>
      </c>
      <c r="BI103" s="55">
        <f t="shared" si="150"/>
        <v>0</v>
      </c>
      <c r="BJ103" s="55">
        <f t="shared" si="151"/>
        <v>0</v>
      </c>
    </row>
    <row r="104" spans="1:62" ht="12.75">
      <c r="A104" s="36" t="s">
        <v>156</v>
      </c>
      <c r="B104" s="36" t="s">
        <v>59</v>
      </c>
      <c r="C104" s="36" t="s">
        <v>327</v>
      </c>
      <c r="D104" s="36" t="s">
        <v>516</v>
      </c>
      <c r="E104" s="36" t="s">
        <v>609</v>
      </c>
      <c r="F104" s="55">
        <f>'Stavební rozpočet'!F104</f>
        <v>0</v>
      </c>
      <c r="G104" s="55">
        <f>'Stavební rozpočet'!G104</f>
        <v>55</v>
      </c>
      <c r="H104" s="55">
        <f t="shared" si="126"/>
        <v>0</v>
      </c>
      <c r="I104" s="55">
        <f t="shared" si="127"/>
        <v>0</v>
      </c>
      <c r="J104" s="55">
        <f t="shared" si="128"/>
        <v>0</v>
      </c>
      <c r="K104" s="55">
        <f>'Stavební rozpočet'!K104</f>
        <v>0</v>
      </c>
      <c r="L104" s="55">
        <f t="shared" si="129"/>
        <v>0</v>
      </c>
      <c r="M104" s="51" t="s">
        <v>622</v>
      </c>
      <c r="Z104" s="29">
        <f t="shared" si="130"/>
        <v>0</v>
      </c>
      <c r="AB104" s="29">
        <f t="shared" si="131"/>
        <v>0</v>
      </c>
      <c r="AC104" s="29">
        <f t="shared" si="132"/>
        <v>0</v>
      </c>
      <c r="AD104" s="29">
        <f t="shared" si="133"/>
        <v>0</v>
      </c>
      <c r="AE104" s="29">
        <f t="shared" si="134"/>
        <v>0</v>
      </c>
      <c r="AF104" s="29">
        <f t="shared" si="135"/>
        <v>0</v>
      </c>
      <c r="AG104" s="29">
        <f t="shared" si="136"/>
        <v>0</v>
      </c>
      <c r="AH104" s="29">
        <f t="shared" si="137"/>
        <v>0</v>
      </c>
      <c r="AI104" s="48" t="s">
        <v>59</v>
      </c>
      <c r="AJ104" s="55">
        <f t="shared" si="138"/>
        <v>0</v>
      </c>
      <c r="AK104" s="55">
        <f t="shared" si="139"/>
        <v>0</v>
      </c>
      <c r="AL104" s="55">
        <f t="shared" si="140"/>
        <v>0</v>
      </c>
      <c r="AN104" s="29">
        <v>15</v>
      </c>
      <c r="AO104" s="29">
        <f t="shared" si="141"/>
        <v>0</v>
      </c>
      <c r="AP104" s="29">
        <f t="shared" si="142"/>
        <v>55</v>
      </c>
      <c r="AQ104" s="51" t="s">
        <v>85</v>
      </c>
      <c r="AV104" s="29">
        <f t="shared" si="143"/>
        <v>0</v>
      </c>
      <c r="AW104" s="29">
        <f t="shared" si="144"/>
        <v>0</v>
      </c>
      <c r="AX104" s="29">
        <f t="shared" si="145"/>
        <v>0</v>
      </c>
      <c r="AY104" s="54" t="s">
        <v>645</v>
      </c>
      <c r="AZ104" s="54" t="s">
        <v>654</v>
      </c>
      <c r="BA104" s="48" t="s">
        <v>658</v>
      </c>
      <c r="BC104" s="29">
        <f t="shared" si="146"/>
        <v>0</v>
      </c>
      <c r="BD104" s="29">
        <f t="shared" si="147"/>
        <v>55.00000000000001</v>
      </c>
      <c r="BE104" s="29">
        <v>0</v>
      </c>
      <c r="BF104" s="29">
        <f t="shared" si="148"/>
        <v>0</v>
      </c>
      <c r="BH104" s="55">
        <f t="shared" si="149"/>
        <v>0</v>
      </c>
      <c r="BI104" s="55">
        <f t="shared" si="150"/>
        <v>0</v>
      </c>
      <c r="BJ104" s="55">
        <f t="shared" si="151"/>
        <v>0</v>
      </c>
    </row>
    <row r="105" spans="1:62" ht="12.75">
      <c r="A105" s="36" t="s">
        <v>157</v>
      </c>
      <c r="B105" s="36" t="s">
        <v>59</v>
      </c>
      <c r="C105" s="36" t="s">
        <v>328</v>
      </c>
      <c r="D105" s="36" t="s">
        <v>517</v>
      </c>
      <c r="E105" s="36" t="s">
        <v>606</v>
      </c>
      <c r="F105" s="55">
        <f>'Stavební rozpočet'!F105</f>
        <v>0</v>
      </c>
      <c r="G105" s="55">
        <f>'Stavební rozpočet'!G105</f>
        <v>11370</v>
      </c>
      <c r="H105" s="55">
        <f t="shared" si="126"/>
        <v>0</v>
      </c>
      <c r="I105" s="55">
        <f t="shared" si="127"/>
        <v>0</v>
      </c>
      <c r="J105" s="55">
        <f t="shared" si="128"/>
        <v>0</v>
      </c>
      <c r="K105" s="55">
        <f>'Stavební rozpočet'!K105</f>
        <v>0</v>
      </c>
      <c r="L105" s="55">
        <f t="shared" si="129"/>
        <v>0</v>
      </c>
      <c r="M105" s="51" t="s">
        <v>622</v>
      </c>
      <c r="Z105" s="29">
        <f t="shared" si="130"/>
        <v>0</v>
      </c>
      <c r="AB105" s="29">
        <f t="shared" si="131"/>
        <v>0</v>
      </c>
      <c r="AC105" s="29">
        <f t="shared" si="132"/>
        <v>0</v>
      </c>
      <c r="AD105" s="29">
        <f t="shared" si="133"/>
        <v>0</v>
      </c>
      <c r="AE105" s="29">
        <f t="shared" si="134"/>
        <v>0</v>
      </c>
      <c r="AF105" s="29">
        <f t="shared" si="135"/>
        <v>0</v>
      </c>
      <c r="AG105" s="29">
        <f t="shared" si="136"/>
        <v>0</v>
      </c>
      <c r="AH105" s="29">
        <f t="shared" si="137"/>
        <v>0</v>
      </c>
      <c r="AI105" s="48" t="s">
        <v>59</v>
      </c>
      <c r="AJ105" s="55">
        <f t="shared" si="138"/>
        <v>0</v>
      </c>
      <c r="AK105" s="55">
        <f t="shared" si="139"/>
        <v>0</v>
      </c>
      <c r="AL105" s="55">
        <f t="shared" si="140"/>
        <v>0</v>
      </c>
      <c r="AN105" s="29">
        <v>15</v>
      </c>
      <c r="AO105" s="29">
        <f t="shared" si="141"/>
        <v>0</v>
      </c>
      <c r="AP105" s="29">
        <f t="shared" si="142"/>
        <v>11370</v>
      </c>
      <c r="AQ105" s="51" t="s">
        <v>85</v>
      </c>
      <c r="AV105" s="29">
        <f t="shared" si="143"/>
        <v>0</v>
      </c>
      <c r="AW105" s="29">
        <f t="shared" si="144"/>
        <v>0</v>
      </c>
      <c r="AX105" s="29">
        <f t="shared" si="145"/>
        <v>0</v>
      </c>
      <c r="AY105" s="54" t="s">
        <v>645</v>
      </c>
      <c r="AZ105" s="54" t="s">
        <v>654</v>
      </c>
      <c r="BA105" s="48" t="s">
        <v>658</v>
      </c>
      <c r="BC105" s="29">
        <f t="shared" si="146"/>
        <v>0</v>
      </c>
      <c r="BD105" s="29">
        <f t="shared" si="147"/>
        <v>11370</v>
      </c>
      <c r="BE105" s="29">
        <v>0</v>
      </c>
      <c r="BF105" s="29">
        <f t="shared" si="148"/>
        <v>0</v>
      </c>
      <c r="BH105" s="55">
        <f t="shared" si="149"/>
        <v>0</v>
      </c>
      <c r="BI105" s="55">
        <f t="shared" si="150"/>
        <v>0</v>
      </c>
      <c r="BJ105" s="55">
        <f t="shared" si="151"/>
        <v>0</v>
      </c>
    </row>
    <row r="106" spans="1:62" ht="12.75">
      <c r="A106" s="36" t="s">
        <v>158</v>
      </c>
      <c r="B106" s="36" t="s">
        <v>59</v>
      </c>
      <c r="C106" s="36" t="s">
        <v>329</v>
      </c>
      <c r="D106" s="36" t="s">
        <v>518</v>
      </c>
      <c r="E106" s="36" t="s">
        <v>606</v>
      </c>
      <c r="F106" s="55">
        <f>'Stavební rozpočet'!F106</f>
        <v>0</v>
      </c>
      <c r="G106" s="55">
        <f>'Stavební rozpočet'!G106</f>
        <v>235</v>
      </c>
      <c r="H106" s="55">
        <f t="shared" si="126"/>
        <v>0</v>
      </c>
      <c r="I106" s="55">
        <f t="shared" si="127"/>
        <v>0</v>
      </c>
      <c r="J106" s="55">
        <f t="shared" si="128"/>
        <v>0</v>
      </c>
      <c r="K106" s="55">
        <f>'Stavební rozpočet'!K106</f>
        <v>0</v>
      </c>
      <c r="L106" s="55">
        <f t="shared" si="129"/>
        <v>0</v>
      </c>
      <c r="M106" s="51" t="s">
        <v>622</v>
      </c>
      <c r="Z106" s="29">
        <f t="shared" si="130"/>
        <v>0</v>
      </c>
      <c r="AB106" s="29">
        <f t="shared" si="131"/>
        <v>0</v>
      </c>
      <c r="AC106" s="29">
        <f t="shared" si="132"/>
        <v>0</v>
      </c>
      <c r="AD106" s="29">
        <f t="shared" si="133"/>
        <v>0</v>
      </c>
      <c r="AE106" s="29">
        <f t="shared" si="134"/>
        <v>0</v>
      </c>
      <c r="AF106" s="29">
        <f t="shared" si="135"/>
        <v>0</v>
      </c>
      <c r="AG106" s="29">
        <f t="shared" si="136"/>
        <v>0</v>
      </c>
      <c r="AH106" s="29">
        <f t="shared" si="137"/>
        <v>0</v>
      </c>
      <c r="AI106" s="48" t="s">
        <v>59</v>
      </c>
      <c r="AJ106" s="55">
        <f t="shared" si="138"/>
        <v>0</v>
      </c>
      <c r="AK106" s="55">
        <f t="shared" si="139"/>
        <v>0</v>
      </c>
      <c r="AL106" s="55">
        <f t="shared" si="140"/>
        <v>0</v>
      </c>
      <c r="AN106" s="29">
        <v>15</v>
      </c>
      <c r="AO106" s="29">
        <f t="shared" si="141"/>
        <v>0</v>
      </c>
      <c r="AP106" s="29">
        <f t="shared" si="142"/>
        <v>235</v>
      </c>
      <c r="AQ106" s="51" t="s">
        <v>85</v>
      </c>
      <c r="AV106" s="29">
        <f t="shared" si="143"/>
        <v>0</v>
      </c>
      <c r="AW106" s="29">
        <f t="shared" si="144"/>
        <v>0</v>
      </c>
      <c r="AX106" s="29">
        <f t="shared" si="145"/>
        <v>0</v>
      </c>
      <c r="AY106" s="54" t="s">
        <v>645</v>
      </c>
      <c r="AZ106" s="54" t="s">
        <v>654</v>
      </c>
      <c r="BA106" s="48" t="s">
        <v>658</v>
      </c>
      <c r="BC106" s="29">
        <f t="shared" si="146"/>
        <v>0</v>
      </c>
      <c r="BD106" s="29">
        <f t="shared" si="147"/>
        <v>235</v>
      </c>
      <c r="BE106" s="29">
        <v>0</v>
      </c>
      <c r="BF106" s="29">
        <f t="shared" si="148"/>
        <v>0</v>
      </c>
      <c r="BH106" s="55">
        <f t="shared" si="149"/>
        <v>0</v>
      </c>
      <c r="BI106" s="55">
        <f t="shared" si="150"/>
        <v>0</v>
      </c>
      <c r="BJ106" s="55">
        <f t="shared" si="151"/>
        <v>0</v>
      </c>
    </row>
    <row r="107" spans="1:62" ht="12.75">
      <c r="A107" s="36" t="s">
        <v>159</v>
      </c>
      <c r="B107" s="36" t="s">
        <v>59</v>
      </c>
      <c r="C107" s="36" t="s">
        <v>330</v>
      </c>
      <c r="D107" s="36" t="s">
        <v>519</v>
      </c>
      <c r="E107" s="36" t="s">
        <v>606</v>
      </c>
      <c r="F107" s="55">
        <f>'Stavební rozpočet'!F107</f>
        <v>0</v>
      </c>
      <c r="G107" s="55">
        <f>'Stavební rozpočet'!G107</f>
        <v>265</v>
      </c>
      <c r="H107" s="55">
        <f t="shared" si="126"/>
        <v>0</v>
      </c>
      <c r="I107" s="55">
        <f t="shared" si="127"/>
        <v>0</v>
      </c>
      <c r="J107" s="55">
        <f t="shared" si="128"/>
        <v>0</v>
      </c>
      <c r="K107" s="55">
        <f>'Stavební rozpočet'!K107</f>
        <v>0</v>
      </c>
      <c r="L107" s="55">
        <f t="shared" si="129"/>
        <v>0</v>
      </c>
      <c r="M107" s="51" t="s">
        <v>622</v>
      </c>
      <c r="Z107" s="29">
        <f t="shared" si="130"/>
        <v>0</v>
      </c>
      <c r="AB107" s="29">
        <f t="shared" si="131"/>
        <v>0</v>
      </c>
      <c r="AC107" s="29">
        <f t="shared" si="132"/>
        <v>0</v>
      </c>
      <c r="AD107" s="29">
        <f t="shared" si="133"/>
        <v>0</v>
      </c>
      <c r="AE107" s="29">
        <f t="shared" si="134"/>
        <v>0</v>
      </c>
      <c r="AF107" s="29">
        <f t="shared" si="135"/>
        <v>0</v>
      </c>
      <c r="AG107" s="29">
        <f t="shared" si="136"/>
        <v>0</v>
      </c>
      <c r="AH107" s="29">
        <f t="shared" si="137"/>
        <v>0</v>
      </c>
      <c r="AI107" s="48" t="s">
        <v>59</v>
      </c>
      <c r="AJ107" s="55">
        <f t="shared" si="138"/>
        <v>0</v>
      </c>
      <c r="AK107" s="55">
        <f t="shared" si="139"/>
        <v>0</v>
      </c>
      <c r="AL107" s="55">
        <f t="shared" si="140"/>
        <v>0</v>
      </c>
      <c r="AN107" s="29">
        <v>15</v>
      </c>
      <c r="AO107" s="29">
        <f t="shared" si="141"/>
        <v>0</v>
      </c>
      <c r="AP107" s="29">
        <f t="shared" si="142"/>
        <v>265</v>
      </c>
      <c r="AQ107" s="51" t="s">
        <v>85</v>
      </c>
      <c r="AV107" s="29">
        <f t="shared" si="143"/>
        <v>0</v>
      </c>
      <c r="AW107" s="29">
        <f t="shared" si="144"/>
        <v>0</v>
      </c>
      <c r="AX107" s="29">
        <f t="shared" si="145"/>
        <v>0</v>
      </c>
      <c r="AY107" s="54" t="s">
        <v>645</v>
      </c>
      <c r="AZ107" s="54" t="s">
        <v>654</v>
      </c>
      <c r="BA107" s="48" t="s">
        <v>658</v>
      </c>
      <c r="BC107" s="29">
        <f t="shared" si="146"/>
        <v>0</v>
      </c>
      <c r="BD107" s="29">
        <f t="shared" si="147"/>
        <v>265</v>
      </c>
      <c r="BE107" s="29">
        <v>0</v>
      </c>
      <c r="BF107" s="29">
        <f t="shared" si="148"/>
        <v>0</v>
      </c>
      <c r="BH107" s="55">
        <f t="shared" si="149"/>
        <v>0</v>
      </c>
      <c r="BI107" s="55">
        <f t="shared" si="150"/>
        <v>0</v>
      </c>
      <c r="BJ107" s="55">
        <f t="shared" si="151"/>
        <v>0</v>
      </c>
    </row>
    <row r="108" spans="1:62" ht="12.75">
      <c r="A108" s="36" t="s">
        <v>160</v>
      </c>
      <c r="B108" s="36" t="s">
        <v>59</v>
      </c>
      <c r="C108" s="36" t="s">
        <v>331</v>
      </c>
      <c r="D108" s="36" t="s">
        <v>520</v>
      </c>
      <c r="E108" s="36" t="s">
        <v>606</v>
      </c>
      <c r="F108" s="55">
        <f>'Stavební rozpočet'!F108</f>
        <v>0</v>
      </c>
      <c r="G108" s="55">
        <f>'Stavební rozpočet'!G108</f>
        <v>220</v>
      </c>
      <c r="H108" s="55">
        <f t="shared" si="126"/>
        <v>0</v>
      </c>
      <c r="I108" s="55">
        <f t="shared" si="127"/>
        <v>0</v>
      </c>
      <c r="J108" s="55">
        <f t="shared" si="128"/>
        <v>0</v>
      </c>
      <c r="K108" s="55">
        <f>'Stavební rozpočet'!K108</f>
        <v>0</v>
      </c>
      <c r="L108" s="55">
        <f t="shared" si="129"/>
        <v>0</v>
      </c>
      <c r="M108" s="51" t="s">
        <v>622</v>
      </c>
      <c r="Z108" s="29">
        <f t="shared" si="130"/>
        <v>0</v>
      </c>
      <c r="AB108" s="29">
        <f t="shared" si="131"/>
        <v>0</v>
      </c>
      <c r="AC108" s="29">
        <f t="shared" si="132"/>
        <v>0</v>
      </c>
      <c r="AD108" s="29">
        <f t="shared" si="133"/>
        <v>0</v>
      </c>
      <c r="AE108" s="29">
        <f t="shared" si="134"/>
        <v>0</v>
      </c>
      <c r="AF108" s="29">
        <f t="shared" si="135"/>
        <v>0</v>
      </c>
      <c r="AG108" s="29">
        <f t="shared" si="136"/>
        <v>0</v>
      </c>
      <c r="AH108" s="29">
        <f t="shared" si="137"/>
        <v>0</v>
      </c>
      <c r="AI108" s="48" t="s">
        <v>59</v>
      </c>
      <c r="AJ108" s="55">
        <f t="shared" si="138"/>
        <v>0</v>
      </c>
      <c r="AK108" s="55">
        <f t="shared" si="139"/>
        <v>0</v>
      </c>
      <c r="AL108" s="55">
        <f t="shared" si="140"/>
        <v>0</v>
      </c>
      <c r="AN108" s="29">
        <v>15</v>
      </c>
      <c r="AO108" s="29">
        <f t="shared" si="141"/>
        <v>0</v>
      </c>
      <c r="AP108" s="29">
        <f t="shared" si="142"/>
        <v>220</v>
      </c>
      <c r="AQ108" s="51" t="s">
        <v>85</v>
      </c>
      <c r="AV108" s="29">
        <f t="shared" si="143"/>
        <v>0</v>
      </c>
      <c r="AW108" s="29">
        <f t="shared" si="144"/>
        <v>0</v>
      </c>
      <c r="AX108" s="29">
        <f t="shared" si="145"/>
        <v>0</v>
      </c>
      <c r="AY108" s="54" t="s">
        <v>645</v>
      </c>
      <c r="AZ108" s="54" t="s">
        <v>654</v>
      </c>
      <c r="BA108" s="48" t="s">
        <v>658</v>
      </c>
      <c r="BC108" s="29">
        <f t="shared" si="146"/>
        <v>0</v>
      </c>
      <c r="BD108" s="29">
        <f t="shared" si="147"/>
        <v>220.00000000000003</v>
      </c>
      <c r="BE108" s="29">
        <v>0</v>
      </c>
      <c r="BF108" s="29">
        <f t="shared" si="148"/>
        <v>0</v>
      </c>
      <c r="BH108" s="55">
        <f t="shared" si="149"/>
        <v>0</v>
      </c>
      <c r="BI108" s="55">
        <f t="shared" si="150"/>
        <v>0</v>
      </c>
      <c r="BJ108" s="55">
        <f t="shared" si="151"/>
        <v>0</v>
      </c>
    </row>
    <row r="109" spans="1:62" ht="12.75">
      <c r="A109" s="36" t="s">
        <v>161</v>
      </c>
      <c r="B109" s="36" t="s">
        <v>59</v>
      </c>
      <c r="C109" s="36" t="s">
        <v>332</v>
      </c>
      <c r="D109" s="36" t="s">
        <v>521</v>
      </c>
      <c r="E109" s="36" t="s">
        <v>606</v>
      </c>
      <c r="F109" s="55">
        <f>'Stavební rozpočet'!F109</f>
        <v>0</v>
      </c>
      <c r="G109" s="55">
        <f>'Stavební rozpočet'!G109</f>
        <v>31</v>
      </c>
      <c r="H109" s="55">
        <f t="shared" si="126"/>
        <v>0</v>
      </c>
      <c r="I109" s="55">
        <f t="shared" si="127"/>
        <v>0</v>
      </c>
      <c r="J109" s="55">
        <f t="shared" si="128"/>
        <v>0</v>
      </c>
      <c r="K109" s="55">
        <f>'Stavební rozpočet'!K109</f>
        <v>0</v>
      </c>
      <c r="L109" s="55">
        <f t="shared" si="129"/>
        <v>0</v>
      </c>
      <c r="M109" s="51" t="s">
        <v>622</v>
      </c>
      <c r="Z109" s="29">
        <f t="shared" si="130"/>
        <v>0</v>
      </c>
      <c r="AB109" s="29">
        <f t="shared" si="131"/>
        <v>0</v>
      </c>
      <c r="AC109" s="29">
        <f t="shared" si="132"/>
        <v>0</v>
      </c>
      <c r="AD109" s="29">
        <f t="shared" si="133"/>
        <v>0</v>
      </c>
      <c r="AE109" s="29">
        <f t="shared" si="134"/>
        <v>0</v>
      </c>
      <c r="AF109" s="29">
        <f t="shared" si="135"/>
        <v>0</v>
      </c>
      <c r="AG109" s="29">
        <f t="shared" si="136"/>
        <v>0</v>
      </c>
      <c r="AH109" s="29">
        <f t="shared" si="137"/>
        <v>0</v>
      </c>
      <c r="AI109" s="48" t="s">
        <v>59</v>
      </c>
      <c r="AJ109" s="55">
        <f t="shared" si="138"/>
        <v>0</v>
      </c>
      <c r="AK109" s="55">
        <f t="shared" si="139"/>
        <v>0</v>
      </c>
      <c r="AL109" s="55">
        <f t="shared" si="140"/>
        <v>0</v>
      </c>
      <c r="AN109" s="29">
        <v>15</v>
      </c>
      <c r="AO109" s="29">
        <f t="shared" si="141"/>
        <v>0</v>
      </c>
      <c r="AP109" s="29">
        <f t="shared" si="142"/>
        <v>31</v>
      </c>
      <c r="AQ109" s="51" t="s">
        <v>85</v>
      </c>
      <c r="AV109" s="29">
        <f t="shared" si="143"/>
        <v>0</v>
      </c>
      <c r="AW109" s="29">
        <f t="shared" si="144"/>
        <v>0</v>
      </c>
      <c r="AX109" s="29">
        <f t="shared" si="145"/>
        <v>0</v>
      </c>
      <c r="AY109" s="54" t="s">
        <v>645</v>
      </c>
      <c r="AZ109" s="54" t="s">
        <v>654</v>
      </c>
      <c r="BA109" s="48" t="s">
        <v>658</v>
      </c>
      <c r="BC109" s="29">
        <f t="shared" si="146"/>
        <v>0</v>
      </c>
      <c r="BD109" s="29">
        <f t="shared" si="147"/>
        <v>31</v>
      </c>
      <c r="BE109" s="29">
        <v>0</v>
      </c>
      <c r="BF109" s="29">
        <f t="shared" si="148"/>
        <v>0</v>
      </c>
      <c r="BH109" s="55">
        <f t="shared" si="149"/>
        <v>0</v>
      </c>
      <c r="BI109" s="55">
        <f t="shared" si="150"/>
        <v>0</v>
      </c>
      <c r="BJ109" s="55">
        <f t="shared" si="151"/>
        <v>0</v>
      </c>
    </row>
    <row r="110" spans="1:62" ht="12.75">
      <c r="A110" s="36" t="s">
        <v>162</v>
      </c>
      <c r="B110" s="36" t="s">
        <v>59</v>
      </c>
      <c r="C110" s="36" t="s">
        <v>333</v>
      </c>
      <c r="D110" s="36" t="s">
        <v>522</v>
      </c>
      <c r="E110" s="36" t="s">
        <v>606</v>
      </c>
      <c r="F110" s="55">
        <f>'Stavební rozpočet'!F110</f>
        <v>0</v>
      </c>
      <c r="G110" s="55">
        <f>'Stavební rozpočet'!G110</f>
        <v>70</v>
      </c>
      <c r="H110" s="55">
        <f t="shared" si="126"/>
        <v>0</v>
      </c>
      <c r="I110" s="55">
        <f t="shared" si="127"/>
        <v>0</v>
      </c>
      <c r="J110" s="55">
        <f t="shared" si="128"/>
        <v>0</v>
      </c>
      <c r="K110" s="55">
        <f>'Stavební rozpočet'!K110</f>
        <v>0</v>
      </c>
      <c r="L110" s="55">
        <f t="shared" si="129"/>
        <v>0</v>
      </c>
      <c r="M110" s="51" t="s">
        <v>622</v>
      </c>
      <c r="Z110" s="29">
        <f t="shared" si="130"/>
        <v>0</v>
      </c>
      <c r="AB110" s="29">
        <f t="shared" si="131"/>
        <v>0</v>
      </c>
      <c r="AC110" s="29">
        <f t="shared" si="132"/>
        <v>0</v>
      </c>
      <c r="AD110" s="29">
        <f t="shared" si="133"/>
        <v>0</v>
      </c>
      <c r="AE110" s="29">
        <f t="shared" si="134"/>
        <v>0</v>
      </c>
      <c r="AF110" s="29">
        <f t="shared" si="135"/>
        <v>0</v>
      </c>
      <c r="AG110" s="29">
        <f t="shared" si="136"/>
        <v>0</v>
      </c>
      <c r="AH110" s="29">
        <f t="shared" si="137"/>
        <v>0</v>
      </c>
      <c r="AI110" s="48" t="s">
        <v>59</v>
      </c>
      <c r="AJ110" s="55">
        <f t="shared" si="138"/>
        <v>0</v>
      </c>
      <c r="AK110" s="55">
        <f t="shared" si="139"/>
        <v>0</v>
      </c>
      <c r="AL110" s="55">
        <f t="shared" si="140"/>
        <v>0</v>
      </c>
      <c r="AN110" s="29">
        <v>15</v>
      </c>
      <c r="AO110" s="29">
        <f t="shared" si="141"/>
        <v>0</v>
      </c>
      <c r="AP110" s="29">
        <f t="shared" si="142"/>
        <v>70</v>
      </c>
      <c r="AQ110" s="51" t="s">
        <v>85</v>
      </c>
      <c r="AV110" s="29">
        <f t="shared" si="143"/>
        <v>0</v>
      </c>
      <c r="AW110" s="29">
        <f t="shared" si="144"/>
        <v>0</v>
      </c>
      <c r="AX110" s="29">
        <f t="shared" si="145"/>
        <v>0</v>
      </c>
      <c r="AY110" s="54" t="s">
        <v>645</v>
      </c>
      <c r="AZ110" s="54" t="s">
        <v>654</v>
      </c>
      <c r="BA110" s="48" t="s">
        <v>658</v>
      </c>
      <c r="BC110" s="29">
        <f t="shared" si="146"/>
        <v>0</v>
      </c>
      <c r="BD110" s="29">
        <f t="shared" si="147"/>
        <v>70</v>
      </c>
      <c r="BE110" s="29">
        <v>0</v>
      </c>
      <c r="BF110" s="29">
        <f t="shared" si="148"/>
        <v>0</v>
      </c>
      <c r="BH110" s="55">
        <f t="shared" si="149"/>
        <v>0</v>
      </c>
      <c r="BI110" s="55">
        <f t="shared" si="150"/>
        <v>0</v>
      </c>
      <c r="BJ110" s="55">
        <f t="shared" si="151"/>
        <v>0</v>
      </c>
    </row>
    <row r="111" spans="1:62" ht="12.75">
      <c r="A111" s="36" t="s">
        <v>163</v>
      </c>
      <c r="B111" s="36" t="s">
        <v>59</v>
      </c>
      <c r="C111" s="36" t="s">
        <v>334</v>
      </c>
      <c r="D111" s="36" t="s">
        <v>523</v>
      </c>
      <c r="E111" s="36" t="s">
        <v>606</v>
      </c>
      <c r="F111" s="55">
        <f>'Stavební rozpočet'!F111</f>
        <v>0</v>
      </c>
      <c r="G111" s="55">
        <f>'Stavební rozpočet'!G111</f>
        <v>50</v>
      </c>
      <c r="H111" s="55">
        <f t="shared" si="126"/>
        <v>0</v>
      </c>
      <c r="I111" s="55">
        <f t="shared" si="127"/>
        <v>0</v>
      </c>
      <c r="J111" s="55">
        <f t="shared" si="128"/>
        <v>0</v>
      </c>
      <c r="K111" s="55">
        <f>'Stavební rozpočet'!K111</f>
        <v>0</v>
      </c>
      <c r="L111" s="55">
        <f t="shared" si="129"/>
        <v>0</v>
      </c>
      <c r="M111" s="51" t="s">
        <v>622</v>
      </c>
      <c r="Z111" s="29">
        <f t="shared" si="130"/>
        <v>0</v>
      </c>
      <c r="AB111" s="29">
        <f t="shared" si="131"/>
        <v>0</v>
      </c>
      <c r="AC111" s="29">
        <f t="shared" si="132"/>
        <v>0</v>
      </c>
      <c r="AD111" s="29">
        <f t="shared" si="133"/>
        <v>0</v>
      </c>
      <c r="AE111" s="29">
        <f t="shared" si="134"/>
        <v>0</v>
      </c>
      <c r="AF111" s="29">
        <f t="shared" si="135"/>
        <v>0</v>
      </c>
      <c r="AG111" s="29">
        <f t="shared" si="136"/>
        <v>0</v>
      </c>
      <c r="AH111" s="29">
        <f t="shared" si="137"/>
        <v>0</v>
      </c>
      <c r="AI111" s="48" t="s">
        <v>59</v>
      </c>
      <c r="AJ111" s="55">
        <f t="shared" si="138"/>
        <v>0</v>
      </c>
      <c r="AK111" s="55">
        <f t="shared" si="139"/>
        <v>0</v>
      </c>
      <c r="AL111" s="55">
        <f t="shared" si="140"/>
        <v>0</v>
      </c>
      <c r="AN111" s="29">
        <v>15</v>
      </c>
      <c r="AO111" s="29">
        <f t="shared" si="141"/>
        <v>0</v>
      </c>
      <c r="AP111" s="29">
        <f t="shared" si="142"/>
        <v>50</v>
      </c>
      <c r="AQ111" s="51" t="s">
        <v>85</v>
      </c>
      <c r="AV111" s="29">
        <f t="shared" si="143"/>
        <v>0</v>
      </c>
      <c r="AW111" s="29">
        <f t="shared" si="144"/>
        <v>0</v>
      </c>
      <c r="AX111" s="29">
        <f t="shared" si="145"/>
        <v>0</v>
      </c>
      <c r="AY111" s="54" t="s">
        <v>645</v>
      </c>
      <c r="AZ111" s="54" t="s">
        <v>654</v>
      </c>
      <c r="BA111" s="48" t="s">
        <v>658</v>
      </c>
      <c r="BC111" s="29">
        <f t="shared" si="146"/>
        <v>0</v>
      </c>
      <c r="BD111" s="29">
        <f t="shared" si="147"/>
        <v>50</v>
      </c>
      <c r="BE111" s="29">
        <v>0</v>
      </c>
      <c r="BF111" s="29">
        <f t="shared" si="148"/>
        <v>0</v>
      </c>
      <c r="BH111" s="55">
        <f t="shared" si="149"/>
        <v>0</v>
      </c>
      <c r="BI111" s="55">
        <f t="shared" si="150"/>
        <v>0</v>
      </c>
      <c r="BJ111" s="55">
        <f t="shared" si="151"/>
        <v>0</v>
      </c>
    </row>
    <row r="112" spans="1:62" ht="12.75">
      <c r="A112" s="36" t="s">
        <v>164</v>
      </c>
      <c r="B112" s="36" t="s">
        <v>59</v>
      </c>
      <c r="C112" s="36" t="s">
        <v>335</v>
      </c>
      <c r="D112" s="36" t="s">
        <v>524</v>
      </c>
      <c r="E112" s="36" t="s">
        <v>606</v>
      </c>
      <c r="F112" s="55">
        <f>'Stavební rozpočet'!F112</f>
        <v>0</v>
      </c>
      <c r="G112" s="55">
        <f>'Stavební rozpočet'!G112</f>
        <v>506.25</v>
      </c>
      <c r="H112" s="55">
        <f t="shared" si="126"/>
        <v>0</v>
      </c>
      <c r="I112" s="55">
        <f t="shared" si="127"/>
        <v>0</v>
      </c>
      <c r="J112" s="55">
        <f t="shared" si="128"/>
        <v>0</v>
      </c>
      <c r="K112" s="55">
        <f>'Stavební rozpočet'!K112</f>
        <v>0</v>
      </c>
      <c r="L112" s="55">
        <f t="shared" si="129"/>
        <v>0</v>
      </c>
      <c r="M112" s="51" t="s">
        <v>622</v>
      </c>
      <c r="Z112" s="29">
        <f t="shared" si="130"/>
        <v>0</v>
      </c>
      <c r="AB112" s="29">
        <f t="shared" si="131"/>
        <v>0</v>
      </c>
      <c r="AC112" s="29">
        <f t="shared" si="132"/>
        <v>0</v>
      </c>
      <c r="AD112" s="29">
        <f t="shared" si="133"/>
        <v>0</v>
      </c>
      <c r="AE112" s="29">
        <f t="shared" si="134"/>
        <v>0</v>
      </c>
      <c r="AF112" s="29">
        <f t="shared" si="135"/>
        <v>0</v>
      </c>
      <c r="AG112" s="29">
        <f t="shared" si="136"/>
        <v>0</v>
      </c>
      <c r="AH112" s="29">
        <f t="shared" si="137"/>
        <v>0</v>
      </c>
      <c r="AI112" s="48" t="s">
        <v>59</v>
      </c>
      <c r="AJ112" s="55">
        <f t="shared" si="138"/>
        <v>0</v>
      </c>
      <c r="AK112" s="55">
        <f t="shared" si="139"/>
        <v>0</v>
      </c>
      <c r="AL112" s="55">
        <f t="shared" si="140"/>
        <v>0</v>
      </c>
      <c r="AN112" s="29">
        <v>15</v>
      </c>
      <c r="AO112" s="29">
        <f t="shared" si="141"/>
        <v>0</v>
      </c>
      <c r="AP112" s="29">
        <f t="shared" si="142"/>
        <v>506.25</v>
      </c>
      <c r="AQ112" s="51" t="s">
        <v>85</v>
      </c>
      <c r="AV112" s="29">
        <f t="shared" si="143"/>
        <v>0</v>
      </c>
      <c r="AW112" s="29">
        <f t="shared" si="144"/>
        <v>0</v>
      </c>
      <c r="AX112" s="29">
        <f t="shared" si="145"/>
        <v>0</v>
      </c>
      <c r="AY112" s="54" t="s">
        <v>645</v>
      </c>
      <c r="AZ112" s="54" t="s">
        <v>654</v>
      </c>
      <c r="BA112" s="48" t="s">
        <v>658</v>
      </c>
      <c r="BC112" s="29">
        <f t="shared" si="146"/>
        <v>0</v>
      </c>
      <c r="BD112" s="29">
        <f t="shared" si="147"/>
        <v>506.25</v>
      </c>
      <c r="BE112" s="29">
        <v>0</v>
      </c>
      <c r="BF112" s="29">
        <f t="shared" si="148"/>
        <v>0</v>
      </c>
      <c r="BH112" s="55">
        <f t="shared" si="149"/>
        <v>0</v>
      </c>
      <c r="BI112" s="55">
        <f t="shared" si="150"/>
        <v>0</v>
      </c>
      <c r="BJ112" s="55">
        <f t="shared" si="151"/>
        <v>0</v>
      </c>
    </row>
    <row r="113" spans="1:62" ht="12.75">
      <c r="A113" s="36" t="s">
        <v>165</v>
      </c>
      <c r="B113" s="36" t="s">
        <v>59</v>
      </c>
      <c r="C113" s="36" t="s">
        <v>336</v>
      </c>
      <c r="D113" s="36" t="s">
        <v>525</v>
      </c>
      <c r="E113" s="36" t="s">
        <v>606</v>
      </c>
      <c r="F113" s="55">
        <f>'Stavební rozpočet'!F113</f>
        <v>0</v>
      </c>
      <c r="G113" s="55">
        <f>'Stavební rozpočet'!G113</f>
        <v>727.5</v>
      </c>
      <c r="H113" s="55">
        <f t="shared" si="126"/>
        <v>0</v>
      </c>
      <c r="I113" s="55">
        <f t="shared" si="127"/>
        <v>0</v>
      </c>
      <c r="J113" s="55">
        <f t="shared" si="128"/>
        <v>0</v>
      </c>
      <c r="K113" s="55">
        <f>'Stavební rozpočet'!K113</f>
        <v>0</v>
      </c>
      <c r="L113" s="55">
        <f t="shared" si="129"/>
        <v>0</v>
      </c>
      <c r="M113" s="51" t="s">
        <v>622</v>
      </c>
      <c r="Z113" s="29">
        <f t="shared" si="130"/>
        <v>0</v>
      </c>
      <c r="AB113" s="29">
        <f t="shared" si="131"/>
        <v>0</v>
      </c>
      <c r="AC113" s="29">
        <f t="shared" si="132"/>
        <v>0</v>
      </c>
      <c r="AD113" s="29">
        <f t="shared" si="133"/>
        <v>0</v>
      </c>
      <c r="AE113" s="29">
        <f t="shared" si="134"/>
        <v>0</v>
      </c>
      <c r="AF113" s="29">
        <f t="shared" si="135"/>
        <v>0</v>
      </c>
      <c r="AG113" s="29">
        <f t="shared" si="136"/>
        <v>0</v>
      </c>
      <c r="AH113" s="29">
        <f t="shared" si="137"/>
        <v>0</v>
      </c>
      <c r="AI113" s="48" t="s">
        <v>59</v>
      </c>
      <c r="AJ113" s="55">
        <f t="shared" si="138"/>
        <v>0</v>
      </c>
      <c r="AK113" s="55">
        <f t="shared" si="139"/>
        <v>0</v>
      </c>
      <c r="AL113" s="55">
        <f t="shared" si="140"/>
        <v>0</v>
      </c>
      <c r="AN113" s="29">
        <v>15</v>
      </c>
      <c r="AO113" s="29">
        <f t="shared" si="141"/>
        <v>0</v>
      </c>
      <c r="AP113" s="29">
        <f t="shared" si="142"/>
        <v>727.5</v>
      </c>
      <c r="AQ113" s="51" t="s">
        <v>85</v>
      </c>
      <c r="AV113" s="29">
        <f t="shared" si="143"/>
        <v>0</v>
      </c>
      <c r="AW113" s="29">
        <f t="shared" si="144"/>
        <v>0</v>
      </c>
      <c r="AX113" s="29">
        <f t="shared" si="145"/>
        <v>0</v>
      </c>
      <c r="AY113" s="54" t="s">
        <v>645</v>
      </c>
      <c r="AZ113" s="54" t="s">
        <v>654</v>
      </c>
      <c r="BA113" s="48" t="s">
        <v>658</v>
      </c>
      <c r="BC113" s="29">
        <f t="shared" si="146"/>
        <v>0</v>
      </c>
      <c r="BD113" s="29">
        <f t="shared" si="147"/>
        <v>727.5</v>
      </c>
      <c r="BE113" s="29">
        <v>0</v>
      </c>
      <c r="BF113" s="29">
        <f t="shared" si="148"/>
        <v>0</v>
      </c>
      <c r="BH113" s="55">
        <f t="shared" si="149"/>
        <v>0</v>
      </c>
      <c r="BI113" s="55">
        <f t="shared" si="150"/>
        <v>0</v>
      </c>
      <c r="BJ113" s="55">
        <f t="shared" si="151"/>
        <v>0</v>
      </c>
    </row>
    <row r="114" spans="1:62" ht="12.75">
      <c r="A114" s="36" t="s">
        <v>166</v>
      </c>
      <c r="B114" s="36" t="s">
        <v>59</v>
      </c>
      <c r="C114" s="36" t="s">
        <v>337</v>
      </c>
      <c r="D114" s="36" t="s">
        <v>526</v>
      </c>
      <c r="E114" s="36" t="s">
        <v>606</v>
      </c>
      <c r="F114" s="55">
        <f>'Stavební rozpočet'!F114</f>
        <v>0</v>
      </c>
      <c r="G114" s="55">
        <f>'Stavební rozpočet'!G114</f>
        <v>186</v>
      </c>
      <c r="H114" s="55">
        <f t="shared" si="126"/>
        <v>0</v>
      </c>
      <c r="I114" s="55">
        <f t="shared" si="127"/>
        <v>0</v>
      </c>
      <c r="J114" s="55">
        <f t="shared" si="128"/>
        <v>0</v>
      </c>
      <c r="K114" s="55">
        <f>'Stavební rozpočet'!K114</f>
        <v>0</v>
      </c>
      <c r="L114" s="55">
        <f t="shared" si="129"/>
        <v>0</v>
      </c>
      <c r="M114" s="51" t="s">
        <v>622</v>
      </c>
      <c r="Z114" s="29">
        <f t="shared" si="130"/>
        <v>0</v>
      </c>
      <c r="AB114" s="29">
        <f t="shared" si="131"/>
        <v>0</v>
      </c>
      <c r="AC114" s="29">
        <f t="shared" si="132"/>
        <v>0</v>
      </c>
      <c r="AD114" s="29">
        <f t="shared" si="133"/>
        <v>0</v>
      </c>
      <c r="AE114" s="29">
        <f t="shared" si="134"/>
        <v>0</v>
      </c>
      <c r="AF114" s="29">
        <f t="shared" si="135"/>
        <v>0</v>
      </c>
      <c r="AG114" s="29">
        <f t="shared" si="136"/>
        <v>0</v>
      </c>
      <c r="AH114" s="29">
        <f t="shared" si="137"/>
        <v>0</v>
      </c>
      <c r="AI114" s="48" t="s">
        <v>59</v>
      </c>
      <c r="AJ114" s="55">
        <f t="shared" si="138"/>
        <v>0</v>
      </c>
      <c r="AK114" s="55">
        <f t="shared" si="139"/>
        <v>0</v>
      </c>
      <c r="AL114" s="55">
        <f t="shared" si="140"/>
        <v>0</v>
      </c>
      <c r="AN114" s="29">
        <v>15</v>
      </c>
      <c r="AO114" s="29">
        <f t="shared" si="141"/>
        <v>0</v>
      </c>
      <c r="AP114" s="29">
        <f t="shared" si="142"/>
        <v>186</v>
      </c>
      <c r="AQ114" s="51" t="s">
        <v>85</v>
      </c>
      <c r="AV114" s="29">
        <f t="shared" si="143"/>
        <v>0</v>
      </c>
      <c r="AW114" s="29">
        <f t="shared" si="144"/>
        <v>0</v>
      </c>
      <c r="AX114" s="29">
        <f t="shared" si="145"/>
        <v>0</v>
      </c>
      <c r="AY114" s="54" t="s">
        <v>645</v>
      </c>
      <c r="AZ114" s="54" t="s">
        <v>654</v>
      </c>
      <c r="BA114" s="48" t="s">
        <v>658</v>
      </c>
      <c r="BC114" s="29">
        <f t="shared" si="146"/>
        <v>0</v>
      </c>
      <c r="BD114" s="29">
        <f t="shared" si="147"/>
        <v>186</v>
      </c>
      <c r="BE114" s="29">
        <v>0</v>
      </c>
      <c r="BF114" s="29">
        <f t="shared" si="148"/>
        <v>0</v>
      </c>
      <c r="BH114" s="55">
        <f t="shared" si="149"/>
        <v>0</v>
      </c>
      <c r="BI114" s="55">
        <f t="shared" si="150"/>
        <v>0</v>
      </c>
      <c r="BJ114" s="55">
        <f t="shared" si="151"/>
        <v>0</v>
      </c>
    </row>
    <row r="115" spans="1:62" ht="12.75">
      <c r="A115" s="36" t="s">
        <v>167</v>
      </c>
      <c r="B115" s="36" t="s">
        <v>59</v>
      </c>
      <c r="C115" s="36" t="s">
        <v>338</v>
      </c>
      <c r="D115" s="36" t="s">
        <v>527</v>
      </c>
      <c r="E115" s="36" t="s">
        <v>606</v>
      </c>
      <c r="F115" s="55">
        <f>'Stavební rozpočet'!F115</f>
        <v>0</v>
      </c>
      <c r="G115" s="55">
        <f>'Stavební rozpočet'!G115</f>
        <v>125</v>
      </c>
      <c r="H115" s="55">
        <f t="shared" si="126"/>
        <v>0</v>
      </c>
      <c r="I115" s="55">
        <f t="shared" si="127"/>
        <v>0</v>
      </c>
      <c r="J115" s="55">
        <f t="shared" si="128"/>
        <v>0</v>
      </c>
      <c r="K115" s="55">
        <f>'Stavební rozpočet'!K115</f>
        <v>0</v>
      </c>
      <c r="L115" s="55">
        <f t="shared" si="129"/>
        <v>0</v>
      </c>
      <c r="M115" s="51" t="s">
        <v>622</v>
      </c>
      <c r="Z115" s="29">
        <f t="shared" si="130"/>
        <v>0</v>
      </c>
      <c r="AB115" s="29">
        <f t="shared" si="131"/>
        <v>0</v>
      </c>
      <c r="AC115" s="29">
        <f t="shared" si="132"/>
        <v>0</v>
      </c>
      <c r="AD115" s="29">
        <f t="shared" si="133"/>
        <v>0</v>
      </c>
      <c r="AE115" s="29">
        <f t="shared" si="134"/>
        <v>0</v>
      </c>
      <c r="AF115" s="29">
        <f t="shared" si="135"/>
        <v>0</v>
      </c>
      <c r="AG115" s="29">
        <f t="shared" si="136"/>
        <v>0</v>
      </c>
      <c r="AH115" s="29">
        <f t="shared" si="137"/>
        <v>0</v>
      </c>
      <c r="AI115" s="48" t="s">
        <v>59</v>
      </c>
      <c r="AJ115" s="55">
        <f t="shared" si="138"/>
        <v>0</v>
      </c>
      <c r="AK115" s="55">
        <f t="shared" si="139"/>
        <v>0</v>
      </c>
      <c r="AL115" s="55">
        <f t="shared" si="140"/>
        <v>0</v>
      </c>
      <c r="AN115" s="29">
        <v>15</v>
      </c>
      <c r="AO115" s="29">
        <f t="shared" si="141"/>
        <v>0</v>
      </c>
      <c r="AP115" s="29">
        <f t="shared" si="142"/>
        <v>125</v>
      </c>
      <c r="AQ115" s="51" t="s">
        <v>85</v>
      </c>
      <c r="AV115" s="29">
        <f t="shared" si="143"/>
        <v>0</v>
      </c>
      <c r="AW115" s="29">
        <f t="shared" si="144"/>
        <v>0</v>
      </c>
      <c r="AX115" s="29">
        <f t="shared" si="145"/>
        <v>0</v>
      </c>
      <c r="AY115" s="54" t="s">
        <v>645</v>
      </c>
      <c r="AZ115" s="54" t="s">
        <v>654</v>
      </c>
      <c r="BA115" s="48" t="s">
        <v>658</v>
      </c>
      <c r="BC115" s="29">
        <f t="shared" si="146"/>
        <v>0</v>
      </c>
      <c r="BD115" s="29">
        <f t="shared" si="147"/>
        <v>125</v>
      </c>
      <c r="BE115" s="29">
        <v>0</v>
      </c>
      <c r="BF115" s="29">
        <f t="shared" si="148"/>
        <v>0</v>
      </c>
      <c r="BH115" s="55">
        <f t="shared" si="149"/>
        <v>0</v>
      </c>
      <c r="BI115" s="55">
        <f t="shared" si="150"/>
        <v>0</v>
      </c>
      <c r="BJ115" s="55">
        <f t="shared" si="151"/>
        <v>0</v>
      </c>
    </row>
    <row r="116" spans="1:62" ht="12.75">
      <c r="A116" s="36" t="s">
        <v>168</v>
      </c>
      <c r="B116" s="36" t="s">
        <v>59</v>
      </c>
      <c r="C116" s="36" t="s">
        <v>339</v>
      </c>
      <c r="D116" s="36" t="s">
        <v>528</v>
      </c>
      <c r="E116" s="36" t="s">
        <v>606</v>
      </c>
      <c r="F116" s="55">
        <f>'Stavební rozpočet'!F116</f>
        <v>0</v>
      </c>
      <c r="G116" s="55">
        <f>'Stavební rozpočet'!G116</f>
        <v>19025</v>
      </c>
      <c r="H116" s="55">
        <f t="shared" si="126"/>
        <v>0</v>
      </c>
      <c r="I116" s="55">
        <f t="shared" si="127"/>
        <v>0</v>
      </c>
      <c r="J116" s="55">
        <f t="shared" si="128"/>
        <v>0</v>
      </c>
      <c r="K116" s="55">
        <f>'Stavební rozpočet'!K116</f>
        <v>0</v>
      </c>
      <c r="L116" s="55">
        <f t="shared" si="129"/>
        <v>0</v>
      </c>
      <c r="M116" s="51" t="s">
        <v>622</v>
      </c>
      <c r="Z116" s="29">
        <f t="shared" si="130"/>
        <v>0</v>
      </c>
      <c r="AB116" s="29">
        <f t="shared" si="131"/>
        <v>0</v>
      </c>
      <c r="AC116" s="29">
        <f t="shared" si="132"/>
        <v>0</v>
      </c>
      <c r="AD116" s="29">
        <f t="shared" si="133"/>
        <v>0</v>
      </c>
      <c r="AE116" s="29">
        <f t="shared" si="134"/>
        <v>0</v>
      </c>
      <c r="AF116" s="29">
        <f t="shared" si="135"/>
        <v>0</v>
      </c>
      <c r="AG116" s="29">
        <f t="shared" si="136"/>
        <v>0</v>
      </c>
      <c r="AH116" s="29">
        <f t="shared" si="137"/>
        <v>0</v>
      </c>
      <c r="AI116" s="48" t="s">
        <v>59</v>
      </c>
      <c r="AJ116" s="55">
        <f t="shared" si="138"/>
        <v>0</v>
      </c>
      <c r="AK116" s="55">
        <f t="shared" si="139"/>
        <v>0</v>
      </c>
      <c r="AL116" s="55">
        <f t="shared" si="140"/>
        <v>0</v>
      </c>
      <c r="AN116" s="29">
        <v>15</v>
      </c>
      <c r="AO116" s="29">
        <f t="shared" si="141"/>
        <v>0</v>
      </c>
      <c r="AP116" s="29">
        <f t="shared" si="142"/>
        <v>19025</v>
      </c>
      <c r="AQ116" s="51" t="s">
        <v>85</v>
      </c>
      <c r="AV116" s="29">
        <f t="shared" si="143"/>
        <v>0</v>
      </c>
      <c r="AW116" s="29">
        <f t="shared" si="144"/>
        <v>0</v>
      </c>
      <c r="AX116" s="29">
        <f t="shared" si="145"/>
        <v>0</v>
      </c>
      <c r="AY116" s="54" t="s">
        <v>645</v>
      </c>
      <c r="AZ116" s="54" t="s">
        <v>654</v>
      </c>
      <c r="BA116" s="48" t="s">
        <v>658</v>
      </c>
      <c r="BC116" s="29">
        <f t="shared" si="146"/>
        <v>0</v>
      </c>
      <c r="BD116" s="29">
        <f t="shared" si="147"/>
        <v>19025</v>
      </c>
      <c r="BE116" s="29">
        <v>0</v>
      </c>
      <c r="BF116" s="29">
        <f t="shared" si="148"/>
        <v>0</v>
      </c>
      <c r="BH116" s="55">
        <f t="shared" si="149"/>
        <v>0</v>
      </c>
      <c r="BI116" s="55">
        <f t="shared" si="150"/>
        <v>0</v>
      </c>
      <c r="BJ116" s="55">
        <f t="shared" si="151"/>
        <v>0</v>
      </c>
    </row>
    <row r="117" spans="1:62" ht="12.75">
      <c r="A117" s="36" t="s">
        <v>169</v>
      </c>
      <c r="B117" s="36" t="s">
        <v>59</v>
      </c>
      <c r="C117" s="36" t="s">
        <v>340</v>
      </c>
      <c r="D117" s="36" t="s">
        <v>529</v>
      </c>
      <c r="E117" s="36" t="s">
        <v>609</v>
      </c>
      <c r="F117" s="55">
        <f>'Stavební rozpočet'!F117</f>
        <v>0</v>
      </c>
      <c r="G117" s="55">
        <f>'Stavební rozpočet'!G117</f>
        <v>80</v>
      </c>
      <c r="H117" s="55">
        <f t="shared" si="126"/>
        <v>0</v>
      </c>
      <c r="I117" s="55">
        <f t="shared" si="127"/>
        <v>0</v>
      </c>
      <c r="J117" s="55">
        <f t="shared" si="128"/>
        <v>0</v>
      </c>
      <c r="K117" s="55">
        <f>'Stavební rozpočet'!K117</f>
        <v>0</v>
      </c>
      <c r="L117" s="55">
        <f t="shared" si="129"/>
        <v>0</v>
      </c>
      <c r="M117" s="51" t="s">
        <v>622</v>
      </c>
      <c r="Z117" s="29">
        <f t="shared" si="130"/>
        <v>0</v>
      </c>
      <c r="AB117" s="29">
        <f t="shared" si="131"/>
        <v>0</v>
      </c>
      <c r="AC117" s="29">
        <f t="shared" si="132"/>
        <v>0</v>
      </c>
      <c r="AD117" s="29">
        <f t="shared" si="133"/>
        <v>0</v>
      </c>
      <c r="AE117" s="29">
        <f t="shared" si="134"/>
        <v>0</v>
      </c>
      <c r="AF117" s="29">
        <f t="shared" si="135"/>
        <v>0</v>
      </c>
      <c r="AG117" s="29">
        <f t="shared" si="136"/>
        <v>0</v>
      </c>
      <c r="AH117" s="29">
        <f t="shared" si="137"/>
        <v>0</v>
      </c>
      <c r="AI117" s="48" t="s">
        <v>59</v>
      </c>
      <c r="AJ117" s="55">
        <f t="shared" si="138"/>
        <v>0</v>
      </c>
      <c r="AK117" s="55">
        <f t="shared" si="139"/>
        <v>0</v>
      </c>
      <c r="AL117" s="55">
        <f t="shared" si="140"/>
        <v>0</v>
      </c>
      <c r="AN117" s="29">
        <v>15</v>
      </c>
      <c r="AO117" s="29">
        <f t="shared" si="141"/>
        <v>0</v>
      </c>
      <c r="AP117" s="29">
        <f t="shared" si="142"/>
        <v>80</v>
      </c>
      <c r="AQ117" s="51" t="s">
        <v>85</v>
      </c>
      <c r="AV117" s="29">
        <f t="shared" si="143"/>
        <v>0</v>
      </c>
      <c r="AW117" s="29">
        <f t="shared" si="144"/>
        <v>0</v>
      </c>
      <c r="AX117" s="29">
        <f t="shared" si="145"/>
        <v>0</v>
      </c>
      <c r="AY117" s="54" t="s">
        <v>645</v>
      </c>
      <c r="AZ117" s="54" t="s">
        <v>654</v>
      </c>
      <c r="BA117" s="48" t="s">
        <v>658</v>
      </c>
      <c r="BC117" s="29">
        <f t="shared" si="146"/>
        <v>0</v>
      </c>
      <c r="BD117" s="29">
        <f t="shared" si="147"/>
        <v>80</v>
      </c>
      <c r="BE117" s="29">
        <v>0</v>
      </c>
      <c r="BF117" s="29">
        <f t="shared" si="148"/>
        <v>0</v>
      </c>
      <c r="BH117" s="55">
        <f t="shared" si="149"/>
        <v>0</v>
      </c>
      <c r="BI117" s="55">
        <f t="shared" si="150"/>
        <v>0</v>
      </c>
      <c r="BJ117" s="55">
        <f t="shared" si="151"/>
        <v>0</v>
      </c>
    </row>
    <row r="118" spans="1:62" ht="12.75">
      <c r="A118" s="36" t="s">
        <v>170</v>
      </c>
      <c r="B118" s="36" t="s">
        <v>59</v>
      </c>
      <c r="C118" s="36" t="s">
        <v>341</v>
      </c>
      <c r="D118" s="36" t="s">
        <v>530</v>
      </c>
      <c r="E118" s="36" t="s">
        <v>611</v>
      </c>
      <c r="F118" s="55">
        <f>'Stavební rozpočet'!F118</f>
        <v>0</v>
      </c>
      <c r="G118" s="55">
        <f>'Stavební rozpočet'!G118</f>
        <v>450</v>
      </c>
      <c r="H118" s="55">
        <f t="shared" si="126"/>
        <v>0</v>
      </c>
      <c r="I118" s="55">
        <f t="shared" si="127"/>
        <v>0</v>
      </c>
      <c r="J118" s="55">
        <f t="shared" si="128"/>
        <v>0</v>
      </c>
      <c r="K118" s="55">
        <f>'Stavební rozpočet'!K118</f>
        <v>0</v>
      </c>
      <c r="L118" s="55">
        <f t="shared" si="129"/>
        <v>0</v>
      </c>
      <c r="M118" s="51" t="s">
        <v>622</v>
      </c>
      <c r="Z118" s="29">
        <f t="shared" si="130"/>
        <v>0</v>
      </c>
      <c r="AB118" s="29">
        <f t="shared" si="131"/>
        <v>0</v>
      </c>
      <c r="AC118" s="29">
        <f t="shared" si="132"/>
        <v>0</v>
      </c>
      <c r="AD118" s="29">
        <f t="shared" si="133"/>
        <v>0</v>
      </c>
      <c r="AE118" s="29">
        <f t="shared" si="134"/>
        <v>0</v>
      </c>
      <c r="AF118" s="29">
        <f t="shared" si="135"/>
        <v>0</v>
      </c>
      <c r="AG118" s="29">
        <f t="shared" si="136"/>
        <v>0</v>
      </c>
      <c r="AH118" s="29">
        <f t="shared" si="137"/>
        <v>0</v>
      </c>
      <c r="AI118" s="48" t="s">
        <v>59</v>
      </c>
      <c r="AJ118" s="55">
        <f t="shared" si="138"/>
        <v>0</v>
      </c>
      <c r="AK118" s="55">
        <f t="shared" si="139"/>
        <v>0</v>
      </c>
      <c r="AL118" s="55">
        <f t="shared" si="140"/>
        <v>0</v>
      </c>
      <c r="AN118" s="29">
        <v>15</v>
      </c>
      <c r="AO118" s="29">
        <f t="shared" si="141"/>
        <v>0</v>
      </c>
      <c r="AP118" s="29">
        <f t="shared" si="142"/>
        <v>450</v>
      </c>
      <c r="AQ118" s="51" t="s">
        <v>85</v>
      </c>
      <c r="AV118" s="29">
        <f t="shared" si="143"/>
        <v>0</v>
      </c>
      <c r="AW118" s="29">
        <f t="shared" si="144"/>
        <v>0</v>
      </c>
      <c r="AX118" s="29">
        <f t="shared" si="145"/>
        <v>0</v>
      </c>
      <c r="AY118" s="54" t="s">
        <v>645</v>
      </c>
      <c r="AZ118" s="54" t="s">
        <v>654</v>
      </c>
      <c r="BA118" s="48" t="s">
        <v>658</v>
      </c>
      <c r="BC118" s="29">
        <f t="shared" si="146"/>
        <v>0</v>
      </c>
      <c r="BD118" s="29">
        <f t="shared" si="147"/>
        <v>450</v>
      </c>
      <c r="BE118" s="29">
        <v>0</v>
      </c>
      <c r="BF118" s="29">
        <f t="shared" si="148"/>
        <v>0</v>
      </c>
      <c r="BH118" s="55">
        <f t="shared" si="149"/>
        <v>0</v>
      </c>
      <c r="BI118" s="55">
        <f t="shared" si="150"/>
        <v>0</v>
      </c>
      <c r="BJ118" s="55">
        <f t="shared" si="151"/>
        <v>0</v>
      </c>
    </row>
    <row r="119" spans="1:62" ht="12.75">
      <c r="A119" s="36" t="s">
        <v>171</v>
      </c>
      <c r="B119" s="36" t="s">
        <v>59</v>
      </c>
      <c r="C119" s="36" t="s">
        <v>342</v>
      </c>
      <c r="D119" s="36" t="s">
        <v>531</v>
      </c>
      <c r="E119" s="36" t="s">
        <v>611</v>
      </c>
      <c r="F119" s="55">
        <f>'Stavební rozpočet'!F119</f>
        <v>0</v>
      </c>
      <c r="G119" s="55">
        <f>'Stavební rozpočet'!G119</f>
        <v>350</v>
      </c>
      <c r="H119" s="55">
        <f t="shared" si="126"/>
        <v>0</v>
      </c>
      <c r="I119" s="55">
        <f t="shared" si="127"/>
        <v>0</v>
      </c>
      <c r="J119" s="55">
        <f t="shared" si="128"/>
        <v>0</v>
      </c>
      <c r="K119" s="55">
        <f>'Stavební rozpočet'!K119</f>
        <v>0</v>
      </c>
      <c r="L119" s="55">
        <f t="shared" si="129"/>
        <v>0</v>
      </c>
      <c r="M119" s="51" t="s">
        <v>622</v>
      </c>
      <c r="Z119" s="29">
        <f t="shared" si="130"/>
        <v>0</v>
      </c>
      <c r="AB119" s="29">
        <f t="shared" si="131"/>
        <v>0</v>
      </c>
      <c r="AC119" s="29">
        <f t="shared" si="132"/>
        <v>0</v>
      </c>
      <c r="AD119" s="29">
        <f t="shared" si="133"/>
        <v>0</v>
      </c>
      <c r="AE119" s="29">
        <f t="shared" si="134"/>
        <v>0</v>
      </c>
      <c r="AF119" s="29">
        <f t="shared" si="135"/>
        <v>0</v>
      </c>
      <c r="AG119" s="29">
        <f t="shared" si="136"/>
        <v>0</v>
      </c>
      <c r="AH119" s="29">
        <f t="shared" si="137"/>
        <v>0</v>
      </c>
      <c r="AI119" s="48" t="s">
        <v>59</v>
      </c>
      <c r="AJ119" s="55">
        <f t="shared" si="138"/>
        <v>0</v>
      </c>
      <c r="AK119" s="55">
        <f t="shared" si="139"/>
        <v>0</v>
      </c>
      <c r="AL119" s="55">
        <f t="shared" si="140"/>
        <v>0</v>
      </c>
      <c r="AN119" s="29">
        <v>15</v>
      </c>
      <c r="AO119" s="29">
        <f t="shared" si="141"/>
        <v>0</v>
      </c>
      <c r="AP119" s="29">
        <f t="shared" si="142"/>
        <v>350</v>
      </c>
      <c r="AQ119" s="51" t="s">
        <v>85</v>
      </c>
      <c r="AV119" s="29">
        <f t="shared" si="143"/>
        <v>0</v>
      </c>
      <c r="AW119" s="29">
        <f t="shared" si="144"/>
        <v>0</v>
      </c>
      <c r="AX119" s="29">
        <f t="shared" si="145"/>
        <v>0</v>
      </c>
      <c r="AY119" s="54" t="s">
        <v>645</v>
      </c>
      <c r="AZ119" s="54" t="s">
        <v>654</v>
      </c>
      <c r="BA119" s="48" t="s">
        <v>658</v>
      </c>
      <c r="BC119" s="29">
        <f t="shared" si="146"/>
        <v>0</v>
      </c>
      <c r="BD119" s="29">
        <f t="shared" si="147"/>
        <v>350</v>
      </c>
      <c r="BE119" s="29">
        <v>0</v>
      </c>
      <c r="BF119" s="29">
        <f t="shared" si="148"/>
        <v>0</v>
      </c>
      <c r="BH119" s="55">
        <f t="shared" si="149"/>
        <v>0</v>
      </c>
      <c r="BI119" s="55">
        <f t="shared" si="150"/>
        <v>0</v>
      </c>
      <c r="BJ119" s="55">
        <f t="shared" si="151"/>
        <v>0</v>
      </c>
    </row>
    <row r="120" spans="1:62" ht="12.75">
      <c r="A120" s="36" t="s">
        <v>172</v>
      </c>
      <c r="B120" s="36" t="s">
        <v>59</v>
      </c>
      <c r="C120" s="36" t="s">
        <v>343</v>
      </c>
      <c r="D120" s="36" t="s">
        <v>532</v>
      </c>
      <c r="E120" s="36" t="s">
        <v>606</v>
      </c>
      <c r="F120" s="55">
        <f>'Stavební rozpočet'!F120</f>
        <v>0</v>
      </c>
      <c r="G120" s="55">
        <f>'Stavební rozpočet'!G120</f>
        <v>1500</v>
      </c>
      <c r="H120" s="55">
        <f t="shared" si="126"/>
        <v>0</v>
      </c>
      <c r="I120" s="55">
        <f t="shared" si="127"/>
        <v>0</v>
      </c>
      <c r="J120" s="55">
        <f t="shared" si="128"/>
        <v>0</v>
      </c>
      <c r="K120" s="55">
        <f>'Stavební rozpočet'!K120</f>
        <v>0</v>
      </c>
      <c r="L120" s="55">
        <f t="shared" si="129"/>
        <v>0</v>
      </c>
      <c r="M120" s="51" t="s">
        <v>622</v>
      </c>
      <c r="Z120" s="29">
        <f t="shared" si="130"/>
        <v>0</v>
      </c>
      <c r="AB120" s="29">
        <f t="shared" si="131"/>
        <v>0</v>
      </c>
      <c r="AC120" s="29">
        <f t="shared" si="132"/>
        <v>0</v>
      </c>
      <c r="AD120" s="29">
        <f t="shared" si="133"/>
        <v>0</v>
      </c>
      <c r="AE120" s="29">
        <f t="shared" si="134"/>
        <v>0</v>
      </c>
      <c r="AF120" s="29">
        <f t="shared" si="135"/>
        <v>0</v>
      </c>
      <c r="AG120" s="29">
        <f t="shared" si="136"/>
        <v>0</v>
      </c>
      <c r="AH120" s="29">
        <f t="shared" si="137"/>
        <v>0</v>
      </c>
      <c r="AI120" s="48" t="s">
        <v>59</v>
      </c>
      <c r="AJ120" s="55">
        <f t="shared" si="138"/>
        <v>0</v>
      </c>
      <c r="AK120" s="55">
        <f t="shared" si="139"/>
        <v>0</v>
      </c>
      <c r="AL120" s="55">
        <f t="shared" si="140"/>
        <v>0</v>
      </c>
      <c r="AN120" s="29">
        <v>15</v>
      </c>
      <c r="AO120" s="29">
        <f t="shared" si="141"/>
        <v>0</v>
      </c>
      <c r="AP120" s="29">
        <f t="shared" si="142"/>
        <v>1500</v>
      </c>
      <c r="AQ120" s="51" t="s">
        <v>85</v>
      </c>
      <c r="AV120" s="29">
        <f t="shared" si="143"/>
        <v>0</v>
      </c>
      <c r="AW120" s="29">
        <f t="shared" si="144"/>
        <v>0</v>
      </c>
      <c r="AX120" s="29">
        <f t="shared" si="145"/>
        <v>0</v>
      </c>
      <c r="AY120" s="54" t="s">
        <v>645</v>
      </c>
      <c r="AZ120" s="54" t="s">
        <v>654</v>
      </c>
      <c r="BA120" s="48" t="s">
        <v>658</v>
      </c>
      <c r="BC120" s="29">
        <f t="shared" si="146"/>
        <v>0</v>
      </c>
      <c r="BD120" s="29">
        <f t="shared" si="147"/>
        <v>1500</v>
      </c>
      <c r="BE120" s="29">
        <v>0</v>
      </c>
      <c r="BF120" s="29">
        <f t="shared" si="148"/>
        <v>0</v>
      </c>
      <c r="BH120" s="55">
        <f t="shared" si="149"/>
        <v>0</v>
      </c>
      <c r="BI120" s="55">
        <f t="shared" si="150"/>
        <v>0</v>
      </c>
      <c r="BJ120" s="55">
        <f t="shared" si="151"/>
        <v>0</v>
      </c>
    </row>
    <row r="121" spans="1:62" ht="12.75">
      <c r="A121" s="36" t="s">
        <v>173</v>
      </c>
      <c r="B121" s="36" t="s">
        <v>59</v>
      </c>
      <c r="C121" s="36" t="s">
        <v>344</v>
      </c>
      <c r="D121" s="36" t="s">
        <v>533</v>
      </c>
      <c r="E121" s="36" t="s">
        <v>606</v>
      </c>
      <c r="F121" s="55">
        <f>'Stavební rozpočet'!F121</f>
        <v>0</v>
      </c>
      <c r="G121" s="55">
        <f>'Stavební rozpočet'!G121</f>
        <v>250</v>
      </c>
      <c r="H121" s="55">
        <f t="shared" si="126"/>
        <v>0</v>
      </c>
      <c r="I121" s="55">
        <f t="shared" si="127"/>
        <v>0</v>
      </c>
      <c r="J121" s="55">
        <f t="shared" si="128"/>
        <v>0</v>
      </c>
      <c r="K121" s="55">
        <f>'Stavební rozpočet'!K121</f>
        <v>0</v>
      </c>
      <c r="L121" s="55">
        <f t="shared" si="129"/>
        <v>0</v>
      </c>
      <c r="M121" s="51" t="s">
        <v>622</v>
      </c>
      <c r="Z121" s="29">
        <f t="shared" si="130"/>
        <v>0</v>
      </c>
      <c r="AB121" s="29">
        <f t="shared" si="131"/>
        <v>0</v>
      </c>
      <c r="AC121" s="29">
        <f t="shared" si="132"/>
        <v>0</v>
      </c>
      <c r="AD121" s="29">
        <f t="shared" si="133"/>
        <v>0</v>
      </c>
      <c r="AE121" s="29">
        <f t="shared" si="134"/>
        <v>0</v>
      </c>
      <c r="AF121" s="29">
        <f t="shared" si="135"/>
        <v>0</v>
      </c>
      <c r="AG121" s="29">
        <f t="shared" si="136"/>
        <v>0</v>
      </c>
      <c r="AH121" s="29">
        <f t="shared" si="137"/>
        <v>0</v>
      </c>
      <c r="AI121" s="48" t="s">
        <v>59</v>
      </c>
      <c r="AJ121" s="55">
        <f t="shared" si="138"/>
        <v>0</v>
      </c>
      <c r="AK121" s="55">
        <f t="shared" si="139"/>
        <v>0</v>
      </c>
      <c r="AL121" s="55">
        <f t="shared" si="140"/>
        <v>0</v>
      </c>
      <c r="AN121" s="29">
        <v>15</v>
      </c>
      <c r="AO121" s="29">
        <f t="shared" si="141"/>
        <v>0</v>
      </c>
      <c r="AP121" s="29">
        <f t="shared" si="142"/>
        <v>250</v>
      </c>
      <c r="AQ121" s="51" t="s">
        <v>85</v>
      </c>
      <c r="AV121" s="29">
        <f t="shared" si="143"/>
        <v>0</v>
      </c>
      <c r="AW121" s="29">
        <f t="shared" si="144"/>
        <v>0</v>
      </c>
      <c r="AX121" s="29">
        <f t="shared" si="145"/>
        <v>0</v>
      </c>
      <c r="AY121" s="54" t="s">
        <v>645</v>
      </c>
      <c r="AZ121" s="54" t="s">
        <v>654</v>
      </c>
      <c r="BA121" s="48" t="s">
        <v>658</v>
      </c>
      <c r="BC121" s="29">
        <f t="shared" si="146"/>
        <v>0</v>
      </c>
      <c r="BD121" s="29">
        <f t="shared" si="147"/>
        <v>250</v>
      </c>
      <c r="BE121" s="29">
        <v>0</v>
      </c>
      <c r="BF121" s="29">
        <f t="shared" si="148"/>
        <v>0</v>
      </c>
      <c r="BH121" s="55">
        <f t="shared" si="149"/>
        <v>0</v>
      </c>
      <c r="BI121" s="55">
        <f t="shared" si="150"/>
        <v>0</v>
      </c>
      <c r="BJ121" s="55">
        <f t="shared" si="151"/>
        <v>0</v>
      </c>
    </row>
    <row r="122" spans="1:62" ht="12.75">
      <c r="A122" s="36" t="s">
        <v>174</v>
      </c>
      <c r="B122" s="36" t="s">
        <v>59</v>
      </c>
      <c r="C122" s="36" t="s">
        <v>345</v>
      </c>
      <c r="D122" s="36" t="s">
        <v>534</v>
      </c>
      <c r="E122" s="36" t="s">
        <v>606</v>
      </c>
      <c r="F122" s="55">
        <f>'Stavební rozpočet'!F122</f>
        <v>0</v>
      </c>
      <c r="G122" s="55">
        <f>'Stavební rozpočet'!G122</f>
        <v>150</v>
      </c>
      <c r="H122" s="55">
        <f t="shared" si="126"/>
        <v>0</v>
      </c>
      <c r="I122" s="55">
        <f t="shared" si="127"/>
        <v>0</v>
      </c>
      <c r="J122" s="55">
        <f t="shared" si="128"/>
        <v>0</v>
      </c>
      <c r="K122" s="55">
        <f>'Stavební rozpočet'!K122</f>
        <v>0</v>
      </c>
      <c r="L122" s="55">
        <f t="shared" si="129"/>
        <v>0</v>
      </c>
      <c r="M122" s="51" t="s">
        <v>622</v>
      </c>
      <c r="Z122" s="29">
        <f t="shared" si="130"/>
        <v>0</v>
      </c>
      <c r="AB122" s="29">
        <f t="shared" si="131"/>
        <v>0</v>
      </c>
      <c r="AC122" s="29">
        <f t="shared" si="132"/>
        <v>0</v>
      </c>
      <c r="AD122" s="29">
        <f t="shared" si="133"/>
        <v>0</v>
      </c>
      <c r="AE122" s="29">
        <f t="shared" si="134"/>
        <v>0</v>
      </c>
      <c r="AF122" s="29">
        <f t="shared" si="135"/>
        <v>0</v>
      </c>
      <c r="AG122" s="29">
        <f t="shared" si="136"/>
        <v>0</v>
      </c>
      <c r="AH122" s="29">
        <f t="shared" si="137"/>
        <v>0</v>
      </c>
      <c r="AI122" s="48" t="s">
        <v>59</v>
      </c>
      <c r="AJ122" s="55">
        <f t="shared" si="138"/>
        <v>0</v>
      </c>
      <c r="AK122" s="55">
        <f t="shared" si="139"/>
        <v>0</v>
      </c>
      <c r="AL122" s="55">
        <f t="shared" si="140"/>
        <v>0</v>
      </c>
      <c r="AN122" s="29">
        <v>15</v>
      </c>
      <c r="AO122" s="29">
        <f t="shared" si="141"/>
        <v>0</v>
      </c>
      <c r="AP122" s="29">
        <f t="shared" si="142"/>
        <v>150</v>
      </c>
      <c r="AQ122" s="51" t="s">
        <v>85</v>
      </c>
      <c r="AV122" s="29">
        <f t="shared" si="143"/>
        <v>0</v>
      </c>
      <c r="AW122" s="29">
        <f t="shared" si="144"/>
        <v>0</v>
      </c>
      <c r="AX122" s="29">
        <f t="shared" si="145"/>
        <v>0</v>
      </c>
      <c r="AY122" s="54" t="s">
        <v>645</v>
      </c>
      <c r="AZ122" s="54" t="s">
        <v>654</v>
      </c>
      <c r="BA122" s="48" t="s">
        <v>658</v>
      </c>
      <c r="BC122" s="29">
        <f t="shared" si="146"/>
        <v>0</v>
      </c>
      <c r="BD122" s="29">
        <f t="shared" si="147"/>
        <v>150</v>
      </c>
      <c r="BE122" s="29">
        <v>0</v>
      </c>
      <c r="BF122" s="29">
        <f t="shared" si="148"/>
        <v>0</v>
      </c>
      <c r="BH122" s="55">
        <f t="shared" si="149"/>
        <v>0</v>
      </c>
      <c r="BI122" s="55">
        <f t="shared" si="150"/>
        <v>0</v>
      </c>
      <c r="BJ122" s="55">
        <f t="shared" si="151"/>
        <v>0</v>
      </c>
    </row>
    <row r="123" spans="1:62" ht="12.75">
      <c r="A123" s="36" t="s">
        <v>175</v>
      </c>
      <c r="B123" s="36" t="s">
        <v>59</v>
      </c>
      <c r="C123" s="36" t="s">
        <v>346</v>
      </c>
      <c r="D123" s="36" t="s">
        <v>535</v>
      </c>
      <c r="E123" s="36" t="s">
        <v>606</v>
      </c>
      <c r="F123" s="55">
        <f>'Stavební rozpočet'!F123</f>
        <v>0</v>
      </c>
      <c r="G123" s="55">
        <f>'Stavební rozpočet'!G123</f>
        <v>3500</v>
      </c>
      <c r="H123" s="55">
        <f t="shared" si="126"/>
        <v>0</v>
      </c>
      <c r="I123" s="55">
        <f t="shared" si="127"/>
        <v>0</v>
      </c>
      <c r="J123" s="55">
        <f t="shared" si="128"/>
        <v>0</v>
      </c>
      <c r="K123" s="55">
        <f>'Stavební rozpočet'!K123</f>
        <v>0</v>
      </c>
      <c r="L123" s="55">
        <f t="shared" si="129"/>
        <v>0</v>
      </c>
      <c r="M123" s="51" t="s">
        <v>622</v>
      </c>
      <c r="Z123" s="29">
        <f t="shared" si="130"/>
        <v>0</v>
      </c>
      <c r="AB123" s="29">
        <f t="shared" si="131"/>
        <v>0</v>
      </c>
      <c r="AC123" s="29">
        <f t="shared" si="132"/>
        <v>0</v>
      </c>
      <c r="AD123" s="29">
        <f t="shared" si="133"/>
        <v>0</v>
      </c>
      <c r="AE123" s="29">
        <f t="shared" si="134"/>
        <v>0</v>
      </c>
      <c r="AF123" s="29">
        <f t="shared" si="135"/>
        <v>0</v>
      </c>
      <c r="AG123" s="29">
        <f t="shared" si="136"/>
        <v>0</v>
      </c>
      <c r="AH123" s="29">
        <f t="shared" si="137"/>
        <v>0</v>
      </c>
      <c r="AI123" s="48" t="s">
        <v>59</v>
      </c>
      <c r="AJ123" s="55">
        <f t="shared" si="138"/>
        <v>0</v>
      </c>
      <c r="AK123" s="55">
        <f t="shared" si="139"/>
        <v>0</v>
      </c>
      <c r="AL123" s="55">
        <f t="shared" si="140"/>
        <v>0</v>
      </c>
      <c r="AN123" s="29">
        <v>15</v>
      </c>
      <c r="AO123" s="29">
        <f t="shared" si="141"/>
        <v>0</v>
      </c>
      <c r="AP123" s="29">
        <f t="shared" si="142"/>
        <v>3500</v>
      </c>
      <c r="AQ123" s="51" t="s">
        <v>85</v>
      </c>
      <c r="AV123" s="29">
        <f t="shared" si="143"/>
        <v>0</v>
      </c>
      <c r="AW123" s="29">
        <f t="shared" si="144"/>
        <v>0</v>
      </c>
      <c r="AX123" s="29">
        <f t="shared" si="145"/>
        <v>0</v>
      </c>
      <c r="AY123" s="54" t="s">
        <v>645</v>
      </c>
      <c r="AZ123" s="54" t="s">
        <v>654</v>
      </c>
      <c r="BA123" s="48" t="s">
        <v>658</v>
      </c>
      <c r="BC123" s="29">
        <f t="shared" si="146"/>
        <v>0</v>
      </c>
      <c r="BD123" s="29">
        <f t="shared" si="147"/>
        <v>3500</v>
      </c>
      <c r="BE123" s="29">
        <v>0</v>
      </c>
      <c r="BF123" s="29">
        <f t="shared" si="148"/>
        <v>0</v>
      </c>
      <c r="BH123" s="55">
        <f t="shared" si="149"/>
        <v>0</v>
      </c>
      <c r="BI123" s="55">
        <f t="shared" si="150"/>
        <v>0</v>
      </c>
      <c r="BJ123" s="55">
        <f t="shared" si="151"/>
        <v>0</v>
      </c>
    </row>
    <row r="124" spans="1:62" ht="12.75">
      <c r="A124" s="36" t="s">
        <v>176</v>
      </c>
      <c r="B124" s="36" t="s">
        <v>59</v>
      </c>
      <c r="C124" s="36" t="s">
        <v>347</v>
      </c>
      <c r="D124" s="36" t="s">
        <v>536</v>
      </c>
      <c r="E124" s="36" t="s">
        <v>606</v>
      </c>
      <c r="F124" s="55">
        <f>'Stavební rozpočet'!F124</f>
        <v>0</v>
      </c>
      <c r="G124" s="55">
        <f>'Stavební rozpočet'!G124</f>
        <v>1000</v>
      </c>
      <c r="H124" s="55">
        <f t="shared" si="126"/>
        <v>0</v>
      </c>
      <c r="I124" s="55">
        <f t="shared" si="127"/>
        <v>0</v>
      </c>
      <c r="J124" s="55">
        <f t="shared" si="128"/>
        <v>0</v>
      </c>
      <c r="K124" s="55">
        <f>'Stavební rozpočet'!K124</f>
        <v>0</v>
      </c>
      <c r="L124" s="55">
        <f t="shared" si="129"/>
        <v>0</v>
      </c>
      <c r="M124" s="51" t="s">
        <v>622</v>
      </c>
      <c r="Z124" s="29">
        <f t="shared" si="130"/>
        <v>0</v>
      </c>
      <c r="AB124" s="29">
        <f t="shared" si="131"/>
        <v>0</v>
      </c>
      <c r="AC124" s="29">
        <f t="shared" si="132"/>
        <v>0</v>
      </c>
      <c r="AD124" s="29">
        <f t="shared" si="133"/>
        <v>0</v>
      </c>
      <c r="AE124" s="29">
        <f t="shared" si="134"/>
        <v>0</v>
      </c>
      <c r="AF124" s="29">
        <f t="shared" si="135"/>
        <v>0</v>
      </c>
      <c r="AG124" s="29">
        <f t="shared" si="136"/>
        <v>0</v>
      </c>
      <c r="AH124" s="29">
        <f t="shared" si="137"/>
        <v>0</v>
      </c>
      <c r="AI124" s="48" t="s">
        <v>59</v>
      </c>
      <c r="AJ124" s="55">
        <f t="shared" si="138"/>
        <v>0</v>
      </c>
      <c r="AK124" s="55">
        <f t="shared" si="139"/>
        <v>0</v>
      </c>
      <c r="AL124" s="55">
        <f t="shared" si="140"/>
        <v>0</v>
      </c>
      <c r="AN124" s="29">
        <v>15</v>
      </c>
      <c r="AO124" s="29">
        <f t="shared" si="141"/>
        <v>0</v>
      </c>
      <c r="AP124" s="29">
        <f t="shared" si="142"/>
        <v>1000</v>
      </c>
      <c r="AQ124" s="51" t="s">
        <v>85</v>
      </c>
      <c r="AV124" s="29">
        <f t="shared" si="143"/>
        <v>0</v>
      </c>
      <c r="AW124" s="29">
        <f t="shared" si="144"/>
        <v>0</v>
      </c>
      <c r="AX124" s="29">
        <f t="shared" si="145"/>
        <v>0</v>
      </c>
      <c r="AY124" s="54" t="s">
        <v>645</v>
      </c>
      <c r="AZ124" s="54" t="s">
        <v>654</v>
      </c>
      <c r="BA124" s="48" t="s">
        <v>658</v>
      </c>
      <c r="BC124" s="29">
        <f t="shared" si="146"/>
        <v>0</v>
      </c>
      <c r="BD124" s="29">
        <f t="shared" si="147"/>
        <v>1000</v>
      </c>
      <c r="BE124" s="29">
        <v>0</v>
      </c>
      <c r="BF124" s="29">
        <f t="shared" si="148"/>
        <v>0</v>
      </c>
      <c r="BH124" s="55">
        <f t="shared" si="149"/>
        <v>0</v>
      </c>
      <c r="BI124" s="55">
        <f t="shared" si="150"/>
        <v>0</v>
      </c>
      <c r="BJ124" s="55">
        <f t="shared" si="151"/>
        <v>0</v>
      </c>
    </row>
    <row r="125" spans="1:62" ht="12.75">
      <c r="A125" s="36" t="s">
        <v>177</v>
      </c>
      <c r="B125" s="36" t="s">
        <v>59</v>
      </c>
      <c r="C125" s="36" t="s">
        <v>348</v>
      </c>
      <c r="D125" s="36" t="s">
        <v>537</v>
      </c>
      <c r="E125" s="36" t="s">
        <v>606</v>
      </c>
      <c r="F125" s="55">
        <f>'Stavební rozpočet'!F125</f>
        <v>0</v>
      </c>
      <c r="G125" s="55">
        <f>'Stavební rozpočet'!G125</f>
        <v>1500</v>
      </c>
      <c r="H125" s="55">
        <f t="shared" si="126"/>
        <v>0</v>
      </c>
      <c r="I125" s="55">
        <f t="shared" si="127"/>
        <v>0</v>
      </c>
      <c r="J125" s="55">
        <f t="shared" si="128"/>
        <v>0</v>
      </c>
      <c r="K125" s="55">
        <f>'Stavební rozpočet'!K125</f>
        <v>0</v>
      </c>
      <c r="L125" s="55">
        <f t="shared" si="129"/>
        <v>0</v>
      </c>
      <c r="M125" s="51" t="s">
        <v>622</v>
      </c>
      <c r="Z125" s="29">
        <f t="shared" si="130"/>
        <v>0</v>
      </c>
      <c r="AB125" s="29">
        <f t="shared" si="131"/>
        <v>0</v>
      </c>
      <c r="AC125" s="29">
        <f t="shared" si="132"/>
        <v>0</v>
      </c>
      <c r="AD125" s="29">
        <f t="shared" si="133"/>
        <v>0</v>
      </c>
      <c r="AE125" s="29">
        <f t="shared" si="134"/>
        <v>0</v>
      </c>
      <c r="AF125" s="29">
        <f t="shared" si="135"/>
        <v>0</v>
      </c>
      <c r="AG125" s="29">
        <f t="shared" si="136"/>
        <v>0</v>
      </c>
      <c r="AH125" s="29">
        <f t="shared" si="137"/>
        <v>0</v>
      </c>
      <c r="AI125" s="48" t="s">
        <v>59</v>
      </c>
      <c r="AJ125" s="55">
        <f t="shared" si="138"/>
        <v>0</v>
      </c>
      <c r="AK125" s="55">
        <f t="shared" si="139"/>
        <v>0</v>
      </c>
      <c r="AL125" s="55">
        <f t="shared" si="140"/>
        <v>0</v>
      </c>
      <c r="AN125" s="29">
        <v>15</v>
      </c>
      <c r="AO125" s="29">
        <f t="shared" si="141"/>
        <v>0</v>
      </c>
      <c r="AP125" s="29">
        <f t="shared" si="142"/>
        <v>1500</v>
      </c>
      <c r="AQ125" s="51" t="s">
        <v>85</v>
      </c>
      <c r="AV125" s="29">
        <f t="shared" si="143"/>
        <v>0</v>
      </c>
      <c r="AW125" s="29">
        <f t="shared" si="144"/>
        <v>0</v>
      </c>
      <c r="AX125" s="29">
        <f t="shared" si="145"/>
        <v>0</v>
      </c>
      <c r="AY125" s="54" t="s">
        <v>645</v>
      </c>
      <c r="AZ125" s="54" t="s">
        <v>654</v>
      </c>
      <c r="BA125" s="48" t="s">
        <v>658</v>
      </c>
      <c r="BC125" s="29">
        <f t="shared" si="146"/>
        <v>0</v>
      </c>
      <c r="BD125" s="29">
        <f t="shared" si="147"/>
        <v>1500</v>
      </c>
      <c r="BE125" s="29">
        <v>0</v>
      </c>
      <c r="BF125" s="29">
        <f t="shared" si="148"/>
        <v>0</v>
      </c>
      <c r="BH125" s="55">
        <f t="shared" si="149"/>
        <v>0</v>
      </c>
      <c r="BI125" s="55">
        <f t="shared" si="150"/>
        <v>0</v>
      </c>
      <c r="BJ125" s="55">
        <f t="shared" si="151"/>
        <v>0</v>
      </c>
    </row>
    <row r="126" spans="1:62" ht="12.75">
      <c r="A126" s="36" t="s">
        <v>178</v>
      </c>
      <c r="B126" s="36" t="s">
        <v>59</v>
      </c>
      <c r="C126" s="36" t="s">
        <v>349</v>
      </c>
      <c r="D126" s="36" t="s">
        <v>538</v>
      </c>
      <c r="E126" s="36" t="s">
        <v>606</v>
      </c>
      <c r="F126" s="55">
        <f>'Stavební rozpočet'!F126</f>
        <v>0</v>
      </c>
      <c r="G126" s="55">
        <f>'Stavební rozpočet'!G126</f>
        <v>500</v>
      </c>
      <c r="H126" s="55">
        <f t="shared" si="126"/>
        <v>0</v>
      </c>
      <c r="I126" s="55">
        <f t="shared" si="127"/>
        <v>0</v>
      </c>
      <c r="J126" s="55">
        <f t="shared" si="128"/>
        <v>0</v>
      </c>
      <c r="K126" s="55">
        <f>'Stavební rozpočet'!K126</f>
        <v>0</v>
      </c>
      <c r="L126" s="55">
        <f t="shared" si="129"/>
        <v>0</v>
      </c>
      <c r="M126" s="51" t="s">
        <v>622</v>
      </c>
      <c r="Z126" s="29">
        <f t="shared" si="130"/>
        <v>0</v>
      </c>
      <c r="AB126" s="29">
        <f t="shared" si="131"/>
        <v>0</v>
      </c>
      <c r="AC126" s="29">
        <f t="shared" si="132"/>
        <v>0</v>
      </c>
      <c r="AD126" s="29">
        <f t="shared" si="133"/>
        <v>0</v>
      </c>
      <c r="AE126" s="29">
        <f t="shared" si="134"/>
        <v>0</v>
      </c>
      <c r="AF126" s="29">
        <f t="shared" si="135"/>
        <v>0</v>
      </c>
      <c r="AG126" s="29">
        <f t="shared" si="136"/>
        <v>0</v>
      </c>
      <c r="AH126" s="29">
        <f t="shared" si="137"/>
        <v>0</v>
      </c>
      <c r="AI126" s="48" t="s">
        <v>59</v>
      </c>
      <c r="AJ126" s="55">
        <f t="shared" si="138"/>
        <v>0</v>
      </c>
      <c r="AK126" s="55">
        <f t="shared" si="139"/>
        <v>0</v>
      </c>
      <c r="AL126" s="55">
        <f t="shared" si="140"/>
        <v>0</v>
      </c>
      <c r="AN126" s="29">
        <v>15</v>
      </c>
      <c r="AO126" s="29">
        <f t="shared" si="141"/>
        <v>0</v>
      </c>
      <c r="AP126" s="29">
        <f t="shared" si="142"/>
        <v>500</v>
      </c>
      <c r="AQ126" s="51" t="s">
        <v>85</v>
      </c>
      <c r="AV126" s="29">
        <f t="shared" si="143"/>
        <v>0</v>
      </c>
      <c r="AW126" s="29">
        <f t="shared" si="144"/>
        <v>0</v>
      </c>
      <c r="AX126" s="29">
        <f t="shared" si="145"/>
        <v>0</v>
      </c>
      <c r="AY126" s="54" t="s">
        <v>645</v>
      </c>
      <c r="AZ126" s="54" t="s">
        <v>654</v>
      </c>
      <c r="BA126" s="48" t="s">
        <v>658</v>
      </c>
      <c r="BC126" s="29">
        <f t="shared" si="146"/>
        <v>0</v>
      </c>
      <c r="BD126" s="29">
        <f t="shared" si="147"/>
        <v>500</v>
      </c>
      <c r="BE126" s="29">
        <v>0</v>
      </c>
      <c r="BF126" s="29">
        <f t="shared" si="148"/>
        <v>0</v>
      </c>
      <c r="BH126" s="55">
        <f t="shared" si="149"/>
        <v>0</v>
      </c>
      <c r="BI126" s="55">
        <f t="shared" si="150"/>
        <v>0</v>
      </c>
      <c r="BJ126" s="55">
        <f t="shared" si="151"/>
        <v>0</v>
      </c>
    </row>
    <row r="127" spans="1:62" ht="12.75">
      <c r="A127" s="36" t="s">
        <v>179</v>
      </c>
      <c r="B127" s="36" t="s">
        <v>59</v>
      </c>
      <c r="C127" s="36" t="s">
        <v>350</v>
      </c>
      <c r="D127" s="36" t="s">
        <v>539</v>
      </c>
      <c r="E127" s="36" t="s">
        <v>606</v>
      </c>
      <c r="F127" s="55">
        <f>'Stavební rozpočet'!F127</f>
        <v>0</v>
      </c>
      <c r="G127" s="55">
        <f>'Stavební rozpočet'!G127</f>
        <v>500</v>
      </c>
      <c r="H127" s="55">
        <f t="shared" si="126"/>
        <v>0</v>
      </c>
      <c r="I127" s="55">
        <f t="shared" si="127"/>
        <v>0</v>
      </c>
      <c r="J127" s="55">
        <f t="shared" si="128"/>
        <v>0</v>
      </c>
      <c r="K127" s="55">
        <f>'Stavební rozpočet'!K127</f>
        <v>0</v>
      </c>
      <c r="L127" s="55">
        <f t="shared" si="129"/>
        <v>0</v>
      </c>
      <c r="M127" s="51" t="s">
        <v>622</v>
      </c>
      <c r="Z127" s="29">
        <f t="shared" si="130"/>
        <v>0</v>
      </c>
      <c r="AB127" s="29">
        <f t="shared" si="131"/>
        <v>0</v>
      </c>
      <c r="AC127" s="29">
        <f t="shared" si="132"/>
        <v>0</v>
      </c>
      <c r="AD127" s="29">
        <f t="shared" si="133"/>
        <v>0</v>
      </c>
      <c r="AE127" s="29">
        <f t="shared" si="134"/>
        <v>0</v>
      </c>
      <c r="AF127" s="29">
        <f t="shared" si="135"/>
        <v>0</v>
      </c>
      <c r="AG127" s="29">
        <f t="shared" si="136"/>
        <v>0</v>
      </c>
      <c r="AH127" s="29">
        <f t="shared" si="137"/>
        <v>0</v>
      </c>
      <c r="AI127" s="48" t="s">
        <v>59</v>
      </c>
      <c r="AJ127" s="55">
        <f t="shared" si="138"/>
        <v>0</v>
      </c>
      <c r="AK127" s="55">
        <f t="shared" si="139"/>
        <v>0</v>
      </c>
      <c r="AL127" s="55">
        <f t="shared" si="140"/>
        <v>0</v>
      </c>
      <c r="AN127" s="29">
        <v>15</v>
      </c>
      <c r="AO127" s="29">
        <f t="shared" si="141"/>
        <v>0</v>
      </c>
      <c r="AP127" s="29">
        <f t="shared" si="142"/>
        <v>500</v>
      </c>
      <c r="AQ127" s="51" t="s">
        <v>85</v>
      </c>
      <c r="AV127" s="29">
        <f t="shared" si="143"/>
        <v>0</v>
      </c>
      <c r="AW127" s="29">
        <f t="shared" si="144"/>
        <v>0</v>
      </c>
      <c r="AX127" s="29">
        <f t="shared" si="145"/>
        <v>0</v>
      </c>
      <c r="AY127" s="54" t="s">
        <v>645</v>
      </c>
      <c r="AZ127" s="54" t="s">
        <v>654</v>
      </c>
      <c r="BA127" s="48" t="s">
        <v>658</v>
      </c>
      <c r="BC127" s="29">
        <f t="shared" si="146"/>
        <v>0</v>
      </c>
      <c r="BD127" s="29">
        <f t="shared" si="147"/>
        <v>500</v>
      </c>
      <c r="BE127" s="29">
        <v>0</v>
      </c>
      <c r="BF127" s="29">
        <f t="shared" si="148"/>
        <v>0</v>
      </c>
      <c r="BH127" s="55">
        <f t="shared" si="149"/>
        <v>0</v>
      </c>
      <c r="BI127" s="55">
        <f t="shared" si="150"/>
        <v>0</v>
      </c>
      <c r="BJ127" s="55">
        <f t="shared" si="151"/>
        <v>0</v>
      </c>
    </row>
    <row r="128" spans="1:62" ht="12.75">
      <c r="A128" s="36" t="s">
        <v>180</v>
      </c>
      <c r="B128" s="36" t="s">
        <v>59</v>
      </c>
      <c r="C128" s="36" t="s">
        <v>351</v>
      </c>
      <c r="D128" s="36" t="s">
        <v>540</v>
      </c>
      <c r="E128" s="36" t="s">
        <v>606</v>
      </c>
      <c r="F128" s="55">
        <f>'Stavební rozpočet'!F128</f>
        <v>0</v>
      </c>
      <c r="G128" s="55">
        <f>'Stavební rozpočet'!G128</f>
        <v>500</v>
      </c>
      <c r="H128" s="55">
        <f t="shared" si="126"/>
        <v>0</v>
      </c>
      <c r="I128" s="55">
        <f t="shared" si="127"/>
        <v>0</v>
      </c>
      <c r="J128" s="55">
        <f t="shared" si="128"/>
        <v>0</v>
      </c>
      <c r="K128" s="55">
        <f>'Stavební rozpočet'!K128</f>
        <v>0</v>
      </c>
      <c r="L128" s="55">
        <f t="shared" si="129"/>
        <v>0</v>
      </c>
      <c r="M128" s="51" t="s">
        <v>622</v>
      </c>
      <c r="Z128" s="29">
        <f t="shared" si="130"/>
        <v>0</v>
      </c>
      <c r="AB128" s="29">
        <f t="shared" si="131"/>
        <v>0</v>
      </c>
      <c r="AC128" s="29">
        <f t="shared" si="132"/>
        <v>0</v>
      </c>
      <c r="AD128" s="29">
        <f t="shared" si="133"/>
        <v>0</v>
      </c>
      <c r="AE128" s="29">
        <f t="shared" si="134"/>
        <v>0</v>
      </c>
      <c r="AF128" s="29">
        <f t="shared" si="135"/>
        <v>0</v>
      </c>
      <c r="AG128" s="29">
        <f t="shared" si="136"/>
        <v>0</v>
      </c>
      <c r="AH128" s="29">
        <f t="shared" si="137"/>
        <v>0</v>
      </c>
      <c r="AI128" s="48" t="s">
        <v>59</v>
      </c>
      <c r="AJ128" s="55">
        <f t="shared" si="138"/>
        <v>0</v>
      </c>
      <c r="AK128" s="55">
        <f t="shared" si="139"/>
        <v>0</v>
      </c>
      <c r="AL128" s="55">
        <f t="shared" si="140"/>
        <v>0</v>
      </c>
      <c r="AN128" s="29">
        <v>15</v>
      </c>
      <c r="AO128" s="29">
        <f t="shared" si="141"/>
        <v>0</v>
      </c>
      <c r="AP128" s="29">
        <f t="shared" si="142"/>
        <v>500</v>
      </c>
      <c r="AQ128" s="51" t="s">
        <v>85</v>
      </c>
      <c r="AV128" s="29">
        <f t="shared" si="143"/>
        <v>0</v>
      </c>
      <c r="AW128" s="29">
        <f t="shared" si="144"/>
        <v>0</v>
      </c>
      <c r="AX128" s="29">
        <f t="shared" si="145"/>
        <v>0</v>
      </c>
      <c r="AY128" s="54" t="s">
        <v>645</v>
      </c>
      <c r="AZ128" s="54" t="s">
        <v>654</v>
      </c>
      <c r="BA128" s="48" t="s">
        <v>658</v>
      </c>
      <c r="BC128" s="29">
        <f t="shared" si="146"/>
        <v>0</v>
      </c>
      <c r="BD128" s="29">
        <f t="shared" si="147"/>
        <v>500</v>
      </c>
      <c r="BE128" s="29">
        <v>0</v>
      </c>
      <c r="BF128" s="29">
        <f t="shared" si="148"/>
        <v>0</v>
      </c>
      <c r="BH128" s="55">
        <f t="shared" si="149"/>
        <v>0</v>
      </c>
      <c r="BI128" s="55">
        <f t="shared" si="150"/>
        <v>0</v>
      </c>
      <c r="BJ128" s="55">
        <f t="shared" si="151"/>
        <v>0</v>
      </c>
    </row>
    <row r="129" spans="1:62" ht="12.75">
      <c r="A129" s="36" t="s">
        <v>181</v>
      </c>
      <c r="B129" s="36" t="s">
        <v>59</v>
      </c>
      <c r="C129" s="36" t="s">
        <v>352</v>
      </c>
      <c r="D129" s="36" t="s">
        <v>541</v>
      </c>
      <c r="E129" s="36" t="s">
        <v>606</v>
      </c>
      <c r="F129" s="55">
        <f>'Stavební rozpočet'!F129</f>
        <v>0</v>
      </c>
      <c r="G129" s="55">
        <f>'Stavební rozpočet'!G129</f>
        <v>150</v>
      </c>
      <c r="H129" s="55">
        <f t="shared" si="126"/>
        <v>0</v>
      </c>
      <c r="I129" s="55">
        <f t="shared" si="127"/>
        <v>0</v>
      </c>
      <c r="J129" s="55">
        <f t="shared" si="128"/>
        <v>0</v>
      </c>
      <c r="K129" s="55">
        <f>'Stavební rozpočet'!K129</f>
        <v>0</v>
      </c>
      <c r="L129" s="55">
        <f t="shared" si="129"/>
        <v>0</v>
      </c>
      <c r="M129" s="51" t="s">
        <v>622</v>
      </c>
      <c r="Z129" s="29">
        <f t="shared" si="130"/>
        <v>0</v>
      </c>
      <c r="AB129" s="29">
        <f t="shared" si="131"/>
        <v>0</v>
      </c>
      <c r="AC129" s="29">
        <f t="shared" si="132"/>
        <v>0</v>
      </c>
      <c r="AD129" s="29">
        <f t="shared" si="133"/>
        <v>0</v>
      </c>
      <c r="AE129" s="29">
        <f t="shared" si="134"/>
        <v>0</v>
      </c>
      <c r="AF129" s="29">
        <f t="shared" si="135"/>
        <v>0</v>
      </c>
      <c r="AG129" s="29">
        <f t="shared" si="136"/>
        <v>0</v>
      </c>
      <c r="AH129" s="29">
        <f t="shared" si="137"/>
        <v>0</v>
      </c>
      <c r="AI129" s="48" t="s">
        <v>59</v>
      </c>
      <c r="AJ129" s="55">
        <f t="shared" si="138"/>
        <v>0</v>
      </c>
      <c r="AK129" s="55">
        <f t="shared" si="139"/>
        <v>0</v>
      </c>
      <c r="AL129" s="55">
        <f t="shared" si="140"/>
        <v>0</v>
      </c>
      <c r="AN129" s="29">
        <v>15</v>
      </c>
      <c r="AO129" s="29">
        <f t="shared" si="141"/>
        <v>0</v>
      </c>
      <c r="AP129" s="29">
        <f t="shared" si="142"/>
        <v>150</v>
      </c>
      <c r="AQ129" s="51" t="s">
        <v>85</v>
      </c>
      <c r="AV129" s="29">
        <f t="shared" si="143"/>
        <v>0</v>
      </c>
      <c r="AW129" s="29">
        <f t="shared" si="144"/>
        <v>0</v>
      </c>
      <c r="AX129" s="29">
        <f t="shared" si="145"/>
        <v>0</v>
      </c>
      <c r="AY129" s="54" t="s">
        <v>645</v>
      </c>
      <c r="AZ129" s="54" t="s">
        <v>654</v>
      </c>
      <c r="BA129" s="48" t="s">
        <v>658</v>
      </c>
      <c r="BC129" s="29">
        <f t="shared" si="146"/>
        <v>0</v>
      </c>
      <c r="BD129" s="29">
        <f t="shared" si="147"/>
        <v>150</v>
      </c>
      <c r="BE129" s="29">
        <v>0</v>
      </c>
      <c r="BF129" s="29">
        <f t="shared" si="148"/>
        <v>0</v>
      </c>
      <c r="BH129" s="55">
        <f t="shared" si="149"/>
        <v>0</v>
      </c>
      <c r="BI129" s="55">
        <f t="shared" si="150"/>
        <v>0</v>
      </c>
      <c r="BJ129" s="55">
        <f t="shared" si="151"/>
        <v>0</v>
      </c>
    </row>
    <row r="130" spans="1:62" ht="12.75">
      <c r="A130" s="36" t="s">
        <v>182</v>
      </c>
      <c r="B130" s="36" t="s">
        <v>59</v>
      </c>
      <c r="C130" s="36" t="s">
        <v>353</v>
      </c>
      <c r="D130" s="36" t="s">
        <v>542</v>
      </c>
      <c r="E130" s="36" t="s">
        <v>606</v>
      </c>
      <c r="F130" s="55">
        <f>'Stavební rozpočet'!F130</f>
        <v>0</v>
      </c>
      <c r="G130" s="55">
        <f>'Stavební rozpočet'!G130</f>
        <v>50</v>
      </c>
      <c r="H130" s="55">
        <f t="shared" si="126"/>
        <v>0</v>
      </c>
      <c r="I130" s="55">
        <f t="shared" si="127"/>
        <v>0</v>
      </c>
      <c r="J130" s="55">
        <f t="shared" si="128"/>
        <v>0</v>
      </c>
      <c r="K130" s="55">
        <f>'Stavební rozpočet'!K130</f>
        <v>0</v>
      </c>
      <c r="L130" s="55">
        <f t="shared" si="129"/>
        <v>0</v>
      </c>
      <c r="M130" s="51" t="s">
        <v>622</v>
      </c>
      <c r="Z130" s="29">
        <f t="shared" si="130"/>
        <v>0</v>
      </c>
      <c r="AB130" s="29">
        <f t="shared" si="131"/>
        <v>0</v>
      </c>
      <c r="AC130" s="29">
        <f t="shared" si="132"/>
        <v>0</v>
      </c>
      <c r="AD130" s="29">
        <f t="shared" si="133"/>
        <v>0</v>
      </c>
      <c r="AE130" s="29">
        <f t="shared" si="134"/>
        <v>0</v>
      </c>
      <c r="AF130" s="29">
        <f t="shared" si="135"/>
        <v>0</v>
      </c>
      <c r="AG130" s="29">
        <f t="shared" si="136"/>
        <v>0</v>
      </c>
      <c r="AH130" s="29">
        <f t="shared" si="137"/>
        <v>0</v>
      </c>
      <c r="AI130" s="48" t="s">
        <v>59</v>
      </c>
      <c r="AJ130" s="55">
        <f t="shared" si="138"/>
        <v>0</v>
      </c>
      <c r="AK130" s="55">
        <f t="shared" si="139"/>
        <v>0</v>
      </c>
      <c r="AL130" s="55">
        <f t="shared" si="140"/>
        <v>0</v>
      </c>
      <c r="AN130" s="29">
        <v>15</v>
      </c>
      <c r="AO130" s="29">
        <f t="shared" si="141"/>
        <v>0</v>
      </c>
      <c r="AP130" s="29">
        <f t="shared" si="142"/>
        <v>50</v>
      </c>
      <c r="AQ130" s="51" t="s">
        <v>85</v>
      </c>
      <c r="AV130" s="29">
        <f t="shared" si="143"/>
        <v>0</v>
      </c>
      <c r="AW130" s="29">
        <f t="shared" si="144"/>
        <v>0</v>
      </c>
      <c r="AX130" s="29">
        <f t="shared" si="145"/>
        <v>0</v>
      </c>
      <c r="AY130" s="54" t="s">
        <v>645</v>
      </c>
      <c r="AZ130" s="54" t="s">
        <v>654</v>
      </c>
      <c r="BA130" s="48" t="s">
        <v>658</v>
      </c>
      <c r="BC130" s="29">
        <f t="shared" si="146"/>
        <v>0</v>
      </c>
      <c r="BD130" s="29">
        <f t="shared" si="147"/>
        <v>50</v>
      </c>
      <c r="BE130" s="29">
        <v>0</v>
      </c>
      <c r="BF130" s="29">
        <f t="shared" si="148"/>
        <v>0</v>
      </c>
      <c r="BH130" s="55">
        <f t="shared" si="149"/>
        <v>0</v>
      </c>
      <c r="BI130" s="55">
        <f t="shared" si="150"/>
        <v>0</v>
      </c>
      <c r="BJ130" s="55">
        <f t="shared" si="151"/>
        <v>0</v>
      </c>
    </row>
    <row r="131" spans="1:62" ht="12.75">
      <c r="A131" s="36" t="s">
        <v>183</v>
      </c>
      <c r="B131" s="36" t="s">
        <v>59</v>
      </c>
      <c r="C131" s="36" t="s">
        <v>354</v>
      </c>
      <c r="D131" s="36" t="s">
        <v>501</v>
      </c>
      <c r="E131" s="36" t="s">
        <v>611</v>
      </c>
      <c r="F131" s="55">
        <f>'Stavební rozpočet'!F131</f>
        <v>0</v>
      </c>
      <c r="G131" s="55">
        <f>'Stavební rozpočet'!G131</f>
        <v>50</v>
      </c>
      <c r="H131" s="55">
        <f t="shared" si="126"/>
        <v>0</v>
      </c>
      <c r="I131" s="55">
        <f t="shared" si="127"/>
        <v>0</v>
      </c>
      <c r="J131" s="55">
        <f t="shared" si="128"/>
        <v>0</v>
      </c>
      <c r="K131" s="55">
        <f>'Stavební rozpočet'!K131</f>
        <v>0</v>
      </c>
      <c r="L131" s="55">
        <f t="shared" si="129"/>
        <v>0</v>
      </c>
      <c r="M131" s="51" t="s">
        <v>622</v>
      </c>
      <c r="Z131" s="29">
        <f t="shared" si="130"/>
        <v>0</v>
      </c>
      <c r="AB131" s="29">
        <f t="shared" si="131"/>
        <v>0</v>
      </c>
      <c r="AC131" s="29">
        <f t="shared" si="132"/>
        <v>0</v>
      </c>
      <c r="AD131" s="29">
        <f t="shared" si="133"/>
        <v>0</v>
      </c>
      <c r="AE131" s="29">
        <f t="shared" si="134"/>
        <v>0</v>
      </c>
      <c r="AF131" s="29">
        <f t="shared" si="135"/>
        <v>0</v>
      </c>
      <c r="AG131" s="29">
        <f t="shared" si="136"/>
        <v>0</v>
      </c>
      <c r="AH131" s="29">
        <f t="shared" si="137"/>
        <v>0</v>
      </c>
      <c r="AI131" s="48" t="s">
        <v>59</v>
      </c>
      <c r="AJ131" s="55">
        <f t="shared" si="138"/>
        <v>0</v>
      </c>
      <c r="AK131" s="55">
        <f t="shared" si="139"/>
        <v>0</v>
      </c>
      <c r="AL131" s="55">
        <f t="shared" si="140"/>
        <v>0</v>
      </c>
      <c r="AN131" s="29">
        <v>15</v>
      </c>
      <c r="AO131" s="29">
        <f t="shared" si="141"/>
        <v>0</v>
      </c>
      <c r="AP131" s="29">
        <f t="shared" si="142"/>
        <v>50</v>
      </c>
      <c r="AQ131" s="51" t="s">
        <v>85</v>
      </c>
      <c r="AV131" s="29">
        <f t="shared" si="143"/>
        <v>0</v>
      </c>
      <c r="AW131" s="29">
        <f t="shared" si="144"/>
        <v>0</v>
      </c>
      <c r="AX131" s="29">
        <f t="shared" si="145"/>
        <v>0</v>
      </c>
      <c r="AY131" s="54" t="s">
        <v>645</v>
      </c>
      <c r="AZ131" s="54" t="s">
        <v>654</v>
      </c>
      <c r="BA131" s="48" t="s">
        <v>658</v>
      </c>
      <c r="BC131" s="29">
        <f t="shared" si="146"/>
        <v>0</v>
      </c>
      <c r="BD131" s="29">
        <f t="shared" si="147"/>
        <v>50</v>
      </c>
      <c r="BE131" s="29">
        <v>0</v>
      </c>
      <c r="BF131" s="29">
        <f t="shared" si="148"/>
        <v>0</v>
      </c>
      <c r="BH131" s="55">
        <f t="shared" si="149"/>
        <v>0</v>
      </c>
      <c r="BI131" s="55">
        <f t="shared" si="150"/>
        <v>0</v>
      </c>
      <c r="BJ131" s="55">
        <f t="shared" si="151"/>
        <v>0</v>
      </c>
    </row>
    <row r="132" spans="1:62" ht="12.75">
      <c r="A132" s="36" t="s">
        <v>184</v>
      </c>
      <c r="B132" s="36" t="s">
        <v>59</v>
      </c>
      <c r="C132" s="36" t="s">
        <v>355</v>
      </c>
      <c r="D132" s="36" t="s">
        <v>502</v>
      </c>
      <c r="E132" s="36" t="s">
        <v>606</v>
      </c>
      <c r="F132" s="55">
        <f>'Stavební rozpočet'!F132</f>
        <v>0</v>
      </c>
      <c r="G132" s="55">
        <f>'Stavební rozpočet'!G132</f>
        <v>1000</v>
      </c>
      <c r="H132" s="55">
        <f t="shared" si="126"/>
        <v>0</v>
      </c>
      <c r="I132" s="55">
        <f t="shared" si="127"/>
        <v>0</v>
      </c>
      <c r="J132" s="55">
        <f t="shared" si="128"/>
        <v>0</v>
      </c>
      <c r="K132" s="55">
        <f>'Stavební rozpočet'!K132</f>
        <v>0</v>
      </c>
      <c r="L132" s="55">
        <f t="shared" si="129"/>
        <v>0</v>
      </c>
      <c r="M132" s="51" t="s">
        <v>622</v>
      </c>
      <c r="Z132" s="29">
        <f t="shared" si="130"/>
        <v>0</v>
      </c>
      <c r="AB132" s="29">
        <f t="shared" si="131"/>
        <v>0</v>
      </c>
      <c r="AC132" s="29">
        <f t="shared" si="132"/>
        <v>0</v>
      </c>
      <c r="AD132" s="29">
        <f t="shared" si="133"/>
        <v>0</v>
      </c>
      <c r="AE132" s="29">
        <f t="shared" si="134"/>
        <v>0</v>
      </c>
      <c r="AF132" s="29">
        <f t="shared" si="135"/>
        <v>0</v>
      </c>
      <c r="AG132" s="29">
        <f t="shared" si="136"/>
        <v>0</v>
      </c>
      <c r="AH132" s="29">
        <f t="shared" si="137"/>
        <v>0</v>
      </c>
      <c r="AI132" s="48" t="s">
        <v>59</v>
      </c>
      <c r="AJ132" s="55">
        <f t="shared" si="138"/>
        <v>0</v>
      </c>
      <c r="AK132" s="55">
        <f t="shared" si="139"/>
        <v>0</v>
      </c>
      <c r="AL132" s="55">
        <f t="shared" si="140"/>
        <v>0</v>
      </c>
      <c r="AN132" s="29">
        <v>15</v>
      </c>
      <c r="AO132" s="29">
        <f t="shared" si="141"/>
        <v>0</v>
      </c>
      <c r="AP132" s="29">
        <f t="shared" si="142"/>
        <v>1000</v>
      </c>
      <c r="AQ132" s="51" t="s">
        <v>85</v>
      </c>
      <c r="AV132" s="29">
        <f t="shared" si="143"/>
        <v>0</v>
      </c>
      <c r="AW132" s="29">
        <f t="shared" si="144"/>
        <v>0</v>
      </c>
      <c r="AX132" s="29">
        <f t="shared" si="145"/>
        <v>0</v>
      </c>
      <c r="AY132" s="54" t="s">
        <v>645</v>
      </c>
      <c r="AZ132" s="54" t="s">
        <v>654</v>
      </c>
      <c r="BA132" s="48" t="s">
        <v>658</v>
      </c>
      <c r="BC132" s="29">
        <f t="shared" si="146"/>
        <v>0</v>
      </c>
      <c r="BD132" s="29">
        <f t="shared" si="147"/>
        <v>1000</v>
      </c>
      <c r="BE132" s="29">
        <v>0</v>
      </c>
      <c r="BF132" s="29">
        <f t="shared" si="148"/>
        <v>0</v>
      </c>
      <c r="BH132" s="55">
        <f t="shared" si="149"/>
        <v>0</v>
      </c>
      <c r="BI132" s="55">
        <f t="shared" si="150"/>
        <v>0</v>
      </c>
      <c r="BJ132" s="55">
        <f t="shared" si="151"/>
        <v>0</v>
      </c>
    </row>
    <row r="133" spans="1:62" ht="12.75">
      <c r="A133" s="36" t="s">
        <v>185</v>
      </c>
      <c r="B133" s="36" t="s">
        <v>59</v>
      </c>
      <c r="C133" s="36" t="s">
        <v>356</v>
      </c>
      <c r="D133" s="36" t="s">
        <v>543</v>
      </c>
      <c r="E133" s="36" t="s">
        <v>606</v>
      </c>
      <c r="F133" s="55">
        <f>'Stavební rozpočet'!F133</f>
        <v>0</v>
      </c>
      <c r="G133" s="55">
        <f>'Stavební rozpočet'!G133</f>
        <v>500</v>
      </c>
      <c r="H133" s="55">
        <f t="shared" si="126"/>
        <v>0</v>
      </c>
      <c r="I133" s="55">
        <f t="shared" si="127"/>
        <v>0</v>
      </c>
      <c r="J133" s="55">
        <f t="shared" si="128"/>
        <v>0</v>
      </c>
      <c r="K133" s="55">
        <f>'Stavební rozpočet'!K133</f>
        <v>0</v>
      </c>
      <c r="L133" s="55">
        <f t="shared" si="129"/>
        <v>0</v>
      </c>
      <c r="M133" s="51" t="s">
        <v>622</v>
      </c>
      <c r="Z133" s="29">
        <f t="shared" si="130"/>
        <v>0</v>
      </c>
      <c r="AB133" s="29">
        <f t="shared" si="131"/>
        <v>0</v>
      </c>
      <c r="AC133" s="29">
        <f t="shared" si="132"/>
        <v>0</v>
      </c>
      <c r="AD133" s="29">
        <f t="shared" si="133"/>
        <v>0</v>
      </c>
      <c r="AE133" s="29">
        <f t="shared" si="134"/>
        <v>0</v>
      </c>
      <c r="AF133" s="29">
        <f t="shared" si="135"/>
        <v>0</v>
      </c>
      <c r="AG133" s="29">
        <f t="shared" si="136"/>
        <v>0</v>
      </c>
      <c r="AH133" s="29">
        <f t="shared" si="137"/>
        <v>0</v>
      </c>
      <c r="AI133" s="48" t="s">
        <v>59</v>
      </c>
      <c r="AJ133" s="55">
        <f t="shared" si="138"/>
        <v>0</v>
      </c>
      <c r="AK133" s="55">
        <f t="shared" si="139"/>
        <v>0</v>
      </c>
      <c r="AL133" s="55">
        <f t="shared" si="140"/>
        <v>0</v>
      </c>
      <c r="AN133" s="29">
        <v>15</v>
      </c>
      <c r="AO133" s="29">
        <f t="shared" si="141"/>
        <v>0</v>
      </c>
      <c r="AP133" s="29">
        <f t="shared" si="142"/>
        <v>500</v>
      </c>
      <c r="AQ133" s="51" t="s">
        <v>85</v>
      </c>
      <c r="AV133" s="29">
        <f t="shared" si="143"/>
        <v>0</v>
      </c>
      <c r="AW133" s="29">
        <f t="shared" si="144"/>
        <v>0</v>
      </c>
      <c r="AX133" s="29">
        <f t="shared" si="145"/>
        <v>0</v>
      </c>
      <c r="AY133" s="54" t="s">
        <v>645</v>
      </c>
      <c r="AZ133" s="54" t="s">
        <v>654</v>
      </c>
      <c r="BA133" s="48" t="s">
        <v>658</v>
      </c>
      <c r="BC133" s="29">
        <f t="shared" si="146"/>
        <v>0</v>
      </c>
      <c r="BD133" s="29">
        <f t="shared" si="147"/>
        <v>500</v>
      </c>
      <c r="BE133" s="29">
        <v>0</v>
      </c>
      <c r="BF133" s="29">
        <f t="shared" si="148"/>
        <v>0</v>
      </c>
      <c r="BH133" s="55">
        <f t="shared" si="149"/>
        <v>0</v>
      </c>
      <c r="BI133" s="55">
        <f t="shared" si="150"/>
        <v>0</v>
      </c>
      <c r="BJ133" s="55">
        <f t="shared" si="151"/>
        <v>0</v>
      </c>
    </row>
    <row r="134" spans="1:62" ht="12.75">
      <c r="A134" s="36" t="s">
        <v>186</v>
      </c>
      <c r="B134" s="36" t="s">
        <v>59</v>
      </c>
      <c r="C134" s="36" t="s">
        <v>357</v>
      </c>
      <c r="D134" s="36" t="s">
        <v>490</v>
      </c>
      <c r="E134" s="36" t="s">
        <v>606</v>
      </c>
      <c r="F134" s="55">
        <f>'Stavební rozpočet'!F134</f>
        <v>0</v>
      </c>
      <c r="G134" s="55">
        <f>'Stavební rozpočet'!G134</f>
        <v>500</v>
      </c>
      <c r="H134" s="55">
        <f t="shared" si="126"/>
        <v>0</v>
      </c>
      <c r="I134" s="55">
        <f t="shared" si="127"/>
        <v>0</v>
      </c>
      <c r="J134" s="55">
        <f t="shared" si="128"/>
        <v>0</v>
      </c>
      <c r="K134" s="55">
        <f>'Stavební rozpočet'!K134</f>
        <v>0</v>
      </c>
      <c r="L134" s="55">
        <f t="shared" si="129"/>
        <v>0</v>
      </c>
      <c r="M134" s="51" t="s">
        <v>622</v>
      </c>
      <c r="Z134" s="29">
        <f t="shared" si="130"/>
        <v>0</v>
      </c>
      <c r="AB134" s="29">
        <f t="shared" si="131"/>
        <v>0</v>
      </c>
      <c r="AC134" s="29">
        <f t="shared" si="132"/>
        <v>0</v>
      </c>
      <c r="AD134" s="29">
        <f t="shared" si="133"/>
        <v>0</v>
      </c>
      <c r="AE134" s="29">
        <f t="shared" si="134"/>
        <v>0</v>
      </c>
      <c r="AF134" s="29">
        <f t="shared" si="135"/>
        <v>0</v>
      </c>
      <c r="AG134" s="29">
        <f t="shared" si="136"/>
        <v>0</v>
      </c>
      <c r="AH134" s="29">
        <f t="shared" si="137"/>
        <v>0</v>
      </c>
      <c r="AI134" s="48" t="s">
        <v>59</v>
      </c>
      <c r="AJ134" s="55">
        <f t="shared" si="138"/>
        <v>0</v>
      </c>
      <c r="AK134" s="55">
        <f t="shared" si="139"/>
        <v>0</v>
      </c>
      <c r="AL134" s="55">
        <f t="shared" si="140"/>
        <v>0</v>
      </c>
      <c r="AN134" s="29">
        <v>15</v>
      </c>
      <c r="AO134" s="29">
        <f t="shared" si="141"/>
        <v>0</v>
      </c>
      <c r="AP134" s="29">
        <f t="shared" si="142"/>
        <v>500</v>
      </c>
      <c r="AQ134" s="51" t="s">
        <v>85</v>
      </c>
      <c r="AV134" s="29">
        <f t="shared" si="143"/>
        <v>0</v>
      </c>
      <c r="AW134" s="29">
        <f t="shared" si="144"/>
        <v>0</v>
      </c>
      <c r="AX134" s="29">
        <f t="shared" si="145"/>
        <v>0</v>
      </c>
      <c r="AY134" s="54" t="s">
        <v>645</v>
      </c>
      <c r="AZ134" s="54" t="s">
        <v>654</v>
      </c>
      <c r="BA134" s="48" t="s">
        <v>658</v>
      </c>
      <c r="BC134" s="29">
        <f t="shared" si="146"/>
        <v>0</v>
      </c>
      <c r="BD134" s="29">
        <f t="shared" si="147"/>
        <v>500</v>
      </c>
      <c r="BE134" s="29">
        <v>0</v>
      </c>
      <c r="BF134" s="29">
        <f t="shared" si="148"/>
        <v>0</v>
      </c>
      <c r="BH134" s="55">
        <f t="shared" si="149"/>
        <v>0</v>
      </c>
      <c r="BI134" s="55">
        <f t="shared" si="150"/>
        <v>0</v>
      </c>
      <c r="BJ134" s="55">
        <f t="shared" si="151"/>
        <v>0</v>
      </c>
    </row>
    <row r="135" spans="1:62" ht="12.75">
      <c r="A135" s="36" t="s">
        <v>187</v>
      </c>
      <c r="B135" s="36" t="s">
        <v>59</v>
      </c>
      <c r="C135" s="36" t="s">
        <v>358</v>
      </c>
      <c r="D135" s="36" t="s">
        <v>489</v>
      </c>
      <c r="E135" s="36" t="s">
        <v>606</v>
      </c>
      <c r="F135" s="55">
        <f>'Stavební rozpočet'!F135</f>
        <v>0</v>
      </c>
      <c r="G135" s="55">
        <f>'Stavební rozpočet'!G135</f>
        <v>1000</v>
      </c>
      <c r="H135" s="55">
        <f t="shared" si="126"/>
        <v>0</v>
      </c>
      <c r="I135" s="55">
        <f t="shared" si="127"/>
        <v>0</v>
      </c>
      <c r="J135" s="55">
        <f t="shared" si="128"/>
        <v>0</v>
      </c>
      <c r="K135" s="55">
        <f>'Stavební rozpočet'!K135</f>
        <v>0</v>
      </c>
      <c r="L135" s="55">
        <f t="shared" si="129"/>
        <v>0</v>
      </c>
      <c r="M135" s="51" t="s">
        <v>622</v>
      </c>
      <c r="Z135" s="29">
        <f t="shared" si="130"/>
        <v>0</v>
      </c>
      <c r="AB135" s="29">
        <f t="shared" si="131"/>
        <v>0</v>
      </c>
      <c r="AC135" s="29">
        <f t="shared" si="132"/>
        <v>0</v>
      </c>
      <c r="AD135" s="29">
        <f t="shared" si="133"/>
        <v>0</v>
      </c>
      <c r="AE135" s="29">
        <f t="shared" si="134"/>
        <v>0</v>
      </c>
      <c r="AF135" s="29">
        <f t="shared" si="135"/>
        <v>0</v>
      </c>
      <c r="AG135" s="29">
        <f t="shared" si="136"/>
        <v>0</v>
      </c>
      <c r="AH135" s="29">
        <f t="shared" si="137"/>
        <v>0</v>
      </c>
      <c r="AI135" s="48" t="s">
        <v>59</v>
      </c>
      <c r="AJ135" s="55">
        <f t="shared" si="138"/>
        <v>0</v>
      </c>
      <c r="AK135" s="55">
        <f t="shared" si="139"/>
        <v>0</v>
      </c>
      <c r="AL135" s="55">
        <f t="shared" si="140"/>
        <v>0</v>
      </c>
      <c r="AN135" s="29">
        <v>15</v>
      </c>
      <c r="AO135" s="29">
        <f t="shared" si="141"/>
        <v>0</v>
      </c>
      <c r="AP135" s="29">
        <f t="shared" si="142"/>
        <v>1000</v>
      </c>
      <c r="AQ135" s="51" t="s">
        <v>85</v>
      </c>
      <c r="AV135" s="29">
        <f t="shared" si="143"/>
        <v>0</v>
      </c>
      <c r="AW135" s="29">
        <f t="shared" si="144"/>
        <v>0</v>
      </c>
      <c r="AX135" s="29">
        <f t="shared" si="145"/>
        <v>0</v>
      </c>
      <c r="AY135" s="54" t="s">
        <v>645</v>
      </c>
      <c r="AZ135" s="54" t="s">
        <v>654</v>
      </c>
      <c r="BA135" s="48" t="s">
        <v>658</v>
      </c>
      <c r="BC135" s="29">
        <f t="shared" si="146"/>
        <v>0</v>
      </c>
      <c r="BD135" s="29">
        <f t="shared" si="147"/>
        <v>1000</v>
      </c>
      <c r="BE135" s="29">
        <v>0</v>
      </c>
      <c r="BF135" s="29">
        <f t="shared" si="148"/>
        <v>0</v>
      </c>
      <c r="BH135" s="55">
        <f t="shared" si="149"/>
        <v>0</v>
      </c>
      <c r="BI135" s="55">
        <f t="shared" si="150"/>
        <v>0</v>
      </c>
      <c r="BJ135" s="55">
        <f t="shared" si="151"/>
        <v>0</v>
      </c>
    </row>
    <row r="136" spans="1:62" ht="12.75">
      <c r="A136" s="36" t="s">
        <v>188</v>
      </c>
      <c r="B136" s="36" t="s">
        <v>59</v>
      </c>
      <c r="C136" s="36" t="s">
        <v>359</v>
      </c>
      <c r="D136" s="36" t="s">
        <v>492</v>
      </c>
      <c r="E136" s="36" t="s">
        <v>606</v>
      </c>
      <c r="F136" s="55">
        <f>'Stavební rozpočet'!F136</f>
        <v>0</v>
      </c>
      <c r="G136" s="55">
        <f>'Stavební rozpočet'!G136</f>
        <v>500</v>
      </c>
      <c r="H136" s="55">
        <f t="shared" si="126"/>
        <v>0</v>
      </c>
      <c r="I136" s="55">
        <f t="shared" si="127"/>
        <v>0</v>
      </c>
      <c r="J136" s="55">
        <f t="shared" si="128"/>
        <v>0</v>
      </c>
      <c r="K136" s="55">
        <f>'Stavební rozpočet'!K136</f>
        <v>0</v>
      </c>
      <c r="L136" s="55">
        <f t="shared" si="129"/>
        <v>0</v>
      </c>
      <c r="M136" s="51" t="s">
        <v>622</v>
      </c>
      <c r="Z136" s="29">
        <f t="shared" si="130"/>
        <v>0</v>
      </c>
      <c r="AB136" s="29">
        <f t="shared" si="131"/>
        <v>0</v>
      </c>
      <c r="AC136" s="29">
        <f t="shared" si="132"/>
        <v>0</v>
      </c>
      <c r="AD136" s="29">
        <f t="shared" si="133"/>
        <v>0</v>
      </c>
      <c r="AE136" s="29">
        <f t="shared" si="134"/>
        <v>0</v>
      </c>
      <c r="AF136" s="29">
        <f t="shared" si="135"/>
        <v>0</v>
      </c>
      <c r="AG136" s="29">
        <f t="shared" si="136"/>
        <v>0</v>
      </c>
      <c r="AH136" s="29">
        <f t="shared" si="137"/>
        <v>0</v>
      </c>
      <c r="AI136" s="48" t="s">
        <v>59</v>
      </c>
      <c r="AJ136" s="55">
        <f t="shared" si="138"/>
        <v>0</v>
      </c>
      <c r="AK136" s="55">
        <f t="shared" si="139"/>
        <v>0</v>
      </c>
      <c r="AL136" s="55">
        <f t="shared" si="140"/>
        <v>0</v>
      </c>
      <c r="AN136" s="29">
        <v>15</v>
      </c>
      <c r="AO136" s="29">
        <f t="shared" si="141"/>
        <v>0</v>
      </c>
      <c r="AP136" s="29">
        <f t="shared" si="142"/>
        <v>500</v>
      </c>
      <c r="AQ136" s="51" t="s">
        <v>85</v>
      </c>
      <c r="AV136" s="29">
        <f t="shared" si="143"/>
        <v>0</v>
      </c>
      <c r="AW136" s="29">
        <f t="shared" si="144"/>
        <v>0</v>
      </c>
      <c r="AX136" s="29">
        <f t="shared" si="145"/>
        <v>0</v>
      </c>
      <c r="AY136" s="54" t="s">
        <v>645</v>
      </c>
      <c r="AZ136" s="54" t="s">
        <v>654</v>
      </c>
      <c r="BA136" s="48" t="s">
        <v>658</v>
      </c>
      <c r="BC136" s="29">
        <f t="shared" si="146"/>
        <v>0</v>
      </c>
      <c r="BD136" s="29">
        <f t="shared" si="147"/>
        <v>500</v>
      </c>
      <c r="BE136" s="29">
        <v>0</v>
      </c>
      <c r="BF136" s="29">
        <f t="shared" si="148"/>
        <v>0</v>
      </c>
      <c r="BH136" s="55">
        <f t="shared" si="149"/>
        <v>0</v>
      </c>
      <c r="BI136" s="55">
        <f t="shared" si="150"/>
        <v>0</v>
      </c>
      <c r="BJ136" s="55">
        <f t="shared" si="151"/>
        <v>0</v>
      </c>
    </row>
    <row r="137" spans="1:62" ht="12.75">
      <c r="A137" s="36" t="s">
        <v>189</v>
      </c>
      <c r="B137" s="36" t="s">
        <v>59</v>
      </c>
      <c r="C137" s="36" t="s">
        <v>360</v>
      </c>
      <c r="D137" s="36" t="s">
        <v>493</v>
      </c>
      <c r="E137" s="36" t="s">
        <v>606</v>
      </c>
      <c r="F137" s="55">
        <f>'Stavební rozpočet'!F137</f>
        <v>0</v>
      </c>
      <c r="G137" s="55">
        <f>'Stavební rozpočet'!G137</f>
        <v>1000</v>
      </c>
      <c r="H137" s="55">
        <f t="shared" si="126"/>
        <v>0</v>
      </c>
      <c r="I137" s="55">
        <f t="shared" si="127"/>
        <v>0</v>
      </c>
      <c r="J137" s="55">
        <f t="shared" si="128"/>
        <v>0</v>
      </c>
      <c r="K137" s="55">
        <f>'Stavební rozpočet'!K137</f>
        <v>0</v>
      </c>
      <c r="L137" s="55">
        <f t="shared" si="129"/>
        <v>0</v>
      </c>
      <c r="M137" s="51" t="s">
        <v>622</v>
      </c>
      <c r="Z137" s="29">
        <f t="shared" si="130"/>
        <v>0</v>
      </c>
      <c r="AB137" s="29">
        <f t="shared" si="131"/>
        <v>0</v>
      </c>
      <c r="AC137" s="29">
        <f t="shared" si="132"/>
        <v>0</v>
      </c>
      <c r="AD137" s="29">
        <f t="shared" si="133"/>
        <v>0</v>
      </c>
      <c r="AE137" s="29">
        <f t="shared" si="134"/>
        <v>0</v>
      </c>
      <c r="AF137" s="29">
        <f t="shared" si="135"/>
        <v>0</v>
      </c>
      <c r="AG137" s="29">
        <f t="shared" si="136"/>
        <v>0</v>
      </c>
      <c r="AH137" s="29">
        <f t="shared" si="137"/>
        <v>0</v>
      </c>
      <c r="AI137" s="48" t="s">
        <v>59</v>
      </c>
      <c r="AJ137" s="55">
        <f t="shared" si="138"/>
        <v>0</v>
      </c>
      <c r="AK137" s="55">
        <f t="shared" si="139"/>
        <v>0</v>
      </c>
      <c r="AL137" s="55">
        <f t="shared" si="140"/>
        <v>0</v>
      </c>
      <c r="AN137" s="29">
        <v>15</v>
      </c>
      <c r="AO137" s="29">
        <f t="shared" si="141"/>
        <v>0</v>
      </c>
      <c r="AP137" s="29">
        <f t="shared" si="142"/>
        <v>1000</v>
      </c>
      <c r="AQ137" s="51" t="s">
        <v>85</v>
      </c>
      <c r="AV137" s="29">
        <f t="shared" si="143"/>
        <v>0</v>
      </c>
      <c r="AW137" s="29">
        <f t="shared" si="144"/>
        <v>0</v>
      </c>
      <c r="AX137" s="29">
        <f t="shared" si="145"/>
        <v>0</v>
      </c>
      <c r="AY137" s="54" t="s">
        <v>645</v>
      </c>
      <c r="AZ137" s="54" t="s">
        <v>654</v>
      </c>
      <c r="BA137" s="48" t="s">
        <v>658</v>
      </c>
      <c r="BC137" s="29">
        <f t="shared" si="146"/>
        <v>0</v>
      </c>
      <c r="BD137" s="29">
        <f t="shared" si="147"/>
        <v>1000</v>
      </c>
      <c r="BE137" s="29">
        <v>0</v>
      </c>
      <c r="BF137" s="29">
        <f t="shared" si="148"/>
        <v>0</v>
      </c>
      <c r="BH137" s="55">
        <f t="shared" si="149"/>
        <v>0</v>
      </c>
      <c r="BI137" s="55">
        <f t="shared" si="150"/>
        <v>0</v>
      </c>
      <c r="BJ137" s="55">
        <f t="shared" si="151"/>
        <v>0</v>
      </c>
    </row>
    <row r="138" spans="1:47" ht="12.75">
      <c r="A138" s="35"/>
      <c r="B138" s="42" t="s">
        <v>59</v>
      </c>
      <c r="C138" s="42" t="s">
        <v>361</v>
      </c>
      <c r="D138" s="42" t="s">
        <v>544</v>
      </c>
      <c r="E138" s="35" t="s">
        <v>57</v>
      </c>
      <c r="F138" s="35" t="s">
        <v>57</v>
      </c>
      <c r="G138" s="35" t="s">
        <v>57</v>
      </c>
      <c r="H138" s="59">
        <f>SUM(H139:H143)</f>
        <v>0</v>
      </c>
      <c r="I138" s="59">
        <f>SUM(I139:I143)</f>
        <v>0</v>
      </c>
      <c r="J138" s="59">
        <f>SUM(J139:J143)</f>
        <v>0</v>
      </c>
      <c r="K138" s="48"/>
      <c r="L138" s="59">
        <f>SUM(L139:L143)</f>
        <v>0</v>
      </c>
      <c r="M138" s="48"/>
      <c r="AI138" s="48" t="s">
        <v>59</v>
      </c>
      <c r="AS138" s="59">
        <f>SUM(AJ139:AJ143)</f>
        <v>0</v>
      </c>
      <c r="AT138" s="59">
        <f>SUM(AK139:AK143)</f>
        <v>0</v>
      </c>
      <c r="AU138" s="59">
        <f>SUM(AL139:AL143)</f>
        <v>0</v>
      </c>
    </row>
    <row r="139" spans="1:62" ht="12.75">
      <c r="A139" s="36" t="s">
        <v>190</v>
      </c>
      <c r="B139" s="36" t="s">
        <v>59</v>
      </c>
      <c r="C139" s="36" t="s">
        <v>362</v>
      </c>
      <c r="D139" s="36" t="s">
        <v>545</v>
      </c>
      <c r="E139" s="36" t="s">
        <v>606</v>
      </c>
      <c r="F139" s="55">
        <f>'Stavební rozpočet'!F139</f>
        <v>0</v>
      </c>
      <c r="G139" s="55">
        <f>'Stavební rozpočet'!G139</f>
        <v>12500</v>
      </c>
      <c r="H139" s="55">
        <f>F139*AO139</f>
        <v>0</v>
      </c>
      <c r="I139" s="55">
        <f>F139*AP139</f>
        <v>0</v>
      </c>
      <c r="J139" s="55">
        <f>F139*G139</f>
        <v>0</v>
      </c>
      <c r="K139" s="55">
        <f>'Stavební rozpočet'!K139</f>
        <v>0.075</v>
      </c>
      <c r="L139" s="55">
        <f>F139*K139</f>
        <v>0</v>
      </c>
      <c r="M139" s="51" t="s">
        <v>622</v>
      </c>
      <c r="Z139" s="29">
        <f>IF(AQ139="5",BJ139,0)</f>
        <v>0</v>
      </c>
      <c r="AB139" s="29">
        <f>IF(AQ139="1",BH139,0)</f>
        <v>0</v>
      </c>
      <c r="AC139" s="29">
        <f>IF(AQ139="1",BI139,0)</f>
        <v>0</v>
      </c>
      <c r="AD139" s="29">
        <f>IF(AQ139="7",BH139,0)</f>
        <v>0</v>
      </c>
      <c r="AE139" s="29">
        <f>IF(AQ139="7",BI139,0)</f>
        <v>0</v>
      </c>
      <c r="AF139" s="29">
        <f>IF(AQ139="2",BH139,0)</f>
        <v>0</v>
      </c>
      <c r="AG139" s="29">
        <f>IF(AQ139="2",BI139,0)</f>
        <v>0</v>
      </c>
      <c r="AH139" s="29">
        <f>IF(AQ139="0",BJ139,0)</f>
        <v>0</v>
      </c>
      <c r="AI139" s="48" t="s">
        <v>59</v>
      </c>
      <c r="AJ139" s="55">
        <f>IF(AN139=0,J139,0)</f>
        <v>0</v>
      </c>
      <c r="AK139" s="55">
        <f>IF(AN139=15,J139,0)</f>
        <v>0</v>
      </c>
      <c r="AL139" s="55">
        <f>IF(AN139=21,J139,0)</f>
        <v>0</v>
      </c>
      <c r="AN139" s="29">
        <v>15</v>
      </c>
      <c r="AO139" s="29">
        <f>G139*0.87</f>
        <v>10875</v>
      </c>
      <c r="AP139" s="29">
        <f>G139*(1-0.87)</f>
        <v>1625</v>
      </c>
      <c r="AQ139" s="51" t="s">
        <v>85</v>
      </c>
      <c r="AV139" s="29">
        <f>AW139+AX139</f>
        <v>0</v>
      </c>
      <c r="AW139" s="29">
        <f>F139*AO139</f>
        <v>0</v>
      </c>
      <c r="AX139" s="29">
        <f>F139*AP139</f>
        <v>0</v>
      </c>
      <c r="AY139" s="54" t="s">
        <v>646</v>
      </c>
      <c r="AZ139" s="54" t="s">
        <v>655</v>
      </c>
      <c r="BA139" s="48" t="s">
        <v>658</v>
      </c>
      <c r="BC139" s="29">
        <f>AW139+AX139</f>
        <v>0</v>
      </c>
      <c r="BD139" s="29">
        <f>G139/(100-BE139)*100</f>
        <v>12500</v>
      </c>
      <c r="BE139" s="29">
        <v>0</v>
      </c>
      <c r="BF139" s="29">
        <f>L139</f>
        <v>0</v>
      </c>
      <c r="BH139" s="55">
        <f>F139*AO139</f>
        <v>0</v>
      </c>
      <c r="BI139" s="55">
        <f>F139*AP139</f>
        <v>0</v>
      </c>
      <c r="BJ139" s="55">
        <f>F139*G139</f>
        <v>0</v>
      </c>
    </row>
    <row r="140" spans="1:62" ht="12.75">
      <c r="A140" s="36" t="s">
        <v>191</v>
      </c>
      <c r="B140" s="36" t="s">
        <v>59</v>
      </c>
      <c r="C140" s="36" t="s">
        <v>363</v>
      </c>
      <c r="D140" s="36" t="s">
        <v>547</v>
      </c>
      <c r="E140" s="36" t="s">
        <v>606</v>
      </c>
      <c r="F140" s="55">
        <f>'Stavební rozpočet'!F140</f>
        <v>0</v>
      </c>
      <c r="G140" s="55">
        <f>'Stavební rozpočet'!G140</f>
        <v>12800</v>
      </c>
      <c r="H140" s="55">
        <f>F140*AO140</f>
        <v>0</v>
      </c>
      <c r="I140" s="55">
        <f>F140*AP140</f>
        <v>0</v>
      </c>
      <c r="J140" s="55">
        <f>F140*G140</f>
        <v>0</v>
      </c>
      <c r="K140" s="55">
        <f>'Stavební rozpočet'!K140</f>
        <v>0.085</v>
      </c>
      <c r="L140" s="55">
        <f>F140*K140</f>
        <v>0</v>
      </c>
      <c r="M140" s="51" t="s">
        <v>622</v>
      </c>
      <c r="Z140" s="29">
        <f>IF(AQ140="5",BJ140,0)</f>
        <v>0</v>
      </c>
      <c r="AB140" s="29">
        <f>IF(AQ140="1",BH140,0)</f>
        <v>0</v>
      </c>
      <c r="AC140" s="29">
        <f>IF(AQ140="1",BI140,0)</f>
        <v>0</v>
      </c>
      <c r="AD140" s="29">
        <f>IF(AQ140="7",BH140,0)</f>
        <v>0</v>
      </c>
      <c r="AE140" s="29">
        <f>IF(AQ140="7",BI140,0)</f>
        <v>0</v>
      </c>
      <c r="AF140" s="29">
        <f>IF(AQ140="2",BH140,0)</f>
        <v>0</v>
      </c>
      <c r="AG140" s="29">
        <f>IF(AQ140="2",BI140,0)</f>
        <v>0</v>
      </c>
      <c r="AH140" s="29">
        <f>IF(AQ140="0",BJ140,0)</f>
        <v>0</v>
      </c>
      <c r="AI140" s="48" t="s">
        <v>59</v>
      </c>
      <c r="AJ140" s="55">
        <f>IF(AN140=0,J140,0)</f>
        <v>0</v>
      </c>
      <c r="AK140" s="55">
        <f>IF(AN140=15,J140,0)</f>
        <v>0</v>
      </c>
      <c r="AL140" s="55">
        <f>IF(AN140=21,J140,0)</f>
        <v>0</v>
      </c>
      <c r="AN140" s="29">
        <v>15</v>
      </c>
      <c r="AO140" s="29">
        <f>G140*0.87</f>
        <v>11136</v>
      </c>
      <c r="AP140" s="29">
        <f>G140*(1-0.87)</f>
        <v>1664</v>
      </c>
      <c r="AQ140" s="51" t="s">
        <v>85</v>
      </c>
      <c r="AV140" s="29">
        <f>AW140+AX140</f>
        <v>0</v>
      </c>
      <c r="AW140" s="29">
        <f>F140*AO140</f>
        <v>0</v>
      </c>
      <c r="AX140" s="29">
        <f>F140*AP140</f>
        <v>0</v>
      </c>
      <c r="AY140" s="54" t="s">
        <v>646</v>
      </c>
      <c r="AZ140" s="54" t="s">
        <v>655</v>
      </c>
      <c r="BA140" s="48" t="s">
        <v>658</v>
      </c>
      <c r="BC140" s="29">
        <f>AW140+AX140</f>
        <v>0</v>
      </c>
      <c r="BD140" s="29">
        <f>G140/(100-BE140)*100</f>
        <v>12800</v>
      </c>
      <c r="BE140" s="29">
        <v>0</v>
      </c>
      <c r="BF140" s="29">
        <f>L140</f>
        <v>0</v>
      </c>
      <c r="BH140" s="55">
        <f>F140*AO140</f>
        <v>0</v>
      </c>
      <c r="BI140" s="55">
        <f>F140*AP140</f>
        <v>0</v>
      </c>
      <c r="BJ140" s="55">
        <f>F140*G140</f>
        <v>0</v>
      </c>
    </row>
    <row r="141" spans="1:62" ht="12.75">
      <c r="A141" s="36" t="s">
        <v>192</v>
      </c>
      <c r="B141" s="36" t="s">
        <v>59</v>
      </c>
      <c r="C141" s="36" t="s">
        <v>364</v>
      </c>
      <c r="D141" s="36" t="s">
        <v>548</v>
      </c>
      <c r="E141" s="36" t="s">
        <v>606</v>
      </c>
      <c r="F141" s="55">
        <f>'Stavební rozpočet'!F141</f>
        <v>0</v>
      </c>
      <c r="G141" s="55">
        <f>'Stavební rozpočet'!G141</f>
        <v>9200</v>
      </c>
      <c r="H141" s="55">
        <f>F141*AO141</f>
        <v>0</v>
      </c>
      <c r="I141" s="55">
        <f>F141*AP141</f>
        <v>0</v>
      </c>
      <c r="J141" s="55">
        <f>F141*G141</f>
        <v>0</v>
      </c>
      <c r="K141" s="55">
        <f>'Stavební rozpočet'!K141</f>
        <v>0.063</v>
      </c>
      <c r="L141" s="55">
        <f>F141*K141</f>
        <v>0</v>
      </c>
      <c r="M141" s="51" t="s">
        <v>622</v>
      </c>
      <c r="Z141" s="29">
        <f>IF(AQ141="5",BJ141,0)</f>
        <v>0</v>
      </c>
      <c r="AB141" s="29">
        <f>IF(AQ141="1",BH141,0)</f>
        <v>0</v>
      </c>
      <c r="AC141" s="29">
        <f>IF(AQ141="1",BI141,0)</f>
        <v>0</v>
      </c>
      <c r="AD141" s="29">
        <f>IF(AQ141="7",BH141,0)</f>
        <v>0</v>
      </c>
      <c r="AE141" s="29">
        <f>IF(AQ141="7",BI141,0)</f>
        <v>0</v>
      </c>
      <c r="AF141" s="29">
        <f>IF(AQ141="2",BH141,0)</f>
        <v>0</v>
      </c>
      <c r="AG141" s="29">
        <f>IF(AQ141="2",BI141,0)</f>
        <v>0</v>
      </c>
      <c r="AH141" s="29">
        <f>IF(AQ141="0",BJ141,0)</f>
        <v>0</v>
      </c>
      <c r="AI141" s="48" t="s">
        <v>59</v>
      </c>
      <c r="AJ141" s="55">
        <f>IF(AN141=0,J141,0)</f>
        <v>0</v>
      </c>
      <c r="AK141" s="55">
        <f>IF(AN141=15,J141,0)</f>
        <v>0</v>
      </c>
      <c r="AL141" s="55">
        <f>IF(AN141=21,J141,0)</f>
        <v>0</v>
      </c>
      <c r="AN141" s="29">
        <v>15</v>
      </c>
      <c r="AO141" s="29">
        <f>G141*0.87</f>
        <v>8004</v>
      </c>
      <c r="AP141" s="29">
        <f>G141*(1-0.87)</f>
        <v>1196</v>
      </c>
      <c r="AQ141" s="51" t="s">
        <v>85</v>
      </c>
      <c r="AV141" s="29">
        <f>AW141+AX141</f>
        <v>0</v>
      </c>
      <c r="AW141" s="29">
        <f>F141*AO141</f>
        <v>0</v>
      </c>
      <c r="AX141" s="29">
        <f>F141*AP141</f>
        <v>0</v>
      </c>
      <c r="AY141" s="54" t="s">
        <v>646</v>
      </c>
      <c r="AZ141" s="54" t="s">
        <v>655</v>
      </c>
      <c r="BA141" s="48" t="s">
        <v>658</v>
      </c>
      <c r="BC141" s="29">
        <f>AW141+AX141</f>
        <v>0</v>
      </c>
      <c r="BD141" s="29">
        <f>G141/(100-BE141)*100</f>
        <v>9200</v>
      </c>
      <c r="BE141" s="29">
        <v>0</v>
      </c>
      <c r="BF141" s="29">
        <f>L141</f>
        <v>0</v>
      </c>
      <c r="BH141" s="55">
        <f>F141*AO141</f>
        <v>0</v>
      </c>
      <c r="BI141" s="55">
        <f>F141*AP141</f>
        <v>0</v>
      </c>
      <c r="BJ141" s="55">
        <f>F141*G141</f>
        <v>0</v>
      </c>
    </row>
    <row r="142" spans="1:62" ht="12.75">
      <c r="A142" s="36" t="s">
        <v>193</v>
      </c>
      <c r="B142" s="36" t="s">
        <v>59</v>
      </c>
      <c r="C142" s="36" t="s">
        <v>365</v>
      </c>
      <c r="D142" s="36" t="s">
        <v>550</v>
      </c>
      <c r="E142" s="36" t="s">
        <v>606</v>
      </c>
      <c r="F142" s="55">
        <f>'Stavební rozpočet'!F142</f>
        <v>0</v>
      </c>
      <c r="G142" s="55">
        <f>'Stavební rozpočet'!G142</f>
        <v>9800</v>
      </c>
      <c r="H142" s="55">
        <f>F142*AO142</f>
        <v>0</v>
      </c>
      <c r="I142" s="55">
        <f>F142*AP142</f>
        <v>0</v>
      </c>
      <c r="J142" s="55">
        <f>F142*G142</f>
        <v>0</v>
      </c>
      <c r="K142" s="55">
        <f>'Stavební rozpočet'!K142</f>
        <v>0.075</v>
      </c>
      <c r="L142" s="55">
        <f>F142*K142</f>
        <v>0</v>
      </c>
      <c r="M142" s="51" t="s">
        <v>622</v>
      </c>
      <c r="Z142" s="29">
        <f>IF(AQ142="5",BJ142,0)</f>
        <v>0</v>
      </c>
      <c r="AB142" s="29">
        <f>IF(AQ142="1",BH142,0)</f>
        <v>0</v>
      </c>
      <c r="AC142" s="29">
        <f>IF(AQ142="1",BI142,0)</f>
        <v>0</v>
      </c>
      <c r="AD142" s="29">
        <f>IF(AQ142="7",BH142,0)</f>
        <v>0</v>
      </c>
      <c r="AE142" s="29">
        <f>IF(AQ142="7",BI142,0)</f>
        <v>0</v>
      </c>
      <c r="AF142" s="29">
        <f>IF(AQ142="2",BH142,0)</f>
        <v>0</v>
      </c>
      <c r="AG142" s="29">
        <f>IF(AQ142="2",BI142,0)</f>
        <v>0</v>
      </c>
      <c r="AH142" s="29">
        <f>IF(AQ142="0",BJ142,0)</f>
        <v>0</v>
      </c>
      <c r="AI142" s="48" t="s">
        <v>59</v>
      </c>
      <c r="AJ142" s="55">
        <f>IF(AN142=0,J142,0)</f>
        <v>0</v>
      </c>
      <c r="AK142" s="55">
        <f>IF(AN142=15,J142,0)</f>
        <v>0</v>
      </c>
      <c r="AL142" s="55">
        <f>IF(AN142=21,J142,0)</f>
        <v>0</v>
      </c>
      <c r="AN142" s="29">
        <v>15</v>
      </c>
      <c r="AO142" s="29">
        <f>G142*0.87</f>
        <v>8526</v>
      </c>
      <c r="AP142" s="29">
        <f>G142*(1-0.87)</f>
        <v>1274</v>
      </c>
      <c r="AQ142" s="51" t="s">
        <v>85</v>
      </c>
      <c r="AV142" s="29">
        <f>AW142+AX142</f>
        <v>0</v>
      </c>
      <c r="AW142" s="29">
        <f>F142*AO142</f>
        <v>0</v>
      </c>
      <c r="AX142" s="29">
        <f>F142*AP142</f>
        <v>0</v>
      </c>
      <c r="AY142" s="54" t="s">
        <v>646</v>
      </c>
      <c r="AZ142" s="54" t="s">
        <v>655</v>
      </c>
      <c r="BA142" s="48" t="s">
        <v>658</v>
      </c>
      <c r="BC142" s="29">
        <f>AW142+AX142</f>
        <v>0</v>
      </c>
      <c r="BD142" s="29">
        <f>G142/(100-BE142)*100</f>
        <v>9800</v>
      </c>
      <c r="BE142" s="29">
        <v>0</v>
      </c>
      <c r="BF142" s="29">
        <f>L142</f>
        <v>0</v>
      </c>
      <c r="BH142" s="55">
        <f>F142*AO142</f>
        <v>0</v>
      </c>
      <c r="BI142" s="55">
        <f>F142*AP142</f>
        <v>0</v>
      </c>
      <c r="BJ142" s="55">
        <f>F142*G142</f>
        <v>0</v>
      </c>
    </row>
    <row r="143" spans="1:62" ht="12.75">
      <c r="A143" s="36" t="s">
        <v>194</v>
      </c>
      <c r="B143" s="36" t="s">
        <v>59</v>
      </c>
      <c r="C143" s="36" t="s">
        <v>366</v>
      </c>
      <c r="D143" s="36" t="s">
        <v>551</v>
      </c>
      <c r="E143" s="36" t="s">
        <v>612</v>
      </c>
      <c r="F143" s="55">
        <f>'Stavební rozpočet'!F143</f>
        <v>0</v>
      </c>
      <c r="G143" s="55">
        <f>'Stavební rozpočet'!G143</f>
        <v>991</v>
      </c>
      <c r="H143" s="55">
        <f>F143*AO143</f>
        <v>0</v>
      </c>
      <c r="I143" s="55">
        <f>F143*AP143</f>
        <v>0</v>
      </c>
      <c r="J143" s="55">
        <f>F143*G143</f>
        <v>0</v>
      </c>
      <c r="K143" s="55">
        <f>'Stavební rozpočet'!K143</f>
        <v>0</v>
      </c>
      <c r="L143" s="55">
        <f>F143*K143</f>
        <v>0</v>
      </c>
      <c r="M143" s="51" t="s">
        <v>622</v>
      </c>
      <c r="Z143" s="29">
        <f>IF(AQ143="5",BJ143,0)</f>
        <v>0</v>
      </c>
      <c r="AB143" s="29">
        <f>IF(AQ143="1",BH143,0)</f>
        <v>0</v>
      </c>
      <c r="AC143" s="29">
        <f>IF(AQ143="1",BI143,0)</f>
        <v>0</v>
      </c>
      <c r="AD143" s="29">
        <f>IF(AQ143="7",BH143,0)</f>
        <v>0</v>
      </c>
      <c r="AE143" s="29">
        <f>IF(AQ143="7",BI143,0)</f>
        <v>0</v>
      </c>
      <c r="AF143" s="29">
        <f>IF(AQ143="2",BH143,0)</f>
        <v>0</v>
      </c>
      <c r="AG143" s="29">
        <f>IF(AQ143="2",BI143,0)</f>
        <v>0</v>
      </c>
      <c r="AH143" s="29">
        <f>IF(AQ143="0",BJ143,0)</f>
        <v>0</v>
      </c>
      <c r="AI143" s="48" t="s">
        <v>59</v>
      </c>
      <c r="AJ143" s="55">
        <f>IF(AN143=0,J143,0)</f>
        <v>0</v>
      </c>
      <c r="AK143" s="55">
        <f>IF(AN143=15,J143,0)</f>
        <v>0</v>
      </c>
      <c r="AL143" s="55">
        <f>IF(AN143=21,J143,0)</f>
        <v>0</v>
      </c>
      <c r="AN143" s="29">
        <v>15</v>
      </c>
      <c r="AO143" s="29">
        <f>G143*0</f>
        <v>0</v>
      </c>
      <c r="AP143" s="29">
        <f>G143*(1-0)</f>
        <v>991</v>
      </c>
      <c r="AQ143" s="51" t="s">
        <v>83</v>
      </c>
      <c r="AV143" s="29">
        <f>AW143+AX143</f>
        <v>0</v>
      </c>
      <c r="AW143" s="29">
        <f>F143*AO143</f>
        <v>0</v>
      </c>
      <c r="AX143" s="29">
        <f>F143*AP143</f>
        <v>0</v>
      </c>
      <c r="AY143" s="54" t="s">
        <v>646</v>
      </c>
      <c r="AZ143" s="54" t="s">
        <v>655</v>
      </c>
      <c r="BA143" s="48" t="s">
        <v>658</v>
      </c>
      <c r="BC143" s="29">
        <f>AW143+AX143</f>
        <v>0</v>
      </c>
      <c r="BD143" s="29">
        <f>G143/(100-BE143)*100</f>
        <v>991</v>
      </c>
      <c r="BE143" s="29">
        <v>0</v>
      </c>
      <c r="BF143" s="29">
        <f>L143</f>
        <v>0</v>
      </c>
      <c r="BH143" s="55">
        <f>F143*AO143</f>
        <v>0</v>
      </c>
      <c r="BI143" s="55">
        <f>F143*AP143</f>
        <v>0</v>
      </c>
      <c r="BJ143" s="55">
        <f>F143*G143</f>
        <v>0</v>
      </c>
    </row>
    <row r="144" spans="1:47" ht="12.75">
      <c r="A144" s="35"/>
      <c r="B144" s="42" t="s">
        <v>59</v>
      </c>
      <c r="C144" s="42" t="s">
        <v>367</v>
      </c>
      <c r="D144" s="42" t="s">
        <v>552</v>
      </c>
      <c r="E144" s="35" t="s">
        <v>57</v>
      </c>
      <c r="F144" s="35" t="s">
        <v>57</v>
      </c>
      <c r="G144" s="35" t="s">
        <v>57</v>
      </c>
      <c r="H144" s="59">
        <f>SUM(H145:H153)</f>
        <v>0</v>
      </c>
      <c r="I144" s="59">
        <f>SUM(I145:I153)</f>
        <v>0</v>
      </c>
      <c r="J144" s="59">
        <f>SUM(J145:J153)</f>
        <v>0</v>
      </c>
      <c r="K144" s="48"/>
      <c r="L144" s="59">
        <f>SUM(L145:L153)</f>
        <v>0</v>
      </c>
      <c r="M144" s="48"/>
      <c r="AI144" s="48" t="s">
        <v>59</v>
      </c>
      <c r="AS144" s="59">
        <f>SUM(AJ145:AJ153)</f>
        <v>0</v>
      </c>
      <c r="AT144" s="59">
        <f>SUM(AK145:AK153)</f>
        <v>0</v>
      </c>
      <c r="AU144" s="59">
        <f>SUM(AL145:AL153)</f>
        <v>0</v>
      </c>
    </row>
    <row r="145" spans="1:62" ht="12.75">
      <c r="A145" s="36" t="s">
        <v>195</v>
      </c>
      <c r="B145" s="36" t="s">
        <v>59</v>
      </c>
      <c r="C145" s="36" t="s">
        <v>368</v>
      </c>
      <c r="D145" s="36" t="s">
        <v>553</v>
      </c>
      <c r="E145" s="36" t="s">
        <v>608</v>
      </c>
      <c r="F145" s="55">
        <f>'Stavební rozpočet'!F145</f>
        <v>0</v>
      </c>
      <c r="G145" s="55">
        <f>'Stavební rozpočet'!G145</f>
        <v>91.9</v>
      </c>
      <c r="H145" s="55">
        <f aca="true" t="shared" si="152" ref="H145:H153">F145*AO145</f>
        <v>0</v>
      </c>
      <c r="I145" s="55">
        <f aca="true" t="shared" si="153" ref="I145:I153">F145*AP145</f>
        <v>0</v>
      </c>
      <c r="J145" s="55">
        <f aca="true" t="shared" si="154" ref="J145:J153">F145*G145</f>
        <v>0</v>
      </c>
      <c r="K145" s="55">
        <f>'Stavební rozpočet'!K145</f>
        <v>0.003</v>
      </c>
      <c r="L145" s="55">
        <f aca="true" t="shared" si="155" ref="L145:L153">F145*K145</f>
        <v>0</v>
      </c>
      <c r="M145" s="51" t="s">
        <v>622</v>
      </c>
      <c r="Z145" s="29">
        <f aca="true" t="shared" si="156" ref="Z145:Z153">IF(AQ145="5",BJ145,0)</f>
        <v>0</v>
      </c>
      <c r="AB145" s="29">
        <f aca="true" t="shared" si="157" ref="AB145:AB153">IF(AQ145="1",BH145,0)</f>
        <v>0</v>
      </c>
      <c r="AC145" s="29">
        <f aca="true" t="shared" si="158" ref="AC145:AC153">IF(AQ145="1",BI145,0)</f>
        <v>0</v>
      </c>
      <c r="AD145" s="29">
        <f aca="true" t="shared" si="159" ref="AD145:AD153">IF(AQ145="7",BH145,0)</f>
        <v>0</v>
      </c>
      <c r="AE145" s="29">
        <f aca="true" t="shared" si="160" ref="AE145:AE153">IF(AQ145="7",BI145,0)</f>
        <v>0</v>
      </c>
      <c r="AF145" s="29">
        <f aca="true" t="shared" si="161" ref="AF145:AF153">IF(AQ145="2",BH145,0)</f>
        <v>0</v>
      </c>
      <c r="AG145" s="29">
        <f aca="true" t="shared" si="162" ref="AG145:AG153">IF(AQ145="2",BI145,0)</f>
        <v>0</v>
      </c>
      <c r="AH145" s="29">
        <f aca="true" t="shared" si="163" ref="AH145:AH153">IF(AQ145="0",BJ145,0)</f>
        <v>0</v>
      </c>
      <c r="AI145" s="48" t="s">
        <v>59</v>
      </c>
      <c r="AJ145" s="55">
        <f aca="true" t="shared" si="164" ref="AJ145:AJ153">IF(AN145=0,J145,0)</f>
        <v>0</v>
      </c>
      <c r="AK145" s="55">
        <f aca="true" t="shared" si="165" ref="AK145:AK153">IF(AN145=15,J145,0)</f>
        <v>0</v>
      </c>
      <c r="AL145" s="55">
        <f aca="true" t="shared" si="166" ref="AL145:AL153">IF(AN145=21,J145,0)</f>
        <v>0</v>
      </c>
      <c r="AN145" s="29">
        <v>15</v>
      </c>
      <c r="AO145" s="29">
        <f>G145*0</f>
        <v>0</v>
      </c>
      <c r="AP145" s="29">
        <f>G145*(1-0)</f>
        <v>91.9</v>
      </c>
      <c r="AQ145" s="51" t="s">
        <v>85</v>
      </c>
      <c r="AV145" s="29">
        <f aca="true" t="shared" si="167" ref="AV145:AV153">AW145+AX145</f>
        <v>0</v>
      </c>
      <c r="AW145" s="29">
        <f aca="true" t="shared" si="168" ref="AW145:AW153">F145*AO145</f>
        <v>0</v>
      </c>
      <c r="AX145" s="29">
        <f aca="true" t="shared" si="169" ref="AX145:AX153">F145*AP145</f>
        <v>0</v>
      </c>
      <c r="AY145" s="54" t="s">
        <v>647</v>
      </c>
      <c r="AZ145" s="54" t="s">
        <v>656</v>
      </c>
      <c r="BA145" s="48" t="s">
        <v>658</v>
      </c>
      <c r="BC145" s="29">
        <f aca="true" t="shared" si="170" ref="BC145:BC153">AW145+AX145</f>
        <v>0</v>
      </c>
      <c r="BD145" s="29">
        <f aca="true" t="shared" si="171" ref="BD145:BD153">G145/(100-BE145)*100</f>
        <v>91.9</v>
      </c>
      <c r="BE145" s="29">
        <v>0</v>
      </c>
      <c r="BF145" s="29">
        <f aca="true" t="shared" si="172" ref="BF145:BF153">L145</f>
        <v>0</v>
      </c>
      <c r="BH145" s="55">
        <f aca="true" t="shared" si="173" ref="BH145:BH153">F145*AO145</f>
        <v>0</v>
      </c>
      <c r="BI145" s="55">
        <f aca="true" t="shared" si="174" ref="BI145:BI153">F145*AP145</f>
        <v>0</v>
      </c>
      <c r="BJ145" s="55">
        <f aca="true" t="shared" si="175" ref="BJ145:BJ153">F145*G145</f>
        <v>0</v>
      </c>
    </row>
    <row r="146" spans="1:62" ht="12.75">
      <c r="A146" s="36" t="s">
        <v>196</v>
      </c>
      <c r="B146" s="36" t="s">
        <v>59</v>
      </c>
      <c r="C146" s="36" t="s">
        <v>369</v>
      </c>
      <c r="D146" s="36" t="s">
        <v>554</v>
      </c>
      <c r="E146" s="36" t="s">
        <v>608</v>
      </c>
      <c r="F146" s="55">
        <f>'Stavební rozpočet'!F146</f>
        <v>0</v>
      </c>
      <c r="G146" s="55">
        <f>'Stavební rozpočet'!G146</f>
        <v>267</v>
      </c>
      <c r="H146" s="55">
        <f t="shared" si="152"/>
        <v>0</v>
      </c>
      <c r="I146" s="55">
        <f t="shared" si="153"/>
        <v>0</v>
      </c>
      <c r="J146" s="55">
        <f t="shared" si="154"/>
        <v>0</v>
      </c>
      <c r="K146" s="55">
        <f>'Stavební rozpočet'!K146</f>
        <v>0</v>
      </c>
      <c r="L146" s="55">
        <f t="shared" si="155"/>
        <v>0</v>
      </c>
      <c r="M146" s="51" t="s">
        <v>622</v>
      </c>
      <c r="Z146" s="29">
        <f t="shared" si="156"/>
        <v>0</v>
      </c>
      <c r="AB146" s="29">
        <f t="shared" si="157"/>
        <v>0</v>
      </c>
      <c r="AC146" s="29">
        <f t="shared" si="158"/>
        <v>0</v>
      </c>
      <c r="AD146" s="29">
        <f t="shared" si="159"/>
        <v>0</v>
      </c>
      <c r="AE146" s="29">
        <f t="shared" si="160"/>
        <v>0</v>
      </c>
      <c r="AF146" s="29">
        <f t="shared" si="161"/>
        <v>0</v>
      </c>
      <c r="AG146" s="29">
        <f t="shared" si="162"/>
        <v>0</v>
      </c>
      <c r="AH146" s="29">
        <f t="shared" si="163"/>
        <v>0</v>
      </c>
      <c r="AI146" s="48" t="s">
        <v>59</v>
      </c>
      <c r="AJ146" s="55">
        <f t="shared" si="164"/>
        <v>0</v>
      </c>
      <c r="AK146" s="55">
        <f t="shared" si="165"/>
        <v>0</v>
      </c>
      <c r="AL146" s="55">
        <f t="shared" si="166"/>
        <v>0</v>
      </c>
      <c r="AN146" s="29">
        <v>15</v>
      </c>
      <c r="AO146" s="29">
        <f>G146*0</f>
        <v>0</v>
      </c>
      <c r="AP146" s="29">
        <f>G146*(1-0)</f>
        <v>267</v>
      </c>
      <c r="AQ146" s="51" t="s">
        <v>85</v>
      </c>
      <c r="AV146" s="29">
        <f t="shared" si="167"/>
        <v>0</v>
      </c>
      <c r="AW146" s="29">
        <f t="shared" si="168"/>
        <v>0</v>
      </c>
      <c r="AX146" s="29">
        <f t="shared" si="169"/>
        <v>0</v>
      </c>
      <c r="AY146" s="54" t="s">
        <v>647</v>
      </c>
      <c r="AZ146" s="54" t="s">
        <v>656</v>
      </c>
      <c r="BA146" s="48" t="s">
        <v>658</v>
      </c>
      <c r="BC146" s="29">
        <f t="shared" si="170"/>
        <v>0</v>
      </c>
      <c r="BD146" s="29">
        <f t="shared" si="171"/>
        <v>267</v>
      </c>
      <c r="BE146" s="29">
        <v>0</v>
      </c>
      <c r="BF146" s="29">
        <f t="shared" si="172"/>
        <v>0</v>
      </c>
      <c r="BH146" s="55">
        <f t="shared" si="173"/>
        <v>0</v>
      </c>
      <c r="BI146" s="55">
        <f t="shared" si="174"/>
        <v>0</v>
      </c>
      <c r="BJ146" s="55">
        <f t="shared" si="175"/>
        <v>0</v>
      </c>
    </row>
    <row r="147" spans="1:62" ht="12.75">
      <c r="A147" s="36" t="s">
        <v>197</v>
      </c>
      <c r="B147" s="36" t="s">
        <v>59</v>
      </c>
      <c r="C147" s="36" t="s">
        <v>370</v>
      </c>
      <c r="D147" s="36" t="s">
        <v>555</v>
      </c>
      <c r="E147" s="36" t="s">
        <v>608</v>
      </c>
      <c r="F147" s="55">
        <f>'Stavební rozpočet'!F147</f>
        <v>0</v>
      </c>
      <c r="G147" s="55">
        <f>'Stavební rozpočet'!G147</f>
        <v>296</v>
      </c>
      <c r="H147" s="55">
        <f t="shared" si="152"/>
        <v>0</v>
      </c>
      <c r="I147" s="55">
        <f t="shared" si="153"/>
        <v>0</v>
      </c>
      <c r="J147" s="55">
        <f t="shared" si="154"/>
        <v>0</v>
      </c>
      <c r="K147" s="55">
        <f>'Stavební rozpočet'!K147</f>
        <v>0</v>
      </c>
      <c r="L147" s="55">
        <f t="shared" si="155"/>
        <v>0</v>
      </c>
      <c r="M147" s="51" t="s">
        <v>622</v>
      </c>
      <c r="Z147" s="29">
        <f t="shared" si="156"/>
        <v>0</v>
      </c>
      <c r="AB147" s="29">
        <f t="shared" si="157"/>
        <v>0</v>
      </c>
      <c r="AC147" s="29">
        <f t="shared" si="158"/>
        <v>0</v>
      </c>
      <c r="AD147" s="29">
        <f t="shared" si="159"/>
        <v>0</v>
      </c>
      <c r="AE147" s="29">
        <f t="shared" si="160"/>
        <v>0</v>
      </c>
      <c r="AF147" s="29">
        <f t="shared" si="161"/>
        <v>0</v>
      </c>
      <c r="AG147" s="29">
        <f t="shared" si="162"/>
        <v>0</v>
      </c>
      <c r="AH147" s="29">
        <f t="shared" si="163"/>
        <v>0</v>
      </c>
      <c r="AI147" s="48" t="s">
        <v>59</v>
      </c>
      <c r="AJ147" s="55">
        <f t="shared" si="164"/>
        <v>0</v>
      </c>
      <c r="AK147" s="55">
        <f t="shared" si="165"/>
        <v>0</v>
      </c>
      <c r="AL147" s="55">
        <f t="shared" si="166"/>
        <v>0</v>
      </c>
      <c r="AN147" s="29">
        <v>15</v>
      </c>
      <c r="AO147" s="29">
        <f>G147*0</f>
        <v>0</v>
      </c>
      <c r="AP147" s="29">
        <f>G147*(1-0)</f>
        <v>296</v>
      </c>
      <c r="AQ147" s="51" t="s">
        <v>85</v>
      </c>
      <c r="AV147" s="29">
        <f t="shared" si="167"/>
        <v>0</v>
      </c>
      <c r="AW147" s="29">
        <f t="shared" si="168"/>
        <v>0</v>
      </c>
      <c r="AX147" s="29">
        <f t="shared" si="169"/>
        <v>0</v>
      </c>
      <c r="AY147" s="54" t="s">
        <v>647</v>
      </c>
      <c r="AZ147" s="54" t="s">
        <v>656</v>
      </c>
      <c r="BA147" s="48" t="s">
        <v>658</v>
      </c>
      <c r="BC147" s="29">
        <f t="shared" si="170"/>
        <v>0</v>
      </c>
      <c r="BD147" s="29">
        <f t="shared" si="171"/>
        <v>296</v>
      </c>
      <c r="BE147" s="29">
        <v>0</v>
      </c>
      <c r="BF147" s="29">
        <f t="shared" si="172"/>
        <v>0</v>
      </c>
      <c r="BH147" s="55">
        <f t="shared" si="173"/>
        <v>0</v>
      </c>
      <c r="BI147" s="55">
        <f t="shared" si="174"/>
        <v>0</v>
      </c>
      <c r="BJ147" s="55">
        <f t="shared" si="175"/>
        <v>0</v>
      </c>
    </row>
    <row r="148" spans="1:62" ht="12.75">
      <c r="A148" s="36" t="s">
        <v>198</v>
      </c>
      <c r="B148" s="36" t="s">
        <v>59</v>
      </c>
      <c r="C148" s="36" t="s">
        <v>371</v>
      </c>
      <c r="D148" s="36" t="s">
        <v>556</v>
      </c>
      <c r="E148" s="36" t="s">
        <v>609</v>
      </c>
      <c r="F148" s="55">
        <f>'Stavební rozpočet'!F148</f>
        <v>0</v>
      </c>
      <c r="G148" s="55">
        <f>'Stavební rozpočet'!G148</f>
        <v>57.3</v>
      </c>
      <c r="H148" s="55">
        <f t="shared" si="152"/>
        <v>0</v>
      </c>
      <c r="I148" s="55">
        <f t="shared" si="153"/>
        <v>0</v>
      </c>
      <c r="J148" s="55">
        <f t="shared" si="154"/>
        <v>0</v>
      </c>
      <c r="K148" s="55">
        <f>'Stavební rozpočet'!K148</f>
        <v>0</v>
      </c>
      <c r="L148" s="55">
        <f t="shared" si="155"/>
        <v>0</v>
      </c>
      <c r="M148" s="51" t="s">
        <v>622</v>
      </c>
      <c r="Z148" s="29">
        <f t="shared" si="156"/>
        <v>0</v>
      </c>
      <c r="AB148" s="29">
        <f t="shared" si="157"/>
        <v>0</v>
      </c>
      <c r="AC148" s="29">
        <f t="shared" si="158"/>
        <v>0</v>
      </c>
      <c r="AD148" s="29">
        <f t="shared" si="159"/>
        <v>0</v>
      </c>
      <c r="AE148" s="29">
        <f t="shared" si="160"/>
        <v>0</v>
      </c>
      <c r="AF148" s="29">
        <f t="shared" si="161"/>
        <v>0</v>
      </c>
      <c r="AG148" s="29">
        <f t="shared" si="162"/>
        <v>0</v>
      </c>
      <c r="AH148" s="29">
        <f t="shared" si="163"/>
        <v>0</v>
      </c>
      <c r="AI148" s="48" t="s">
        <v>59</v>
      </c>
      <c r="AJ148" s="55">
        <f t="shared" si="164"/>
        <v>0</v>
      </c>
      <c r="AK148" s="55">
        <f t="shared" si="165"/>
        <v>0</v>
      </c>
      <c r="AL148" s="55">
        <f t="shared" si="166"/>
        <v>0</v>
      </c>
      <c r="AN148" s="29">
        <v>15</v>
      </c>
      <c r="AO148" s="29">
        <f>G148*0</f>
        <v>0</v>
      </c>
      <c r="AP148" s="29">
        <f>G148*(1-0)</f>
        <v>57.3</v>
      </c>
      <c r="AQ148" s="51" t="s">
        <v>85</v>
      </c>
      <c r="AV148" s="29">
        <f t="shared" si="167"/>
        <v>0</v>
      </c>
      <c r="AW148" s="29">
        <f t="shared" si="168"/>
        <v>0</v>
      </c>
      <c r="AX148" s="29">
        <f t="shared" si="169"/>
        <v>0</v>
      </c>
      <c r="AY148" s="54" t="s">
        <v>647</v>
      </c>
      <c r="AZ148" s="54" t="s">
        <v>656</v>
      </c>
      <c r="BA148" s="48" t="s">
        <v>658</v>
      </c>
      <c r="BC148" s="29">
        <f t="shared" si="170"/>
        <v>0</v>
      </c>
      <c r="BD148" s="29">
        <f t="shared" si="171"/>
        <v>57.3</v>
      </c>
      <c r="BE148" s="29">
        <v>0</v>
      </c>
      <c r="BF148" s="29">
        <f t="shared" si="172"/>
        <v>0</v>
      </c>
      <c r="BH148" s="55">
        <f t="shared" si="173"/>
        <v>0</v>
      </c>
      <c r="BI148" s="55">
        <f t="shared" si="174"/>
        <v>0</v>
      </c>
      <c r="BJ148" s="55">
        <f t="shared" si="175"/>
        <v>0</v>
      </c>
    </row>
    <row r="149" spans="1:62" ht="12.75">
      <c r="A149" s="36" t="s">
        <v>199</v>
      </c>
      <c r="B149" s="36" t="s">
        <v>59</v>
      </c>
      <c r="C149" s="36" t="s">
        <v>372</v>
      </c>
      <c r="D149" s="36" t="s">
        <v>557</v>
      </c>
      <c r="E149" s="36" t="s">
        <v>608</v>
      </c>
      <c r="F149" s="55">
        <f>'Stavební rozpočet'!F149</f>
        <v>0</v>
      </c>
      <c r="G149" s="55">
        <f>'Stavební rozpočet'!G149</f>
        <v>38.6</v>
      </c>
      <c r="H149" s="55">
        <f t="shared" si="152"/>
        <v>0</v>
      </c>
      <c r="I149" s="55">
        <f t="shared" si="153"/>
        <v>0</v>
      </c>
      <c r="J149" s="55">
        <f t="shared" si="154"/>
        <v>0</v>
      </c>
      <c r="K149" s="55">
        <f>'Stavební rozpočet'!K149</f>
        <v>0.00021</v>
      </c>
      <c r="L149" s="55">
        <f t="shared" si="155"/>
        <v>0</v>
      </c>
      <c r="M149" s="51" t="s">
        <v>622</v>
      </c>
      <c r="Z149" s="29">
        <f t="shared" si="156"/>
        <v>0</v>
      </c>
      <c r="AB149" s="29">
        <f t="shared" si="157"/>
        <v>0</v>
      </c>
      <c r="AC149" s="29">
        <f t="shared" si="158"/>
        <v>0</v>
      </c>
      <c r="AD149" s="29">
        <f t="shared" si="159"/>
        <v>0</v>
      </c>
      <c r="AE149" s="29">
        <f t="shared" si="160"/>
        <v>0</v>
      </c>
      <c r="AF149" s="29">
        <f t="shared" si="161"/>
        <v>0</v>
      </c>
      <c r="AG149" s="29">
        <f t="shared" si="162"/>
        <v>0</v>
      </c>
      <c r="AH149" s="29">
        <f t="shared" si="163"/>
        <v>0</v>
      </c>
      <c r="AI149" s="48" t="s">
        <v>59</v>
      </c>
      <c r="AJ149" s="55">
        <f t="shared" si="164"/>
        <v>0</v>
      </c>
      <c r="AK149" s="55">
        <f t="shared" si="165"/>
        <v>0</v>
      </c>
      <c r="AL149" s="55">
        <f t="shared" si="166"/>
        <v>0</v>
      </c>
      <c r="AN149" s="29">
        <v>15</v>
      </c>
      <c r="AO149" s="29">
        <f>G149*0.53341982223897</f>
        <v>20.590005138424242</v>
      </c>
      <c r="AP149" s="29">
        <f>G149*(1-0.53341982223897)</f>
        <v>18.00999486157576</v>
      </c>
      <c r="AQ149" s="51" t="s">
        <v>85</v>
      </c>
      <c r="AV149" s="29">
        <f t="shared" si="167"/>
        <v>0</v>
      </c>
      <c r="AW149" s="29">
        <f t="shared" si="168"/>
        <v>0</v>
      </c>
      <c r="AX149" s="29">
        <f t="shared" si="169"/>
        <v>0</v>
      </c>
      <c r="AY149" s="54" t="s">
        <v>647</v>
      </c>
      <c r="AZ149" s="54" t="s">
        <v>656</v>
      </c>
      <c r="BA149" s="48" t="s">
        <v>658</v>
      </c>
      <c r="BC149" s="29">
        <f t="shared" si="170"/>
        <v>0</v>
      </c>
      <c r="BD149" s="29">
        <f t="shared" si="171"/>
        <v>38.6</v>
      </c>
      <c r="BE149" s="29">
        <v>0</v>
      </c>
      <c r="BF149" s="29">
        <f t="shared" si="172"/>
        <v>0</v>
      </c>
      <c r="BH149" s="55">
        <f t="shared" si="173"/>
        <v>0</v>
      </c>
      <c r="BI149" s="55">
        <f t="shared" si="174"/>
        <v>0</v>
      </c>
      <c r="BJ149" s="55">
        <f t="shared" si="175"/>
        <v>0</v>
      </c>
    </row>
    <row r="150" spans="1:62" ht="12.75">
      <c r="A150" s="36" t="s">
        <v>200</v>
      </c>
      <c r="B150" s="36" t="s">
        <v>59</v>
      </c>
      <c r="C150" s="36" t="s">
        <v>373</v>
      </c>
      <c r="D150" s="36" t="s">
        <v>558</v>
      </c>
      <c r="E150" s="36" t="s">
        <v>609</v>
      </c>
      <c r="F150" s="55">
        <f>'Stavební rozpočet'!F150</f>
        <v>0</v>
      </c>
      <c r="G150" s="55">
        <f>'Stavební rozpočet'!G150</f>
        <v>93</v>
      </c>
      <c r="H150" s="55">
        <f t="shared" si="152"/>
        <v>0</v>
      </c>
      <c r="I150" s="55">
        <f t="shared" si="153"/>
        <v>0</v>
      </c>
      <c r="J150" s="55">
        <f t="shared" si="154"/>
        <v>0</v>
      </c>
      <c r="K150" s="55">
        <f>'Stavební rozpočet'!K150</f>
        <v>0.00032</v>
      </c>
      <c r="L150" s="55">
        <f t="shared" si="155"/>
        <v>0</v>
      </c>
      <c r="M150" s="51" t="s">
        <v>622</v>
      </c>
      <c r="Z150" s="29">
        <f t="shared" si="156"/>
        <v>0</v>
      </c>
      <c r="AB150" s="29">
        <f t="shared" si="157"/>
        <v>0</v>
      </c>
      <c r="AC150" s="29">
        <f t="shared" si="158"/>
        <v>0</v>
      </c>
      <c r="AD150" s="29">
        <f t="shared" si="159"/>
        <v>0</v>
      </c>
      <c r="AE150" s="29">
        <f t="shared" si="160"/>
        <v>0</v>
      </c>
      <c r="AF150" s="29">
        <f t="shared" si="161"/>
        <v>0</v>
      </c>
      <c r="AG150" s="29">
        <f t="shared" si="162"/>
        <v>0</v>
      </c>
      <c r="AH150" s="29">
        <f t="shared" si="163"/>
        <v>0</v>
      </c>
      <c r="AI150" s="48" t="s">
        <v>59</v>
      </c>
      <c r="AJ150" s="55">
        <f t="shared" si="164"/>
        <v>0</v>
      </c>
      <c r="AK150" s="55">
        <f t="shared" si="165"/>
        <v>0</v>
      </c>
      <c r="AL150" s="55">
        <f t="shared" si="166"/>
        <v>0</v>
      </c>
      <c r="AN150" s="29">
        <v>15</v>
      </c>
      <c r="AO150" s="29">
        <f>G150*0.0855913978494624</f>
        <v>7.9600000000000035</v>
      </c>
      <c r="AP150" s="29">
        <f>G150*(1-0.0855913978494624)</f>
        <v>85.03999999999999</v>
      </c>
      <c r="AQ150" s="51" t="s">
        <v>85</v>
      </c>
      <c r="AV150" s="29">
        <f t="shared" si="167"/>
        <v>0</v>
      </c>
      <c r="AW150" s="29">
        <f t="shared" si="168"/>
        <v>0</v>
      </c>
      <c r="AX150" s="29">
        <f t="shared" si="169"/>
        <v>0</v>
      </c>
      <c r="AY150" s="54" t="s">
        <v>647</v>
      </c>
      <c r="AZ150" s="54" t="s">
        <v>656</v>
      </c>
      <c r="BA150" s="48" t="s">
        <v>658</v>
      </c>
      <c r="BC150" s="29">
        <f t="shared" si="170"/>
        <v>0</v>
      </c>
      <c r="BD150" s="29">
        <f t="shared" si="171"/>
        <v>93</v>
      </c>
      <c r="BE150" s="29">
        <v>0</v>
      </c>
      <c r="BF150" s="29">
        <f t="shared" si="172"/>
        <v>0</v>
      </c>
      <c r="BH150" s="55">
        <f t="shared" si="173"/>
        <v>0</v>
      </c>
      <c r="BI150" s="55">
        <f t="shared" si="174"/>
        <v>0</v>
      </c>
      <c r="BJ150" s="55">
        <f t="shared" si="175"/>
        <v>0</v>
      </c>
    </row>
    <row r="151" spans="1:62" ht="12.75">
      <c r="A151" s="36" t="s">
        <v>201</v>
      </c>
      <c r="B151" s="36" t="s">
        <v>59</v>
      </c>
      <c r="C151" s="36" t="s">
        <v>375</v>
      </c>
      <c r="D151" s="36" t="s">
        <v>560</v>
      </c>
      <c r="E151" s="36" t="s">
        <v>609</v>
      </c>
      <c r="F151" s="55">
        <f>'Stavební rozpočet'!F152</f>
        <v>0</v>
      </c>
      <c r="G151" s="55">
        <f>'Stavební rozpočet'!G152</f>
        <v>72.9</v>
      </c>
      <c r="H151" s="55">
        <f t="shared" si="152"/>
        <v>0</v>
      </c>
      <c r="I151" s="55">
        <f t="shared" si="153"/>
        <v>0</v>
      </c>
      <c r="J151" s="55">
        <f t="shared" si="154"/>
        <v>0</v>
      </c>
      <c r="K151" s="55">
        <f>'Stavební rozpočet'!K152</f>
        <v>0</v>
      </c>
      <c r="L151" s="55">
        <f t="shared" si="155"/>
        <v>0</v>
      </c>
      <c r="M151" s="51" t="s">
        <v>622</v>
      </c>
      <c r="Z151" s="29">
        <f t="shared" si="156"/>
        <v>0</v>
      </c>
      <c r="AB151" s="29">
        <f t="shared" si="157"/>
        <v>0</v>
      </c>
      <c r="AC151" s="29">
        <f t="shared" si="158"/>
        <v>0</v>
      </c>
      <c r="AD151" s="29">
        <f t="shared" si="159"/>
        <v>0</v>
      </c>
      <c r="AE151" s="29">
        <f t="shared" si="160"/>
        <v>0</v>
      </c>
      <c r="AF151" s="29">
        <f t="shared" si="161"/>
        <v>0</v>
      </c>
      <c r="AG151" s="29">
        <f t="shared" si="162"/>
        <v>0</v>
      </c>
      <c r="AH151" s="29">
        <f t="shared" si="163"/>
        <v>0</v>
      </c>
      <c r="AI151" s="48" t="s">
        <v>59</v>
      </c>
      <c r="AJ151" s="55">
        <f t="shared" si="164"/>
        <v>0</v>
      </c>
      <c r="AK151" s="55">
        <f t="shared" si="165"/>
        <v>0</v>
      </c>
      <c r="AL151" s="55">
        <f t="shared" si="166"/>
        <v>0</v>
      </c>
      <c r="AN151" s="29">
        <v>15</v>
      </c>
      <c r="AO151" s="29">
        <f>G151*0.0743484164158442</f>
        <v>5.419999556715043</v>
      </c>
      <c r="AP151" s="29">
        <f>G151*(1-0.0743484164158442)</f>
        <v>67.48000044328496</v>
      </c>
      <c r="AQ151" s="51" t="s">
        <v>85</v>
      </c>
      <c r="AV151" s="29">
        <f t="shared" si="167"/>
        <v>0</v>
      </c>
      <c r="AW151" s="29">
        <f t="shared" si="168"/>
        <v>0</v>
      </c>
      <c r="AX151" s="29">
        <f t="shared" si="169"/>
        <v>0</v>
      </c>
      <c r="AY151" s="54" t="s">
        <v>647</v>
      </c>
      <c r="AZ151" s="54" t="s">
        <v>656</v>
      </c>
      <c r="BA151" s="48" t="s">
        <v>658</v>
      </c>
      <c r="BC151" s="29">
        <f t="shared" si="170"/>
        <v>0</v>
      </c>
      <c r="BD151" s="29">
        <f t="shared" si="171"/>
        <v>72.9</v>
      </c>
      <c r="BE151" s="29">
        <v>0</v>
      </c>
      <c r="BF151" s="29">
        <f t="shared" si="172"/>
        <v>0</v>
      </c>
      <c r="BH151" s="55">
        <f t="shared" si="173"/>
        <v>0</v>
      </c>
      <c r="BI151" s="55">
        <f t="shared" si="174"/>
        <v>0</v>
      </c>
      <c r="BJ151" s="55">
        <f t="shared" si="175"/>
        <v>0</v>
      </c>
    </row>
    <row r="152" spans="1:62" ht="12.75">
      <c r="A152" s="36" t="s">
        <v>202</v>
      </c>
      <c r="B152" s="36" t="s">
        <v>59</v>
      </c>
      <c r="C152" s="36" t="s">
        <v>376</v>
      </c>
      <c r="D152" s="36" t="s">
        <v>561</v>
      </c>
      <c r="E152" s="36" t="s">
        <v>608</v>
      </c>
      <c r="F152" s="55">
        <f>'Stavební rozpočet'!F153</f>
        <v>0</v>
      </c>
      <c r="G152" s="55">
        <f>'Stavební rozpočet'!G153</f>
        <v>437</v>
      </c>
      <c r="H152" s="55">
        <f t="shared" si="152"/>
        <v>0</v>
      </c>
      <c r="I152" s="55">
        <f t="shared" si="153"/>
        <v>0</v>
      </c>
      <c r="J152" s="55">
        <f t="shared" si="154"/>
        <v>0</v>
      </c>
      <c r="K152" s="55">
        <f>'Stavební rozpočet'!K153</f>
        <v>0.00504</v>
      </c>
      <c r="L152" s="55">
        <f t="shared" si="155"/>
        <v>0</v>
      </c>
      <c r="M152" s="51" t="s">
        <v>622</v>
      </c>
      <c r="Z152" s="29">
        <f t="shared" si="156"/>
        <v>0</v>
      </c>
      <c r="AB152" s="29">
        <f t="shared" si="157"/>
        <v>0</v>
      </c>
      <c r="AC152" s="29">
        <f t="shared" si="158"/>
        <v>0</v>
      </c>
      <c r="AD152" s="29">
        <f t="shared" si="159"/>
        <v>0</v>
      </c>
      <c r="AE152" s="29">
        <f t="shared" si="160"/>
        <v>0</v>
      </c>
      <c r="AF152" s="29">
        <f t="shared" si="161"/>
        <v>0</v>
      </c>
      <c r="AG152" s="29">
        <f t="shared" si="162"/>
        <v>0</v>
      </c>
      <c r="AH152" s="29">
        <f t="shared" si="163"/>
        <v>0</v>
      </c>
      <c r="AI152" s="48" t="s">
        <v>59</v>
      </c>
      <c r="AJ152" s="55">
        <f t="shared" si="164"/>
        <v>0</v>
      </c>
      <c r="AK152" s="55">
        <f t="shared" si="165"/>
        <v>0</v>
      </c>
      <c r="AL152" s="55">
        <f t="shared" si="166"/>
        <v>0</v>
      </c>
      <c r="AN152" s="29">
        <v>15</v>
      </c>
      <c r="AO152" s="29">
        <f>G152*0.1941647597254</f>
        <v>84.84999999999981</v>
      </c>
      <c r="AP152" s="29">
        <f>G152*(1-0.1941647597254)</f>
        <v>352.1500000000002</v>
      </c>
      <c r="AQ152" s="51" t="s">
        <v>85</v>
      </c>
      <c r="AV152" s="29">
        <f t="shared" si="167"/>
        <v>0</v>
      </c>
      <c r="AW152" s="29">
        <f t="shared" si="168"/>
        <v>0</v>
      </c>
      <c r="AX152" s="29">
        <f t="shared" si="169"/>
        <v>0</v>
      </c>
      <c r="AY152" s="54" t="s">
        <v>647</v>
      </c>
      <c r="AZ152" s="54" t="s">
        <v>656</v>
      </c>
      <c r="BA152" s="48" t="s">
        <v>658</v>
      </c>
      <c r="BC152" s="29">
        <f t="shared" si="170"/>
        <v>0</v>
      </c>
      <c r="BD152" s="29">
        <f t="shared" si="171"/>
        <v>437</v>
      </c>
      <c r="BE152" s="29">
        <v>0</v>
      </c>
      <c r="BF152" s="29">
        <f t="shared" si="172"/>
        <v>0</v>
      </c>
      <c r="BH152" s="55">
        <f t="shared" si="173"/>
        <v>0</v>
      </c>
      <c r="BI152" s="55">
        <f t="shared" si="174"/>
        <v>0</v>
      </c>
      <c r="BJ152" s="55">
        <f t="shared" si="175"/>
        <v>0</v>
      </c>
    </row>
    <row r="153" spans="1:62" ht="12.75">
      <c r="A153" s="36" t="s">
        <v>203</v>
      </c>
      <c r="B153" s="36" t="s">
        <v>59</v>
      </c>
      <c r="C153" s="36" t="s">
        <v>377</v>
      </c>
      <c r="D153" s="36" t="s">
        <v>563</v>
      </c>
      <c r="E153" s="36" t="s">
        <v>612</v>
      </c>
      <c r="F153" s="55">
        <f>'Stavební rozpočet'!F155</f>
        <v>0</v>
      </c>
      <c r="G153" s="55">
        <f>'Stavební rozpočet'!G155</f>
        <v>455.01</v>
      </c>
      <c r="H153" s="55">
        <f t="shared" si="152"/>
        <v>0</v>
      </c>
      <c r="I153" s="55">
        <f t="shared" si="153"/>
        <v>0</v>
      </c>
      <c r="J153" s="55">
        <f t="shared" si="154"/>
        <v>0</v>
      </c>
      <c r="K153" s="55">
        <f>'Stavební rozpočet'!K155</f>
        <v>0</v>
      </c>
      <c r="L153" s="55">
        <f t="shared" si="155"/>
        <v>0</v>
      </c>
      <c r="M153" s="51" t="s">
        <v>622</v>
      </c>
      <c r="Z153" s="29">
        <f t="shared" si="156"/>
        <v>0</v>
      </c>
      <c r="AB153" s="29">
        <f t="shared" si="157"/>
        <v>0</v>
      </c>
      <c r="AC153" s="29">
        <f t="shared" si="158"/>
        <v>0</v>
      </c>
      <c r="AD153" s="29">
        <f t="shared" si="159"/>
        <v>0</v>
      </c>
      <c r="AE153" s="29">
        <f t="shared" si="160"/>
        <v>0</v>
      </c>
      <c r="AF153" s="29">
        <f t="shared" si="161"/>
        <v>0</v>
      </c>
      <c r="AG153" s="29">
        <f t="shared" si="162"/>
        <v>0</v>
      </c>
      <c r="AH153" s="29">
        <f t="shared" si="163"/>
        <v>0</v>
      </c>
      <c r="AI153" s="48" t="s">
        <v>59</v>
      </c>
      <c r="AJ153" s="55">
        <f t="shared" si="164"/>
        <v>0</v>
      </c>
      <c r="AK153" s="55">
        <f t="shared" si="165"/>
        <v>0</v>
      </c>
      <c r="AL153" s="55">
        <f t="shared" si="166"/>
        <v>0</v>
      </c>
      <c r="AN153" s="29">
        <v>15</v>
      </c>
      <c r="AO153" s="29">
        <f>G153*0</f>
        <v>0</v>
      </c>
      <c r="AP153" s="29">
        <f>G153*(1-0)</f>
        <v>455.01</v>
      </c>
      <c r="AQ153" s="51" t="s">
        <v>83</v>
      </c>
      <c r="AV153" s="29">
        <f t="shared" si="167"/>
        <v>0</v>
      </c>
      <c r="AW153" s="29">
        <f t="shared" si="168"/>
        <v>0</v>
      </c>
      <c r="AX153" s="29">
        <f t="shared" si="169"/>
        <v>0</v>
      </c>
      <c r="AY153" s="54" t="s">
        <v>647</v>
      </c>
      <c r="AZ153" s="54" t="s">
        <v>656</v>
      </c>
      <c r="BA153" s="48" t="s">
        <v>658</v>
      </c>
      <c r="BC153" s="29">
        <f t="shared" si="170"/>
        <v>0</v>
      </c>
      <c r="BD153" s="29">
        <f t="shared" si="171"/>
        <v>455.00999999999993</v>
      </c>
      <c r="BE153" s="29">
        <v>0</v>
      </c>
      <c r="BF153" s="29">
        <f t="shared" si="172"/>
        <v>0</v>
      </c>
      <c r="BH153" s="55">
        <f t="shared" si="173"/>
        <v>0</v>
      </c>
      <c r="BI153" s="55">
        <f t="shared" si="174"/>
        <v>0</v>
      </c>
      <c r="BJ153" s="55">
        <f t="shared" si="175"/>
        <v>0</v>
      </c>
    </row>
    <row r="154" spans="1:47" ht="12.75">
      <c r="A154" s="35"/>
      <c r="B154" s="42" t="s">
        <v>59</v>
      </c>
      <c r="C154" s="42" t="s">
        <v>378</v>
      </c>
      <c r="D154" s="42" t="s">
        <v>564</v>
      </c>
      <c r="E154" s="35" t="s">
        <v>57</v>
      </c>
      <c r="F154" s="35" t="s">
        <v>57</v>
      </c>
      <c r="G154" s="35" t="s">
        <v>57</v>
      </c>
      <c r="H154" s="59">
        <f>SUM(H155:H158)</f>
        <v>0</v>
      </c>
      <c r="I154" s="59">
        <f>SUM(I155:I158)</f>
        <v>0</v>
      </c>
      <c r="J154" s="59">
        <f>SUM(J155:J158)</f>
        <v>0</v>
      </c>
      <c r="K154" s="48"/>
      <c r="L154" s="59">
        <f>SUM(L155:L158)</f>
        <v>0</v>
      </c>
      <c r="M154" s="48"/>
      <c r="AI154" s="48" t="s">
        <v>59</v>
      </c>
      <c r="AS154" s="59">
        <f>SUM(AJ155:AJ158)</f>
        <v>0</v>
      </c>
      <c r="AT154" s="59">
        <f>SUM(AK155:AK158)</f>
        <v>0</v>
      </c>
      <c r="AU154" s="59">
        <f>SUM(AL155:AL158)</f>
        <v>0</v>
      </c>
    </row>
    <row r="155" spans="1:62" ht="12.75">
      <c r="A155" s="36" t="s">
        <v>204</v>
      </c>
      <c r="B155" s="36" t="s">
        <v>59</v>
      </c>
      <c r="C155" s="36" t="s">
        <v>379</v>
      </c>
      <c r="D155" s="36" t="s">
        <v>565</v>
      </c>
      <c r="E155" s="36" t="s">
        <v>608</v>
      </c>
      <c r="F155" s="55">
        <f>'Stavební rozpočet'!F157</f>
        <v>0</v>
      </c>
      <c r="G155" s="55">
        <f>'Stavební rozpočet'!G157</f>
        <v>20.7</v>
      </c>
      <c r="H155" s="55">
        <f>F155*AO155</f>
        <v>0</v>
      </c>
      <c r="I155" s="55">
        <f>F155*AP155</f>
        <v>0</v>
      </c>
      <c r="J155" s="55">
        <f>F155*G155</f>
        <v>0</v>
      </c>
      <c r="K155" s="55">
        <f>'Stavební rozpočet'!K157</f>
        <v>0.0002</v>
      </c>
      <c r="L155" s="55">
        <f>F155*K155</f>
        <v>0</v>
      </c>
      <c r="M155" s="51" t="s">
        <v>622</v>
      </c>
      <c r="Z155" s="29">
        <f>IF(AQ155="5",BJ155,0)</f>
        <v>0</v>
      </c>
      <c r="AB155" s="29">
        <f>IF(AQ155="1",BH155,0)</f>
        <v>0</v>
      </c>
      <c r="AC155" s="29">
        <f>IF(AQ155="1",BI155,0)</f>
        <v>0</v>
      </c>
      <c r="AD155" s="29">
        <f>IF(AQ155="7",BH155,0)</f>
        <v>0</v>
      </c>
      <c r="AE155" s="29">
        <f>IF(AQ155="7",BI155,0)</f>
        <v>0</v>
      </c>
      <c r="AF155" s="29">
        <f>IF(AQ155="2",BH155,0)</f>
        <v>0</v>
      </c>
      <c r="AG155" s="29">
        <f>IF(AQ155="2",BI155,0)</f>
        <v>0</v>
      </c>
      <c r="AH155" s="29">
        <f>IF(AQ155="0",BJ155,0)</f>
        <v>0</v>
      </c>
      <c r="AI155" s="48" t="s">
        <v>59</v>
      </c>
      <c r="AJ155" s="55">
        <f>IF(AN155=0,J155,0)</f>
        <v>0</v>
      </c>
      <c r="AK155" s="55">
        <f>IF(AN155=15,J155,0)</f>
        <v>0</v>
      </c>
      <c r="AL155" s="55">
        <f>IF(AN155=21,J155,0)</f>
        <v>0</v>
      </c>
      <c r="AN155" s="29">
        <v>15</v>
      </c>
      <c r="AO155" s="29">
        <f>G155*0.45362319290492</f>
        <v>9.390000093131844</v>
      </c>
      <c r="AP155" s="29">
        <f>G155*(1-0.45362319290492)</f>
        <v>11.309999906868157</v>
      </c>
      <c r="AQ155" s="51" t="s">
        <v>85</v>
      </c>
      <c r="AV155" s="29">
        <f>AW155+AX155</f>
        <v>0</v>
      </c>
      <c r="AW155" s="29">
        <f>F155*AO155</f>
        <v>0</v>
      </c>
      <c r="AX155" s="29">
        <f>F155*AP155</f>
        <v>0</v>
      </c>
      <c r="AY155" s="54" t="s">
        <v>648</v>
      </c>
      <c r="AZ155" s="54" t="s">
        <v>657</v>
      </c>
      <c r="BA155" s="48" t="s">
        <v>658</v>
      </c>
      <c r="BC155" s="29">
        <f>AW155+AX155</f>
        <v>0</v>
      </c>
      <c r="BD155" s="29">
        <f>G155/(100-BE155)*100</f>
        <v>20.7</v>
      </c>
      <c r="BE155" s="29">
        <v>0</v>
      </c>
      <c r="BF155" s="29">
        <f>L155</f>
        <v>0</v>
      </c>
      <c r="BH155" s="55">
        <f>F155*AO155</f>
        <v>0</v>
      </c>
      <c r="BI155" s="55">
        <f>F155*AP155</f>
        <v>0</v>
      </c>
      <c r="BJ155" s="55">
        <f>F155*G155</f>
        <v>0</v>
      </c>
    </row>
    <row r="156" spans="1:62" ht="12.75">
      <c r="A156" s="36" t="s">
        <v>205</v>
      </c>
      <c r="B156" s="36" t="s">
        <v>59</v>
      </c>
      <c r="C156" s="36" t="s">
        <v>380</v>
      </c>
      <c r="D156" s="36" t="s">
        <v>566</v>
      </c>
      <c r="E156" s="36" t="s">
        <v>608</v>
      </c>
      <c r="F156" s="55">
        <f>'Stavební rozpočet'!F158</f>
        <v>0</v>
      </c>
      <c r="G156" s="55">
        <f>'Stavební rozpočet'!G158</f>
        <v>39</v>
      </c>
      <c r="H156" s="55">
        <f>F156*AO156</f>
        <v>0</v>
      </c>
      <c r="I156" s="55">
        <f>F156*AP156</f>
        <v>0</v>
      </c>
      <c r="J156" s="55">
        <f>F156*G156</f>
        <v>0</v>
      </c>
      <c r="K156" s="55">
        <f>'Stavební rozpočet'!K158</f>
        <v>0.0004</v>
      </c>
      <c r="L156" s="55">
        <f>F156*K156</f>
        <v>0</v>
      </c>
      <c r="M156" s="51" t="s">
        <v>622</v>
      </c>
      <c r="Z156" s="29">
        <f>IF(AQ156="5",BJ156,0)</f>
        <v>0</v>
      </c>
      <c r="AB156" s="29">
        <f>IF(AQ156="1",BH156,0)</f>
        <v>0</v>
      </c>
      <c r="AC156" s="29">
        <f>IF(AQ156="1",BI156,0)</f>
        <v>0</v>
      </c>
      <c r="AD156" s="29">
        <f>IF(AQ156="7",BH156,0)</f>
        <v>0</v>
      </c>
      <c r="AE156" s="29">
        <f>IF(AQ156="7",BI156,0)</f>
        <v>0</v>
      </c>
      <c r="AF156" s="29">
        <f>IF(AQ156="2",BH156,0)</f>
        <v>0</v>
      </c>
      <c r="AG156" s="29">
        <f>IF(AQ156="2",BI156,0)</f>
        <v>0</v>
      </c>
      <c r="AH156" s="29">
        <f>IF(AQ156="0",BJ156,0)</f>
        <v>0</v>
      </c>
      <c r="AI156" s="48" t="s">
        <v>59</v>
      </c>
      <c r="AJ156" s="55">
        <f>IF(AN156=0,J156,0)</f>
        <v>0</v>
      </c>
      <c r="AK156" s="55">
        <f>IF(AN156=15,J156,0)</f>
        <v>0</v>
      </c>
      <c r="AL156" s="55">
        <f>IF(AN156=21,J156,0)</f>
        <v>0</v>
      </c>
      <c r="AN156" s="29">
        <v>15</v>
      </c>
      <c r="AO156" s="29">
        <f>G156*0.476666634246207</f>
        <v>18.589998735602073</v>
      </c>
      <c r="AP156" s="29">
        <f>G156*(1-0.476666634246207)</f>
        <v>20.41000126439793</v>
      </c>
      <c r="AQ156" s="51" t="s">
        <v>85</v>
      </c>
      <c r="AV156" s="29">
        <f>AW156+AX156</f>
        <v>0</v>
      </c>
      <c r="AW156" s="29">
        <f>F156*AO156</f>
        <v>0</v>
      </c>
      <c r="AX156" s="29">
        <f>F156*AP156</f>
        <v>0</v>
      </c>
      <c r="AY156" s="54" t="s">
        <v>648</v>
      </c>
      <c r="AZ156" s="54" t="s">
        <v>657</v>
      </c>
      <c r="BA156" s="48" t="s">
        <v>658</v>
      </c>
      <c r="BC156" s="29">
        <f>AW156+AX156</f>
        <v>0</v>
      </c>
      <c r="BD156" s="29">
        <f>G156/(100-BE156)*100</f>
        <v>39</v>
      </c>
      <c r="BE156" s="29">
        <v>0</v>
      </c>
      <c r="BF156" s="29">
        <f>L156</f>
        <v>0</v>
      </c>
      <c r="BH156" s="55">
        <f>F156*AO156</f>
        <v>0</v>
      </c>
      <c r="BI156" s="55">
        <f>F156*AP156</f>
        <v>0</v>
      </c>
      <c r="BJ156" s="55">
        <f>F156*G156</f>
        <v>0</v>
      </c>
    </row>
    <row r="157" spans="1:62" ht="12.75">
      <c r="A157" s="36" t="s">
        <v>206</v>
      </c>
      <c r="B157" s="36" t="s">
        <v>59</v>
      </c>
      <c r="C157" s="36" t="s">
        <v>381</v>
      </c>
      <c r="D157" s="36" t="s">
        <v>567</v>
      </c>
      <c r="E157" s="36" t="s">
        <v>608</v>
      </c>
      <c r="F157" s="55">
        <f>'Stavební rozpočet'!F159</f>
        <v>0</v>
      </c>
      <c r="G157" s="55">
        <f>'Stavební rozpočet'!G159</f>
        <v>47.5</v>
      </c>
      <c r="H157" s="55">
        <f>F157*AO157</f>
        <v>0</v>
      </c>
      <c r="I157" s="55">
        <f>F157*AP157</f>
        <v>0</v>
      </c>
      <c r="J157" s="55">
        <f>F157*G157</f>
        <v>0</v>
      </c>
      <c r="K157" s="55">
        <f>'Stavební rozpočet'!K159</f>
        <v>0.00024</v>
      </c>
      <c r="L157" s="55">
        <f>F157*K157</f>
        <v>0</v>
      </c>
      <c r="M157" s="51" t="s">
        <v>622</v>
      </c>
      <c r="Z157" s="29">
        <f>IF(AQ157="5",BJ157,0)</f>
        <v>0</v>
      </c>
      <c r="AB157" s="29">
        <f>IF(AQ157="1",BH157,0)</f>
        <v>0</v>
      </c>
      <c r="AC157" s="29">
        <f>IF(AQ157="1",BI157,0)</f>
        <v>0</v>
      </c>
      <c r="AD157" s="29">
        <f>IF(AQ157="7",BH157,0)</f>
        <v>0</v>
      </c>
      <c r="AE157" s="29">
        <f>IF(AQ157="7",BI157,0)</f>
        <v>0</v>
      </c>
      <c r="AF157" s="29">
        <f>IF(AQ157="2",BH157,0)</f>
        <v>0</v>
      </c>
      <c r="AG157" s="29">
        <f>IF(AQ157="2",BI157,0)</f>
        <v>0</v>
      </c>
      <c r="AH157" s="29">
        <f>IF(AQ157="0",BJ157,0)</f>
        <v>0</v>
      </c>
      <c r="AI157" s="48" t="s">
        <v>59</v>
      </c>
      <c r="AJ157" s="55">
        <f>IF(AN157=0,J157,0)</f>
        <v>0</v>
      </c>
      <c r="AK157" s="55">
        <f>IF(AN157=15,J157,0)</f>
        <v>0</v>
      </c>
      <c r="AL157" s="55">
        <f>IF(AN157=21,J157,0)</f>
        <v>0</v>
      </c>
      <c r="AN157" s="29">
        <v>15</v>
      </c>
      <c r="AO157" s="29">
        <f>G157*0.200631571720879</f>
        <v>9.529999656741753</v>
      </c>
      <c r="AP157" s="29">
        <f>G157*(1-0.200631571720879)</f>
        <v>37.97000034325825</v>
      </c>
      <c r="AQ157" s="51" t="s">
        <v>85</v>
      </c>
      <c r="AV157" s="29">
        <f>AW157+AX157</f>
        <v>0</v>
      </c>
      <c r="AW157" s="29">
        <f>F157*AO157</f>
        <v>0</v>
      </c>
      <c r="AX157" s="29">
        <f>F157*AP157</f>
        <v>0</v>
      </c>
      <c r="AY157" s="54" t="s">
        <v>648</v>
      </c>
      <c r="AZ157" s="54" t="s">
        <v>657</v>
      </c>
      <c r="BA157" s="48" t="s">
        <v>658</v>
      </c>
      <c r="BC157" s="29">
        <f>AW157+AX157</f>
        <v>0</v>
      </c>
      <c r="BD157" s="29">
        <f>G157/(100-BE157)*100</f>
        <v>47.5</v>
      </c>
      <c r="BE157" s="29">
        <v>0</v>
      </c>
      <c r="BF157" s="29">
        <f>L157</f>
        <v>0</v>
      </c>
      <c r="BH157" s="55">
        <f>F157*AO157</f>
        <v>0</v>
      </c>
      <c r="BI157" s="55">
        <f>F157*AP157</f>
        <v>0</v>
      </c>
      <c r="BJ157" s="55">
        <f>F157*G157</f>
        <v>0</v>
      </c>
    </row>
    <row r="158" spans="1:62" ht="12.75">
      <c r="A158" s="36" t="s">
        <v>207</v>
      </c>
      <c r="B158" s="36" t="s">
        <v>59</v>
      </c>
      <c r="C158" s="36" t="s">
        <v>382</v>
      </c>
      <c r="D158" s="36" t="s">
        <v>568</v>
      </c>
      <c r="E158" s="36" t="s">
        <v>608</v>
      </c>
      <c r="F158" s="55">
        <f>'Stavební rozpočet'!F160</f>
        <v>0</v>
      </c>
      <c r="G158" s="55">
        <f>'Stavební rozpočet'!G160</f>
        <v>49.99</v>
      </c>
      <c r="H158" s="55">
        <f>F158*AO158</f>
        <v>0</v>
      </c>
      <c r="I158" s="55">
        <f>F158*AP158</f>
        <v>0</v>
      </c>
      <c r="J158" s="55">
        <f>F158*G158</f>
        <v>0</v>
      </c>
      <c r="K158" s="55">
        <f>'Stavební rozpočet'!K160</f>
        <v>0.0003</v>
      </c>
      <c r="L158" s="55">
        <f>F158*K158</f>
        <v>0</v>
      </c>
      <c r="M158" s="51" t="s">
        <v>622</v>
      </c>
      <c r="Z158" s="29">
        <f>IF(AQ158="5",BJ158,0)</f>
        <v>0</v>
      </c>
      <c r="AB158" s="29">
        <f>IF(AQ158="1",BH158,0)</f>
        <v>0</v>
      </c>
      <c r="AC158" s="29">
        <f>IF(AQ158="1",BI158,0)</f>
        <v>0</v>
      </c>
      <c r="AD158" s="29">
        <f>IF(AQ158="7",BH158,0)</f>
        <v>0</v>
      </c>
      <c r="AE158" s="29">
        <f>IF(AQ158="7",BI158,0)</f>
        <v>0</v>
      </c>
      <c r="AF158" s="29">
        <f>IF(AQ158="2",BH158,0)</f>
        <v>0</v>
      </c>
      <c r="AG158" s="29">
        <f>IF(AQ158="2",BI158,0)</f>
        <v>0</v>
      </c>
      <c r="AH158" s="29">
        <f>IF(AQ158="0",BJ158,0)</f>
        <v>0</v>
      </c>
      <c r="AI158" s="48" t="s">
        <v>59</v>
      </c>
      <c r="AJ158" s="55">
        <f>IF(AN158=0,J158,0)</f>
        <v>0</v>
      </c>
      <c r="AK158" s="55">
        <f>IF(AN158=15,J158,0)</f>
        <v>0</v>
      </c>
      <c r="AL158" s="55">
        <f>IF(AN158=21,J158,0)</f>
        <v>0</v>
      </c>
      <c r="AN158" s="29">
        <v>15</v>
      </c>
      <c r="AO158" s="29">
        <f>G158*0.290458093005437</f>
        <v>14.520000069341798</v>
      </c>
      <c r="AP158" s="29">
        <f>G158*(1-0.290458093005437)</f>
        <v>35.469999930658204</v>
      </c>
      <c r="AQ158" s="51" t="s">
        <v>85</v>
      </c>
      <c r="AV158" s="29">
        <f>AW158+AX158</f>
        <v>0</v>
      </c>
      <c r="AW158" s="29">
        <f>F158*AO158</f>
        <v>0</v>
      </c>
      <c r="AX158" s="29">
        <f>F158*AP158</f>
        <v>0</v>
      </c>
      <c r="AY158" s="54" t="s">
        <v>648</v>
      </c>
      <c r="AZ158" s="54" t="s">
        <v>657</v>
      </c>
      <c r="BA158" s="48" t="s">
        <v>658</v>
      </c>
      <c r="BC158" s="29">
        <f>AW158+AX158</f>
        <v>0</v>
      </c>
      <c r="BD158" s="29">
        <f>G158/(100-BE158)*100</f>
        <v>49.99</v>
      </c>
      <c r="BE158" s="29">
        <v>0</v>
      </c>
      <c r="BF158" s="29">
        <f>L158</f>
        <v>0</v>
      </c>
      <c r="BH158" s="55">
        <f>F158*AO158</f>
        <v>0</v>
      </c>
      <c r="BI158" s="55">
        <f>F158*AP158</f>
        <v>0</v>
      </c>
      <c r="BJ158" s="55">
        <f>F158*G158</f>
        <v>0</v>
      </c>
    </row>
    <row r="159" spans="1:47" ht="12.75">
      <c r="A159" s="35"/>
      <c r="B159" s="42" t="s">
        <v>59</v>
      </c>
      <c r="C159" s="42" t="s">
        <v>383</v>
      </c>
      <c r="D159" s="42" t="s">
        <v>569</v>
      </c>
      <c r="E159" s="35" t="s">
        <v>57</v>
      </c>
      <c r="F159" s="35" t="s">
        <v>57</v>
      </c>
      <c r="G159" s="35" t="s">
        <v>57</v>
      </c>
      <c r="H159" s="59">
        <f>SUM(H160:H194)</f>
        <v>0</v>
      </c>
      <c r="I159" s="59">
        <f>SUM(I160:I194)</f>
        <v>0</v>
      </c>
      <c r="J159" s="59">
        <f>SUM(J160:J194)</f>
        <v>0</v>
      </c>
      <c r="K159" s="48"/>
      <c r="L159" s="59">
        <f>SUM(L160:L194)</f>
        <v>0</v>
      </c>
      <c r="M159" s="48"/>
      <c r="AI159" s="48" t="s">
        <v>59</v>
      </c>
      <c r="AS159" s="59">
        <f>SUM(AJ160:AJ194)</f>
        <v>0</v>
      </c>
      <c r="AT159" s="59">
        <f>SUM(AK160:AK194)</f>
        <v>0</v>
      </c>
      <c r="AU159" s="59">
        <f>SUM(AL160:AL194)</f>
        <v>0</v>
      </c>
    </row>
    <row r="160" spans="1:62" ht="12.75">
      <c r="A160" s="36" t="s">
        <v>208</v>
      </c>
      <c r="B160" s="36" t="s">
        <v>59</v>
      </c>
      <c r="C160" s="36" t="s">
        <v>384</v>
      </c>
      <c r="D160" s="36" t="s">
        <v>570</v>
      </c>
      <c r="E160" s="36" t="s">
        <v>606</v>
      </c>
      <c r="F160" s="55">
        <f>'Stavební rozpočet'!F162</f>
        <v>0</v>
      </c>
      <c r="G160" s="55">
        <f>'Stavební rozpočet'!G162</f>
        <v>39</v>
      </c>
      <c r="H160" s="55">
        <f aca="true" t="shared" si="176" ref="H160:H194">F160*AO160</f>
        <v>0</v>
      </c>
      <c r="I160" s="55">
        <f aca="true" t="shared" si="177" ref="I160:I194">F160*AP160</f>
        <v>0</v>
      </c>
      <c r="J160" s="55">
        <f aca="true" t="shared" si="178" ref="J160:J194">F160*G160</f>
        <v>0</v>
      </c>
      <c r="K160" s="55">
        <f>'Stavební rozpočet'!K162</f>
        <v>0</v>
      </c>
      <c r="L160" s="55">
        <f aca="true" t="shared" si="179" ref="L160:L194">F160*K160</f>
        <v>0</v>
      </c>
      <c r="M160" s="51" t="s">
        <v>622</v>
      </c>
      <c r="Z160" s="29">
        <f aca="true" t="shared" si="180" ref="Z160:Z194">IF(AQ160="5",BJ160,0)</f>
        <v>0</v>
      </c>
      <c r="AB160" s="29">
        <f aca="true" t="shared" si="181" ref="AB160:AB194">IF(AQ160="1",BH160,0)</f>
        <v>0</v>
      </c>
      <c r="AC160" s="29">
        <f aca="true" t="shared" si="182" ref="AC160:AC194">IF(AQ160="1",BI160,0)</f>
        <v>0</v>
      </c>
      <c r="AD160" s="29">
        <f aca="true" t="shared" si="183" ref="AD160:AD194">IF(AQ160="7",BH160,0)</f>
        <v>0</v>
      </c>
      <c r="AE160" s="29">
        <f aca="true" t="shared" si="184" ref="AE160:AE194">IF(AQ160="7",BI160,0)</f>
        <v>0</v>
      </c>
      <c r="AF160" s="29">
        <f aca="true" t="shared" si="185" ref="AF160:AF194">IF(AQ160="2",BH160,0)</f>
        <v>0</v>
      </c>
      <c r="AG160" s="29">
        <f aca="true" t="shared" si="186" ref="AG160:AG194">IF(AQ160="2",BI160,0)</f>
        <v>0</v>
      </c>
      <c r="AH160" s="29">
        <f aca="true" t="shared" si="187" ref="AH160:AH194">IF(AQ160="0",BJ160,0)</f>
        <v>0</v>
      </c>
      <c r="AI160" s="48" t="s">
        <v>59</v>
      </c>
      <c r="AJ160" s="55">
        <f aca="true" t="shared" si="188" ref="AJ160:AJ194">IF(AN160=0,J160,0)</f>
        <v>0</v>
      </c>
      <c r="AK160" s="55">
        <f aca="true" t="shared" si="189" ref="AK160:AK194">IF(AN160=15,J160,0)</f>
        <v>0</v>
      </c>
      <c r="AL160" s="55">
        <f aca="true" t="shared" si="190" ref="AL160:AL194">IF(AN160=21,J160,0)</f>
        <v>0</v>
      </c>
      <c r="AN160" s="29">
        <v>15</v>
      </c>
      <c r="AO160" s="29">
        <f aca="true" t="shared" si="191" ref="AO160:AO194">G160*0</f>
        <v>0</v>
      </c>
      <c r="AP160" s="29">
        <f aca="true" t="shared" si="192" ref="AP160:AP194">G160*(1-0)</f>
        <v>39</v>
      </c>
      <c r="AQ160" s="51" t="s">
        <v>79</v>
      </c>
      <c r="AV160" s="29">
        <f aca="true" t="shared" si="193" ref="AV160:AV194">AW160+AX160</f>
        <v>0</v>
      </c>
      <c r="AW160" s="29">
        <f aca="true" t="shared" si="194" ref="AW160:AW194">F160*AO160</f>
        <v>0</v>
      </c>
      <c r="AX160" s="29">
        <f aca="true" t="shared" si="195" ref="AX160:AX194">F160*AP160</f>
        <v>0</v>
      </c>
      <c r="AY160" s="54" t="s">
        <v>649</v>
      </c>
      <c r="AZ160" s="54" t="s">
        <v>652</v>
      </c>
      <c r="BA160" s="48" t="s">
        <v>658</v>
      </c>
      <c r="BC160" s="29">
        <f aca="true" t="shared" si="196" ref="BC160:BC194">AW160+AX160</f>
        <v>0</v>
      </c>
      <c r="BD160" s="29">
        <f aca="true" t="shared" si="197" ref="BD160:BD194">G160/(100-BE160)*100</f>
        <v>39</v>
      </c>
      <c r="BE160" s="29">
        <v>0</v>
      </c>
      <c r="BF160" s="29">
        <f aca="true" t="shared" si="198" ref="BF160:BF194">L160</f>
        <v>0</v>
      </c>
      <c r="BH160" s="55">
        <f aca="true" t="shared" si="199" ref="BH160:BH194">F160*AO160</f>
        <v>0</v>
      </c>
      <c r="BI160" s="55">
        <f aca="true" t="shared" si="200" ref="BI160:BI194">F160*AP160</f>
        <v>0</v>
      </c>
      <c r="BJ160" s="55">
        <f aca="true" t="shared" si="201" ref="BJ160:BJ194">F160*G160</f>
        <v>0</v>
      </c>
    </row>
    <row r="161" spans="1:62" ht="12.75">
      <c r="A161" s="36" t="s">
        <v>209</v>
      </c>
      <c r="B161" s="36" t="s">
        <v>59</v>
      </c>
      <c r="C161" s="36" t="s">
        <v>385</v>
      </c>
      <c r="D161" s="36" t="s">
        <v>571</v>
      </c>
      <c r="E161" s="36" t="s">
        <v>606</v>
      </c>
      <c r="F161" s="55">
        <f>'Stavební rozpočet'!F163</f>
        <v>0</v>
      </c>
      <c r="G161" s="55">
        <f>'Stavební rozpočet'!G163</f>
        <v>32.1</v>
      </c>
      <c r="H161" s="55">
        <f t="shared" si="176"/>
        <v>0</v>
      </c>
      <c r="I161" s="55">
        <f t="shared" si="177"/>
        <v>0</v>
      </c>
      <c r="J161" s="55">
        <f t="shared" si="178"/>
        <v>0</v>
      </c>
      <c r="K161" s="55">
        <f>'Stavební rozpočet'!K163</f>
        <v>0</v>
      </c>
      <c r="L161" s="55">
        <f t="shared" si="179"/>
        <v>0</v>
      </c>
      <c r="M161" s="51" t="s">
        <v>622</v>
      </c>
      <c r="Z161" s="29">
        <f t="shared" si="180"/>
        <v>0</v>
      </c>
      <c r="AB161" s="29">
        <f t="shared" si="181"/>
        <v>0</v>
      </c>
      <c r="AC161" s="29">
        <f t="shared" si="182"/>
        <v>0</v>
      </c>
      <c r="AD161" s="29">
        <f t="shared" si="183"/>
        <v>0</v>
      </c>
      <c r="AE161" s="29">
        <f t="shared" si="184"/>
        <v>0</v>
      </c>
      <c r="AF161" s="29">
        <f t="shared" si="185"/>
        <v>0</v>
      </c>
      <c r="AG161" s="29">
        <f t="shared" si="186"/>
        <v>0</v>
      </c>
      <c r="AH161" s="29">
        <f t="shared" si="187"/>
        <v>0</v>
      </c>
      <c r="AI161" s="48" t="s">
        <v>59</v>
      </c>
      <c r="AJ161" s="55">
        <f t="shared" si="188"/>
        <v>0</v>
      </c>
      <c r="AK161" s="55">
        <f t="shared" si="189"/>
        <v>0</v>
      </c>
      <c r="AL161" s="55">
        <f t="shared" si="190"/>
        <v>0</v>
      </c>
      <c r="AN161" s="29">
        <v>15</v>
      </c>
      <c r="AO161" s="29">
        <f t="shared" si="191"/>
        <v>0</v>
      </c>
      <c r="AP161" s="29">
        <f t="shared" si="192"/>
        <v>32.1</v>
      </c>
      <c r="AQ161" s="51" t="s">
        <v>79</v>
      </c>
      <c r="AV161" s="29">
        <f t="shared" si="193"/>
        <v>0</v>
      </c>
      <c r="AW161" s="29">
        <f t="shared" si="194"/>
        <v>0</v>
      </c>
      <c r="AX161" s="29">
        <f t="shared" si="195"/>
        <v>0</v>
      </c>
      <c r="AY161" s="54" t="s">
        <v>649</v>
      </c>
      <c r="AZ161" s="54" t="s">
        <v>652</v>
      </c>
      <c r="BA161" s="48" t="s">
        <v>658</v>
      </c>
      <c r="BC161" s="29">
        <f t="shared" si="196"/>
        <v>0</v>
      </c>
      <c r="BD161" s="29">
        <f t="shared" si="197"/>
        <v>32.1</v>
      </c>
      <c r="BE161" s="29">
        <v>0</v>
      </c>
      <c r="BF161" s="29">
        <f t="shared" si="198"/>
        <v>0</v>
      </c>
      <c r="BH161" s="55">
        <f t="shared" si="199"/>
        <v>0</v>
      </c>
      <c r="BI161" s="55">
        <f t="shared" si="200"/>
        <v>0</v>
      </c>
      <c r="BJ161" s="55">
        <f t="shared" si="201"/>
        <v>0</v>
      </c>
    </row>
    <row r="162" spans="1:62" ht="12.75">
      <c r="A162" s="36" t="s">
        <v>210</v>
      </c>
      <c r="B162" s="36" t="s">
        <v>59</v>
      </c>
      <c r="C162" s="36" t="s">
        <v>386</v>
      </c>
      <c r="D162" s="36" t="s">
        <v>572</v>
      </c>
      <c r="E162" s="36" t="s">
        <v>609</v>
      </c>
      <c r="F162" s="55">
        <f>'Stavební rozpočet'!F164</f>
        <v>0</v>
      </c>
      <c r="G162" s="55">
        <f>'Stavební rozpočet'!G164</f>
        <v>27.8</v>
      </c>
      <c r="H162" s="55">
        <f t="shared" si="176"/>
        <v>0</v>
      </c>
      <c r="I162" s="55">
        <f t="shared" si="177"/>
        <v>0</v>
      </c>
      <c r="J162" s="55">
        <f t="shared" si="178"/>
        <v>0</v>
      </c>
      <c r="K162" s="55">
        <f>'Stavební rozpočet'!K164</f>
        <v>0</v>
      </c>
      <c r="L162" s="55">
        <f t="shared" si="179"/>
        <v>0</v>
      </c>
      <c r="M162" s="51" t="s">
        <v>622</v>
      </c>
      <c r="Z162" s="29">
        <f t="shared" si="180"/>
        <v>0</v>
      </c>
      <c r="AB162" s="29">
        <f t="shared" si="181"/>
        <v>0</v>
      </c>
      <c r="AC162" s="29">
        <f t="shared" si="182"/>
        <v>0</v>
      </c>
      <c r="AD162" s="29">
        <f t="shared" si="183"/>
        <v>0</v>
      </c>
      <c r="AE162" s="29">
        <f t="shared" si="184"/>
        <v>0</v>
      </c>
      <c r="AF162" s="29">
        <f t="shared" si="185"/>
        <v>0</v>
      </c>
      <c r="AG162" s="29">
        <f t="shared" si="186"/>
        <v>0</v>
      </c>
      <c r="AH162" s="29">
        <f t="shared" si="187"/>
        <v>0</v>
      </c>
      <c r="AI162" s="48" t="s">
        <v>59</v>
      </c>
      <c r="AJ162" s="55">
        <f t="shared" si="188"/>
        <v>0</v>
      </c>
      <c r="AK162" s="55">
        <f t="shared" si="189"/>
        <v>0</v>
      </c>
      <c r="AL162" s="55">
        <f t="shared" si="190"/>
        <v>0</v>
      </c>
      <c r="AN162" s="29">
        <v>15</v>
      </c>
      <c r="AO162" s="29">
        <f t="shared" si="191"/>
        <v>0</v>
      </c>
      <c r="AP162" s="29">
        <f t="shared" si="192"/>
        <v>27.8</v>
      </c>
      <c r="AQ162" s="51" t="s">
        <v>79</v>
      </c>
      <c r="AV162" s="29">
        <f t="shared" si="193"/>
        <v>0</v>
      </c>
      <c r="AW162" s="29">
        <f t="shared" si="194"/>
        <v>0</v>
      </c>
      <c r="AX162" s="29">
        <f t="shared" si="195"/>
        <v>0</v>
      </c>
      <c r="AY162" s="54" t="s">
        <v>649</v>
      </c>
      <c r="AZ162" s="54" t="s">
        <v>652</v>
      </c>
      <c r="BA162" s="48" t="s">
        <v>658</v>
      </c>
      <c r="BC162" s="29">
        <f t="shared" si="196"/>
        <v>0</v>
      </c>
      <c r="BD162" s="29">
        <f t="shared" si="197"/>
        <v>27.800000000000004</v>
      </c>
      <c r="BE162" s="29">
        <v>0</v>
      </c>
      <c r="BF162" s="29">
        <f t="shared" si="198"/>
        <v>0</v>
      </c>
      <c r="BH162" s="55">
        <f t="shared" si="199"/>
        <v>0</v>
      </c>
      <c r="BI162" s="55">
        <f t="shared" si="200"/>
        <v>0</v>
      </c>
      <c r="BJ162" s="55">
        <f t="shared" si="201"/>
        <v>0</v>
      </c>
    </row>
    <row r="163" spans="1:62" ht="12.75">
      <c r="A163" s="36" t="s">
        <v>211</v>
      </c>
      <c r="B163" s="36" t="s">
        <v>59</v>
      </c>
      <c r="C163" s="36" t="s">
        <v>387</v>
      </c>
      <c r="D163" s="36" t="s">
        <v>573</v>
      </c>
      <c r="E163" s="36" t="s">
        <v>609</v>
      </c>
      <c r="F163" s="55">
        <f>'Stavební rozpočet'!F165</f>
        <v>0</v>
      </c>
      <c r="G163" s="55">
        <f>'Stavební rozpočet'!G165</f>
        <v>49.1</v>
      </c>
      <c r="H163" s="55">
        <f t="shared" si="176"/>
        <v>0</v>
      </c>
      <c r="I163" s="55">
        <f t="shared" si="177"/>
        <v>0</v>
      </c>
      <c r="J163" s="55">
        <f t="shared" si="178"/>
        <v>0</v>
      </c>
      <c r="K163" s="55">
        <f>'Stavební rozpočet'!K165</f>
        <v>0</v>
      </c>
      <c r="L163" s="55">
        <f t="shared" si="179"/>
        <v>0</v>
      </c>
      <c r="M163" s="51" t="s">
        <v>622</v>
      </c>
      <c r="Z163" s="29">
        <f t="shared" si="180"/>
        <v>0</v>
      </c>
      <c r="AB163" s="29">
        <f t="shared" si="181"/>
        <v>0</v>
      </c>
      <c r="AC163" s="29">
        <f t="shared" si="182"/>
        <v>0</v>
      </c>
      <c r="AD163" s="29">
        <f t="shared" si="183"/>
        <v>0</v>
      </c>
      <c r="AE163" s="29">
        <f t="shared" si="184"/>
        <v>0</v>
      </c>
      <c r="AF163" s="29">
        <f t="shared" si="185"/>
        <v>0</v>
      </c>
      <c r="AG163" s="29">
        <f t="shared" si="186"/>
        <v>0</v>
      </c>
      <c r="AH163" s="29">
        <f t="shared" si="187"/>
        <v>0</v>
      </c>
      <c r="AI163" s="48" t="s">
        <v>59</v>
      </c>
      <c r="AJ163" s="55">
        <f t="shared" si="188"/>
        <v>0</v>
      </c>
      <c r="AK163" s="55">
        <f t="shared" si="189"/>
        <v>0</v>
      </c>
      <c r="AL163" s="55">
        <f t="shared" si="190"/>
        <v>0</v>
      </c>
      <c r="AN163" s="29">
        <v>15</v>
      </c>
      <c r="AO163" s="29">
        <f t="shared" si="191"/>
        <v>0</v>
      </c>
      <c r="AP163" s="29">
        <f t="shared" si="192"/>
        <v>49.1</v>
      </c>
      <c r="AQ163" s="51" t="s">
        <v>79</v>
      </c>
      <c r="AV163" s="29">
        <f t="shared" si="193"/>
        <v>0</v>
      </c>
      <c r="AW163" s="29">
        <f t="shared" si="194"/>
        <v>0</v>
      </c>
      <c r="AX163" s="29">
        <f t="shared" si="195"/>
        <v>0</v>
      </c>
      <c r="AY163" s="54" t="s">
        <v>649</v>
      </c>
      <c r="AZ163" s="54" t="s">
        <v>652</v>
      </c>
      <c r="BA163" s="48" t="s">
        <v>658</v>
      </c>
      <c r="BC163" s="29">
        <f t="shared" si="196"/>
        <v>0</v>
      </c>
      <c r="BD163" s="29">
        <f t="shared" si="197"/>
        <v>49.1</v>
      </c>
      <c r="BE163" s="29">
        <v>0</v>
      </c>
      <c r="BF163" s="29">
        <f t="shared" si="198"/>
        <v>0</v>
      </c>
      <c r="BH163" s="55">
        <f t="shared" si="199"/>
        <v>0</v>
      </c>
      <c r="BI163" s="55">
        <f t="shared" si="200"/>
        <v>0</v>
      </c>
      <c r="BJ163" s="55">
        <f t="shared" si="201"/>
        <v>0</v>
      </c>
    </row>
    <row r="164" spans="1:62" ht="12.75">
      <c r="A164" s="36" t="s">
        <v>212</v>
      </c>
      <c r="B164" s="36" t="s">
        <v>59</v>
      </c>
      <c r="C164" s="36" t="s">
        <v>388</v>
      </c>
      <c r="D164" s="36" t="s">
        <v>574</v>
      </c>
      <c r="E164" s="36" t="s">
        <v>606</v>
      </c>
      <c r="F164" s="55">
        <f>'Stavební rozpočet'!F166</f>
        <v>0</v>
      </c>
      <c r="G164" s="55">
        <f>'Stavební rozpočet'!G166</f>
        <v>3110</v>
      </c>
      <c r="H164" s="55">
        <f t="shared" si="176"/>
        <v>0</v>
      </c>
      <c r="I164" s="55">
        <f t="shared" si="177"/>
        <v>0</v>
      </c>
      <c r="J164" s="55">
        <f t="shared" si="178"/>
        <v>0</v>
      </c>
      <c r="K164" s="55">
        <f>'Stavební rozpočet'!K166</f>
        <v>0</v>
      </c>
      <c r="L164" s="55">
        <f t="shared" si="179"/>
        <v>0</v>
      </c>
      <c r="M164" s="51" t="s">
        <v>622</v>
      </c>
      <c r="Z164" s="29">
        <f t="shared" si="180"/>
        <v>0</v>
      </c>
      <c r="AB164" s="29">
        <f t="shared" si="181"/>
        <v>0</v>
      </c>
      <c r="AC164" s="29">
        <f t="shared" si="182"/>
        <v>0</v>
      </c>
      <c r="AD164" s="29">
        <f t="shared" si="183"/>
        <v>0</v>
      </c>
      <c r="AE164" s="29">
        <f t="shared" si="184"/>
        <v>0</v>
      </c>
      <c r="AF164" s="29">
        <f t="shared" si="185"/>
        <v>0</v>
      </c>
      <c r="AG164" s="29">
        <f t="shared" si="186"/>
        <v>0</v>
      </c>
      <c r="AH164" s="29">
        <f t="shared" si="187"/>
        <v>0</v>
      </c>
      <c r="AI164" s="48" t="s">
        <v>59</v>
      </c>
      <c r="AJ164" s="55">
        <f t="shared" si="188"/>
        <v>0</v>
      </c>
      <c r="AK164" s="55">
        <f t="shared" si="189"/>
        <v>0</v>
      </c>
      <c r="AL164" s="55">
        <f t="shared" si="190"/>
        <v>0</v>
      </c>
      <c r="AN164" s="29">
        <v>15</v>
      </c>
      <c r="AO164" s="29">
        <f t="shared" si="191"/>
        <v>0</v>
      </c>
      <c r="AP164" s="29">
        <f t="shared" si="192"/>
        <v>3110</v>
      </c>
      <c r="AQ164" s="51" t="s">
        <v>79</v>
      </c>
      <c r="AV164" s="29">
        <f t="shared" si="193"/>
        <v>0</v>
      </c>
      <c r="AW164" s="29">
        <f t="shared" si="194"/>
        <v>0</v>
      </c>
      <c r="AX164" s="29">
        <f t="shared" si="195"/>
        <v>0</v>
      </c>
      <c r="AY164" s="54" t="s">
        <v>649</v>
      </c>
      <c r="AZ164" s="54" t="s">
        <v>652</v>
      </c>
      <c r="BA164" s="48" t="s">
        <v>658</v>
      </c>
      <c r="BC164" s="29">
        <f t="shared" si="196"/>
        <v>0</v>
      </c>
      <c r="BD164" s="29">
        <f t="shared" si="197"/>
        <v>3110</v>
      </c>
      <c r="BE164" s="29">
        <v>0</v>
      </c>
      <c r="BF164" s="29">
        <f t="shared" si="198"/>
        <v>0</v>
      </c>
      <c r="BH164" s="55">
        <f t="shared" si="199"/>
        <v>0</v>
      </c>
      <c r="BI164" s="55">
        <f t="shared" si="200"/>
        <v>0</v>
      </c>
      <c r="BJ164" s="55">
        <f t="shared" si="201"/>
        <v>0</v>
      </c>
    </row>
    <row r="165" spans="1:62" ht="12.75">
      <c r="A165" s="36" t="s">
        <v>213</v>
      </c>
      <c r="B165" s="36" t="s">
        <v>59</v>
      </c>
      <c r="C165" s="36" t="s">
        <v>389</v>
      </c>
      <c r="D165" s="36" t="s">
        <v>575</v>
      </c>
      <c r="E165" s="36" t="s">
        <v>611</v>
      </c>
      <c r="F165" s="55">
        <f>'Stavební rozpočet'!F167</f>
        <v>0</v>
      </c>
      <c r="G165" s="55">
        <f>'Stavební rozpočet'!G167</f>
        <v>450</v>
      </c>
      <c r="H165" s="55">
        <f t="shared" si="176"/>
        <v>0</v>
      </c>
      <c r="I165" s="55">
        <f t="shared" si="177"/>
        <v>0</v>
      </c>
      <c r="J165" s="55">
        <f t="shared" si="178"/>
        <v>0</v>
      </c>
      <c r="K165" s="55">
        <f>'Stavební rozpočet'!K167</f>
        <v>0</v>
      </c>
      <c r="L165" s="55">
        <f t="shared" si="179"/>
        <v>0</v>
      </c>
      <c r="M165" s="51" t="s">
        <v>622</v>
      </c>
      <c r="Z165" s="29">
        <f t="shared" si="180"/>
        <v>0</v>
      </c>
      <c r="AB165" s="29">
        <f t="shared" si="181"/>
        <v>0</v>
      </c>
      <c r="AC165" s="29">
        <f t="shared" si="182"/>
        <v>0</v>
      </c>
      <c r="AD165" s="29">
        <f t="shared" si="183"/>
        <v>0</v>
      </c>
      <c r="AE165" s="29">
        <f t="shared" si="184"/>
        <v>0</v>
      </c>
      <c r="AF165" s="29">
        <f t="shared" si="185"/>
        <v>0</v>
      </c>
      <c r="AG165" s="29">
        <f t="shared" si="186"/>
        <v>0</v>
      </c>
      <c r="AH165" s="29">
        <f t="shared" si="187"/>
        <v>0</v>
      </c>
      <c r="AI165" s="48" t="s">
        <v>59</v>
      </c>
      <c r="AJ165" s="55">
        <f t="shared" si="188"/>
        <v>0</v>
      </c>
      <c r="AK165" s="55">
        <f t="shared" si="189"/>
        <v>0</v>
      </c>
      <c r="AL165" s="55">
        <f t="shared" si="190"/>
        <v>0</v>
      </c>
      <c r="AN165" s="29">
        <v>15</v>
      </c>
      <c r="AO165" s="29">
        <f t="shared" si="191"/>
        <v>0</v>
      </c>
      <c r="AP165" s="29">
        <f t="shared" si="192"/>
        <v>450</v>
      </c>
      <c r="AQ165" s="51" t="s">
        <v>79</v>
      </c>
      <c r="AV165" s="29">
        <f t="shared" si="193"/>
        <v>0</v>
      </c>
      <c r="AW165" s="29">
        <f t="shared" si="194"/>
        <v>0</v>
      </c>
      <c r="AX165" s="29">
        <f t="shared" si="195"/>
        <v>0</v>
      </c>
      <c r="AY165" s="54" t="s">
        <v>649</v>
      </c>
      <c r="AZ165" s="54" t="s">
        <v>652</v>
      </c>
      <c r="BA165" s="48" t="s">
        <v>658</v>
      </c>
      <c r="BC165" s="29">
        <f t="shared" si="196"/>
        <v>0</v>
      </c>
      <c r="BD165" s="29">
        <f t="shared" si="197"/>
        <v>450</v>
      </c>
      <c r="BE165" s="29">
        <v>0</v>
      </c>
      <c r="BF165" s="29">
        <f t="shared" si="198"/>
        <v>0</v>
      </c>
      <c r="BH165" s="55">
        <f t="shared" si="199"/>
        <v>0</v>
      </c>
      <c r="BI165" s="55">
        <f t="shared" si="200"/>
        <v>0</v>
      </c>
      <c r="BJ165" s="55">
        <f t="shared" si="201"/>
        <v>0</v>
      </c>
    </row>
    <row r="166" spans="1:62" ht="12.75">
      <c r="A166" s="36" t="s">
        <v>214</v>
      </c>
      <c r="B166" s="36" t="s">
        <v>59</v>
      </c>
      <c r="C166" s="36" t="s">
        <v>390</v>
      </c>
      <c r="D166" s="36" t="s">
        <v>576</v>
      </c>
      <c r="E166" s="36" t="s">
        <v>613</v>
      </c>
      <c r="F166" s="55">
        <f>'Stavební rozpočet'!F168</f>
        <v>0</v>
      </c>
      <c r="G166" s="55">
        <f>'Stavební rozpočet'!G168</f>
        <v>740</v>
      </c>
      <c r="H166" s="55">
        <f t="shared" si="176"/>
        <v>0</v>
      </c>
      <c r="I166" s="55">
        <f t="shared" si="177"/>
        <v>0</v>
      </c>
      <c r="J166" s="55">
        <f t="shared" si="178"/>
        <v>0</v>
      </c>
      <c r="K166" s="55">
        <f>'Stavební rozpočet'!K168</f>
        <v>0</v>
      </c>
      <c r="L166" s="55">
        <f t="shared" si="179"/>
        <v>0</v>
      </c>
      <c r="M166" s="51" t="s">
        <v>622</v>
      </c>
      <c r="Z166" s="29">
        <f t="shared" si="180"/>
        <v>0</v>
      </c>
      <c r="AB166" s="29">
        <f t="shared" si="181"/>
        <v>0</v>
      </c>
      <c r="AC166" s="29">
        <f t="shared" si="182"/>
        <v>0</v>
      </c>
      <c r="AD166" s="29">
        <f t="shared" si="183"/>
        <v>0</v>
      </c>
      <c r="AE166" s="29">
        <f t="shared" si="184"/>
        <v>0</v>
      </c>
      <c r="AF166" s="29">
        <f t="shared" si="185"/>
        <v>0</v>
      </c>
      <c r="AG166" s="29">
        <f t="shared" si="186"/>
        <v>0</v>
      </c>
      <c r="AH166" s="29">
        <f t="shared" si="187"/>
        <v>0</v>
      </c>
      <c r="AI166" s="48" t="s">
        <v>59</v>
      </c>
      <c r="AJ166" s="55">
        <f t="shared" si="188"/>
        <v>0</v>
      </c>
      <c r="AK166" s="55">
        <f t="shared" si="189"/>
        <v>0</v>
      </c>
      <c r="AL166" s="55">
        <f t="shared" si="190"/>
        <v>0</v>
      </c>
      <c r="AN166" s="29">
        <v>15</v>
      </c>
      <c r="AO166" s="29">
        <f t="shared" si="191"/>
        <v>0</v>
      </c>
      <c r="AP166" s="29">
        <f t="shared" si="192"/>
        <v>740</v>
      </c>
      <c r="AQ166" s="51" t="s">
        <v>79</v>
      </c>
      <c r="AV166" s="29">
        <f t="shared" si="193"/>
        <v>0</v>
      </c>
      <c r="AW166" s="29">
        <f t="shared" si="194"/>
        <v>0</v>
      </c>
      <c r="AX166" s="29">
        <f t="shared" si="195"/>
        <v>0</v>
      </c>
      <c r="AY166" s="54" t="s">
        <v>649</v>
      </c>
      <c r="AZ166" s="54" t="s">
        <v>652</v>
      </c>
      <c r="BA166" s="48" t="s">
        <v>658</v>
      </c>
      <c r="BC166" s="29">
        <f t="shared" si="196"/>
        <v>0</v>
      </c>
      <c r="BD166" s="29">
        <f t="shared" si="197"/>
        <v>740</v>
      </c>
      <c r="BE166" s="29">
        <v>0</v>
      </c>
      <c r="BF166" s="29">
        <f t="shared" si="198"/>
        <v>0</v>
      </c>
      <c r="BH166" s="55">
        <f t="shared" si="199"/>
        <v>0</v>
      </c>
      <c r="BI166" s="55">
        <f t="shared" si="200"/>
        <v>0</v>
      </c>
      <c r="BJ166" s="55">
        <f t="shared" si="201"/>
        <v>0</v>
      </c>
    </row>
    <row r="167" spans="1:62" ht="12.75">
      <c r="A167" s="36" t="s">
        <v>215</v>
      </c>
      <c r="B167" s="36" t="s">
        <v>59</v>
      </c>
      <c r="C167" s="36" t="s">
        <v>391</v>
      </c>
      <c r="D167" s="36" t="s">
        <v>577</v>
      </c>
      <c r="E167" s="36" t="s">
        <v>614</v>
      </c>
      <c r="F167" s="55">
        <f>'Stavební rozpočet'!F169</f>
        <v>0</v>
      </c>
      <c r="G167" s="55">
        <f>'Stavební rozpočet'!G169</f>
        <v>960</v>
      </c>
      <c r="H167" s="55">
        <f t="shared" si="176"/>
        <v>0</v>
      </c>
      <c r="I167" s="55">
        <f t="shared" si="177"/>
        <v>0</v>
      </c>
      <c r="J167" s="55">
        <f t="shared" si="178"/>
        <v>0</v>
      </c>
      <c r="K167" s="55">
        <f>'Stavební rozpočet'!K169</f>
        <v>0</v>
      </c>
      <c r="L167" s="55">
        <f t="shared" si="179"/>
        <v>0</v>
      </c>
      <c r="M167" s="51" t="s">
        <v>622</v>
      </c>
      <c r="Z167" s="29">
        <f t="shared" si="180"/>
        <v>0</v>
      </c>
      <c r="AB167" s="29">
        <f t="shared" si="181"/>
        <v>0</v>
      </c>
      <c r="AC167" s="29">
        <f t="shared" si="182"/>
        <v>0</v>
      </c>
      <c r="AD167" s="29">
        <f t="shared" si="183"/>
        <v>0</v>
      </c>
      <c r="AE167" s="29">
        <f t="shared" si="184"/>
        <v>0</v>
      </c>
      <c r="AF167" s="29">
        <f t="shared" si="185"/>
        <v>0</v>
      </c>
      <c r="AG167" s="29">
        <f t="shared" si="186"/>
        <v>0</v>
      </c>
      <c r="AH167" s="29">
        <f t="shared" si="187"/>
        <v>0</v>
      </c>
      <c r="AI167" s="48" t="s">
        <v>59</v>
      </c>
      <c r="AJ167" s="55">
        <f t="shared" si="188"/>
        <v>0</v>
      </c>
      <c r="AK167" s="55">
        <f t="shared" si="189"/>
        <v>0</v>
      </c>
      <c r="AL167" s="55">
        <f t="shared" si="190"/>
        <v>0</v>
      </c>
      <c r="AN167" s="29">
        <v>15</v>
      </c>
      <c r="AO167" s="29">
        <f t="shared" si="191"/>
        <v>0</v>
      </c>
      <c r="AP167" s="29">
        <f t="shared" si="192"/>
        <v>960</v>
      </c>
      <c r="AQ167" s="51" t="s">
        <v>79</v>
      </c>
      <c r="AV167" s="29">
        <f t="shared" si="193"/>
        <v>0</v>
      </c>
      <c r="AW167" s="29">
        <f t="shared" si="194"/>
        <v>0</v>
      </c>
      <c r="AX167" s="29">
        <f t="shared" si="195"/>
        <v>0</v>
      </c>
      <c r="AY167" s="54" t="s">
        <v>649</v>
      </c>
      <c r="AZ167" s="54" t="s">
        <v>652</v>
      </c>
      <c r="BA167" s="48" t="s">
        <v>658</v>
      </c>
      <c r="BC167" s="29">
        <f t="shared" si="196"/>
        <v>0</v>
      </c>
      <c r="BD167" s="29">
        <f t="shared" si="197"/>
        <v>960</v>
      </c>
      <c r="BE167" s="29">
        <v>0</v>
      </c>
      <c r="BF167" s="29">
        <f t="shared" si="198"/>
        <v>0</v>
      </c>
      <c r="BH167" s="55">
        <f t="shared" si="199"/>
        <v>0</v>
      </c>
      <c r="BI167" s="55">
        <f t="shared" si="200"/>
        <v>0</v>
      </c>
      <c r="BJ167" s="55">
        <f t="shared" si="201"/>
        <v>0</v>
      </c>
    </row>
    <row r="168" spans="1:62" ht="12.75">
      <c r="A168" s="36" t="s">
        <v>216</v>
      </c>
      <c r="B168" s="36" t="s">
        <v>59</v>
      </c>
      <c r="C168" s="36" t="s">
        <v>392</v>
      </c>
      <c r="D168" s="36" t="s">
        <v>578</v>
      </c>
      <c r="E168" s="36" t="s">
        <v>611</v>
      </c>
      <c r="F168" s="55">
        <f>'Stavební rozpočet'!F170</f>
        <v>0</v>
      </c>
      <c r="G168" s="55">
        <f>'Stavební rozpočet'!G170</f>
        <v>350</v>
      </c>
      <c r="H168" s="55">
        <f t="shared" si="176"/>
        <v>0</v>
      </c>
      <c r="I168" s="55">
        <f t="shared" si="177"/>
        <v>0</v>
      </c>
      <c r="J168" s="55">
        <f t="shared" si="178"/>
        <v>0</v>
      </c>
      <c r="K168" s="55">
        <f>'Stavební rozpočet'!K170</f>
        <v>0</v>
      </c>
      <c r="L168" s="55">
        <f t="shared" si="179"/>
        <v>0</v>
      </c>
      <c r="M168" s="51" t="s">
        <v>622</v>
      </c>
      <c r="Z168" s="29">
        <f t="shared" si="180"/>
        <v>0</v>
      </c>
      <c r="AB168" s="29">
        <f t="shared" si="181"/>
        <v>0</v>
      </c>
      <c r="AC168" s="29">
        <f t="shared" si="182"/>
        <v>0</v>
      </c>
      <c r="AD168" s="29">
        <f t="shared" si="183"/>
        <v>0</v>
      </c>
      <c r="AE168" s="29">
        <f t="shared" si="184"/>
        <v>0</v>
      </c>
      <c r="AF168" s="29">
        <f t="shared" si="185"/>
        <v>0</v>
      </c>
      <c r="AG168" s="29">
        <f t="shared" si="186"/>
        <v>0</v>
      </c>
      <c r="AH168" s="29">
        <f t="shared" si="187"/>
        <v>0</v>
      </c>
      <c r="AI168" s="48" t="s">
        <v>59</v>
      </c>
      <c r="AJ168" s="55">
        <f t="shared" si="188"/>
        <v>0</v>
      </c>
      <c r="AK168" s="55">
        <f t="shared" si="189"/>
        <v>0</v>
      </c>
      <c r="AL168" s="55">
        <f t="shared" si="190"/>
        <v>0</v>
      </c>
      <c r="AN168" s="29">
        <v>15</v>
      </c>
      <c r="AO168" s="29">
        <f t="shared" si="191"/>
        <v>0</v>
      </c>
      <c r="AP168" s="29">
        <f t="shared" si="192"/>
        <v>350</v>
      </c>
      <c r="AQ168" s="51" t="s">
        <v>79</v>
      </c>
      <c r="AV168" s="29">
        <f t="shared" si="193"/>
        <v>0</v>
      </c>
      <c r="AW168" s="29">
        <f t="shared" si="194"/>
        <v>0</v>
      </c>
      <c r="AX168" s="29">
        <f t="shared" si="195"/>
        <v>0</v>
      </c>
      <c r="AY168" s="54" t="s">
        <v>649</v>
      </c>
      <c r="AZ168" s="54" t="s">
        <v>652</v>
      </c>
      <c r="BA168" s="48" t="s">
        <v>658</v>
      </c>
      <c r="BC168" s="29">
        <f t="shared" si="196"/>
        <v>0</v>
      </c>
      <c r="BD168" s="29">
        <f t="shared" si="197"/>
        <v>350</v>
      </c>
      <c r="BE168" s="29">
        <v>0</v>
      </c>
      <c r="BF168" s="29">
        <f t="shared" si="198"/>
        <v>0</v>
      </c>
      <c r="BH168" s="55">
        <f t="shared" si="199"/>
        <v>0</v>
      </c>
      <c r="BI168" s="55">
        <f t="shared" si="200"/>
        <v>0</v>
      </c>
      <c r="BJ168" s="55">
        <f t="shared" si="201"/>
        <v>0</v>
      </c>
    </row>
    <row r="169" spans="1:62" ht="12.75">
      <c r="A169" s="36" t="s">
        <v>217</v>
      </c>
      <c r="B169" s="36" t="s">
        <v>59</v>
      </c>
      <c r="C169" s="36" t="s">
        <v>393</v>
      </c>
      <c r="D169" s="36" t="s">
        <v>579</v>
      </c>
      <c r="E169" s="36" t="s">
        <v>609</v>
      </c>
      <c r="F169" s="55">
        <f>'Stavební rozpočet'!F171</f>
        <v>0</v>
      </c>
      <c r="G169" s="55">
        <f>'Stavební rozpočet'!G171</f>
        <v>10.2</v>
      </c>
      <c r="H169" s="55">
        <f t="shared" si="176"/>
        <v>0</v>
      </c>
      <c r="I169" s="55">
        <f t="shared" si="177"/>
        <v>0</v>
      </c>
      <c r="J169" s="55">
        <f t="shared" si="178"/>
        <v>0</v>
      </c>
      <c r="K169" s="55">
        <f>'Stavební rozpočet'!K171</f>
        <v>0</v>
      </c>
      <c r="L169" s="55">
        <f t="shared" si="179"/>
        <v>0</v>
      </c>
      <c r="M169" s="51" t="s">
        <v>622</v>
      </c>
      <c r="Z169" s="29">
        <f t="shared" si="180"/>
        <v>0</v>
      </c>
      <c r="AB169" s="29">
        <f t="shared" si="181"/>
        <v>0</v>
      </c>
      <c r="AC169" s="29">
        <f t="shared" si="182"/>
        <v>0</v>
      </c>
      <c r="AD169" s="29">
        <f t="shared" si="183"/>
        <v>0</v>
      </c>
      <c r="AE169" s="29">
        <f t="shared" si="184"/>
        <v>0</v>
      </c>
      <c r="AF169" s="29">
        <f t="shared" si="185"/>
        <v>0</v>
      </c>
      <c r="AG169" s="29">
        <f t="shared" si="186"/>
        <v>0</v>
      </c>
      <c r="AH169" s="29">
        <f t="shared" si="187"/>
        <v>0</v>
      </c>
      <c r="AI169" s="48" t="s">
        <v>59</v>
      </c>
      <c r="AJ169" s="55">
        <f t="shared" si="188"/>
        <v>0</v>
      </c>
      <c r="AK169" s="55">
        <f t="shared" si="189"/>
        <v>0</v>
      </c>
      <c r="AL169" s="55">
        <f t="shared" si="190"/>
        <v>0</v>
      </c>
      <c r="AN169" s="29">
        <v>15</v>
      </c>
      <c r="AO169" s="29">
        <f t="shared" si="191"/>
        <v>0</v>
      </c>
      <c r="AP169" s="29">
        <f t="shared" si="192"/>
        <v>10.2</v>
      </c>
      <c r="AQ169" s="51" t="s">
        <v>79</v>
      </c>
      <c r="AV169" s="29">
        <f t="shared" si="193"/>
        <v>0</v>
      </c>
      <c r="AW169" s="29">
        <f t="shared" si="194"/>
        <v>0</v>
      </c>
      <c r="AX169" s="29">
        <f t="shared" si="195"/>
        <v>0</v>
      </c>
      <c r="AY169" s="54" t="s">
        <v>649</v>
      </c>
      <c r="AZ169" s="54" t="s">
        <v>652</v>
      </c>
      <c r="BA169" s="48" t="s">
        <v>658</v>
      </c>
      <c r="BC169" s="29">
        <f t="shared" si="196"/>
        <v>0</v>
      </c>
      <c r="BD169" s="29">
        <f t="shared" si="197"/>
        <v>10.2</v>
      </c>
      <c r="BE169" s="29">
        <v>0</v>
      </c>
      <c r="BF169" s="29">
        <f t="shared" si="198"/>
        <v>0</v>
      </c>
      <c r="BH169" s="55">
        <f t="shared" si="199"/>
        <v>0</v>
      </c>
      <c r="BI169" s="55">
        <f t="shared" si="200"/>
        <v>0</v>
      </c>
      <c r="BJ169" s="55">
        <f t="shared" si="201"/>
        <v>0</v>
      </c>
    </row>
    <row r="170" spans="1:62" ht="12.75">
      <c r="A170" s="36" t="s">
        <v>218</v>
      </c>
      <c r="B170" s="36" t="s">
        <v>59</v>
      </c>
      <c r="C170" s="36" t="s">
        <v>394</v>
      </c>
      <c r="D170" s="36" t="s">
        <v>580</v>
      </c>
      <c r="E170" s="36" t="s">
        <v>609</v>
      </c>
      <c r="F170" s="55">
        <f>'Stavební rozpočet'!F172</f>
        <v>0</v>
      </c>
      <c r="G170" s="55">
        <f>'Stavební rozpočet'!G172</f>
        <v>12.3</v>
      </c>
      <c r="H170" s="55">
        <f t="shared" si="176"/>
        <v>0</v>
      </c>
      <c r="I170" s="55">
        <f t="shared" si="177"/>
        <v>0</v>
      </c>
      <c r="J170" s="55">
        <f t="shared" si="178"/>
        <v>0</v>
      </c>
      <c r="K170" s="55">
        <f>'Stavební rozpočet'!K172</f>
        <v>0</v>
      </c>
      <c r="L170" s="55">
        <f t="shared" si="179"/>
        <v>0</v>
      </c>
      <c r="M170" s="51" t="s">
        <v>622</v>
      </c>
      <c r="Z170" s="29">
        <f t="shared" si="180"/>
        <v>0</v>
      </c>
      <c r="AB170" s="29">
        <f t="shared" si="181"/>
        <v>0</v>
      </c>
      <c r="AC170" s="29">
        <f t="shared" si="182"/>
        <v>0</v>
      </c>
      <c r="AD170" s="29">
        <f t="shared" si="183"/>
        <v>0</v>
      </c>
      <c r="AE170" s="29">
        <f t="shared" si="184"/>
        <v>0</v>
      </c>
      <c r="AF170" s="29">
        <f t="shared" si="185"/>
        <v>0</v>
      </c>
      <c r="AG170" s="29">
        <f t="shared" si="186"/>
        <v>0</v>
      </c>
      <c r="AH170" s="29">
        <f t="shared" si="187"/>
        <v>0</v>
      </c>
      <c r="AI170" s="48" t="s">
        <v>59</v>
      </c>
      <c r="AJ170" s="55">
        <f t="shared" si="188"/>
        <v>0</v>
      </c>
      <c r="AK170" s="55">
        <f t="shared" si="189"/>
        <v>0</v>
      </c>
      <c r="AL170" s="55">
        <f t="shared" si="190"/>
        <v>0</v>
      </c>
      <c r="AN170" s="29">
        <v>15</v>
      </c>
      <c r="AO170" s="29">
        <f t="shared" si="191"/>
        <v>0</v>
      </c>
      <c r="AP170" s="29">
        <f t="shared" si="192"/>
        <v>12.3</v>
      </c>
      <c r="AQ170" s="51" t="s">
        <v>79</v>
      </c>
      <c r="AV170" s="29">
        <f t="shared" si="193"/>
        <v>0</v>
      </c>
      <c r="AW170" s="29">
        <f t="shared" si="194"/>
        <v>0</v>
      </c>
      <c r="AX170" s="29">
        <f t="shared" si="195"/>
        <v>0</v>
      </c>
      <c r="AY170" s="54" t="s">
        <v>649</v>
      </c>
      <c r="AZ170" s="54" t="s">
        <v>652</v>
      </c>
      <c r="BA170" s="48" t="s">
        <v>658</v>
      </c>
      <c r="BC170" s="29">
        <f t="shared" si="196"/>
        <v>0</v>
      </c>
      <c r="BD170" s="29">
        <f t="shared" si="197"/>
        <v>12.3</v>
      </c>
      <c r="BE170" s="29">
        <v>0</v>
      </c>
      <c r="BF170" s="29">
        <f t="shared" si="198"/>
        <v>0</v>
      </c>
      <c r="BH170" s="55">
        <f t="shared" si="199"/>
        <v>0</v>
      </c>
      <c r="BI170" s="55">
        <f t="shared" si="200"/>
        <v>0</v>
      </c>
      <c r="BJ170" s="55">
        <f t="shared" si="201"/>
        <v>0</v>
      </c>
    </row>
    <row r="171" spans="1:62" ht="12.75">
      <c r="A171" s="36" t="s">
        <v>219</v>
      </c>
      <c r="B171" s="36" t="s">
        <v>59</v>
      </c>
      <c r="C171" s="36" t="s">
        <v>395</v>
      </c>
      <c r="D171" s="36" t="s">
        <v>581</v>
      </c>
      <c r="E171" s="36" t="s">
        <v>613</v>
      </c>
      <c r="F171" s="55">
        <f>'Stavební rozpočet'!F173</f>
        <v>0</v>
      </c>
      <c r="G171" s="55">
        <f>'Stavební rozpočet'!G173</f>
        <v>55.9</v>
      </c>
      <c r="H171" s="55">
        <f t="shared" si="176"/>
        <v>0</v>
      </c>
      <c r="I171" s="55">
        <f t="shared" si="177"/>
        <v>0</v>
      </c>
      <c r="J171" s="55">
        <f t="shared" si="178"/>
        <v>0</v>
      </c>
      <c r="K171" s="55">
        <f>'Stavební rozpočet'!K173</f>
        <v>0</v>
      </c>
      <c r="L171" s="55">
        <f t="shared" si="179"/>
        <v>0</v>
      </c>
      <c r="M171" s="51" t="s">
        <v>622</v>
      </c>
      <c r="Z171" s="29">
        <f t="shared" si="180"/>
        <v>0</v>
      </c>
      <c r="AB171" s="29">
        <f t="shared" si="181"/>
        <v>0</v>
      </c>
      <c r="AC171" s="29">
        <f t="shared" si="182"/>
        <v>0</v>
      </c>
      <c r="AD171" s="29">
        <f t="shared" si="183"/>
        <v>0</v>
      </c>
      <c r="AE171" s="29">
        <f t="shared" si="184"/>
        <v>0</v>
      </c>
      <c r="AF171" s="29">
        <f t="shared" si="185"/>
        <v>0</v>
      </c>
      <c r="AG171" s="29">
        <f t="shared" si="186"/>
        <v>0</v>
      </c>
      <c r="AH171" s="29">
        <f t="shared" si="187"/>
        <v>0</v>
      </c>
      <c r="AI171" s="48" t="s">
        <v>59</v>
      </c>
      <c r="AJ171" s="55">
        <f t="shared" si="188"/>
        <v>0</v>
      </c>
      <c r="AK171" s="55">
        <f t="shared" si="189"/>
        <v>0</v>
      </c>
      <c r="AL171" s="55">
        <f t="shared" si="190"/>
        <v>0</v>
      </c>
      <c r="AN171" s="29">
        <v>15</v>
      </c>
      <c r="AO171" s="29">
        <f t="shared" si="191"/>
        <v>0</v>
      </c>
      <c r="AP171" s="29">
        <f t="shared" si="192"/>
        <v>55.9</v>
      </c>
      <c r="AQ171" s="51" t="s">
        <v>79</v>
      </c>
      <c r="AV171" s="29">
        <f t="shared" si="193"/>
        <v>0</v>
      </c>
      <c r="AW171" s="29">
        <f t="shared" si="194"/>
        <v>0</v>
      </c>
      <c r="AX171" s="29">
        <f t="shared" si="195"/>
        <v>0</v>
      </c>
      <c r="AY171" s="54" t="s">
        <v>649</v>
      </c>
      <c r="AZ171" s="54" t="s">
        <v>652</v>
      </c>
      <c r="BA171" s="48" t="s">
        <v>658</v>
      </c>
      <c r="BC171" s="29">
        <f t="shared" si="196"/>
        <v>0</v>
      </c>
      <c r="BD171" s="29">
        <f t="shared" si="197"/>
        <v>55.89999999999999</v>
      </c>
      <c r="BE171" s="29">
        <v>0</v>
      </c>
      <c r="BF171" s="29">
        <f t="shared" si="198"/>
        <v>0</v>
      </c>
      <c r="BH171" s="55">
        <f t="shared" si="199"/>
        <v>0</v>
      </c>
      <c r="BI171" s="55">
        <f t="shared" si="200"/>
        <v>0</v>
      </c>
      <c r="BJ171" s="55">
        <f t="shared" si="201"/>
        <v>0</v>
      </c>
    </row>
    <row r="172" spans="1:62" ht="12.75">
      <c r="A172" s="36" t="s">
        <v>220</v>
      </c>
      <c r="B172" s="36" t="s">
        <v>59</v>
      </c>
      <c r="C172" s="36" t="s">
        <v>396</v>
      </c>
      <c r="D172" s="36" t="s">
        <v>582</v>
      </c>
      <c r="E172" s="36" t="s">
        <v>606</v>
      </c>
      <c r="F172" s="55">
        <f>'Stavební rozpočet'!F174</f>
        <v>0</v>
      </c>
      <c r="G172" s="55">
        <f>'Stavební rozpočet'!G174</f>
        <v>26.3</v>
      </c>
      <c r="H172" s="55">
        <f t="shared" si="176"/>
        <v>0</v>
      </c>
      <c r="I172" s="55">
        <f t="shared" si="177"/>
        <v>0</v>
      </c>
      <c r="J172" s="55">
        <f t="shared" si="178"/>
        <v>0</v>
      </c>
      <c r="K172" s="55">
        <f>'Stavební rozpočet'!K174</f>
        <v>0</v>
      </c>
      <c r="L172" s="55">
        <f t="shared" si="179"/>
        <v>0</v>
      </c>
      <c r="M172" s="51" t="s">
        <v>622</v>
      </c>
      <c r="Z172" s="29">
        <f t="shared" si="180"/>
        <v>0</v>
      </c>
      <c r="AB172" s="29">
        <f t="shared" si="181"/>
        <v>0</v>
      </c>
      <c r="AC172" s="29">
        <f t="shared" si="182"/>
        <v>0</v>
      </c>
      <c r="AD172" s="29">
        <f t="shared" si="183"/>
        <v>0</v>
      </c>
      <c r="AE172" s="29">
        <f t="shared" si="184"/>
        <v>0</v>
      </c>
      <c r="AF172" s="29">
        <f t="shared" si="185"/>
        <v>0</v>
      </c>
      <c r="AG172" s="29">
        <f t="shared" si="186"/>
        <v>0</v>
      </c>
      <c r="AH172" s="29">
        <f t="shared" si="187"/>
        <v>0</v>
      </c>
      <c r="AI172" s="48" t="s">
        <v>59</v>
      </c>
      <c r="AJ172" s="55">
        <f t="shared" si="188"/>
        <v>0</v>
      </c>
      <c r="AK172" s="55">
        <f t="shared" si="189"/>
        <v>0</v>
      </c>
      <c r="AL172" s="55">
        <f t="shared" si="190"/>
        <v>0</v>
      </c>
      <c r="AN172" s="29">
        <v>15</v>
      </c>
      <c r="AO172" s="29">
        <f t="shared" si="191"/>
        <v>0</v>
      </c>
      <c r="AP172" s="29">
        <f t="shared" si="192"/>
        <v>26.3</v>
      </c>
      <c r="AQ172" s="51" t="s">
        <v>79</v>
      </c>
      <c r="AV172" s="29">
        <f t="shared" si="193"/>
        <v>0</v>
      </c>
      <c r="AW172" s="29">
        <f t="shared" si="194"/>
        <v>0</v>
      </c>
      <c r="AX172" s="29">
        <f t="shared" si="195"/>
        <v>0</v>
      </c>
      <c r="AY172" s="54" t="s">
        <v>649</v>
      </c>
      <c r="AZ172" s="54" t="s">
        <v>652</v>
      </c>
      <c r="BA172" s="48" t="s">
        <v>658</v>
      </c>
      <c r="BC172" s="29">
        <f t="shared" si="196"/>
        <v>0</v>
      </c>
      <c r="BD172" s="29">
        <f t="shared" si="197"/>
        <v>26.3</v>
      </c>
      <c r="BE172" s="29">
        <v>0</v>
      </c>
      <c r="BF172" s="29">
        <f t="shared" si="198"/>
        <v>0</v>
      </c>
      <c r="BH172" s="55">
        <f t="shared" si="199"/>
        <v>0</v>
      </c>
      <c r="BI172" s="55">
        <f t="shared" si="200"/>
        <v>0</v>
      </c>
      <c r="BJ172" s="55">
        <f t="shared" si="201"/>
        <v>0</v>
      </c>
    </row>
    <row r="173" spans="1:62" ht="12.75">
      <c r="A173" s="36" t="s">
        <v>221</v>
      </c>
      <c r="B173" s="36" t="s">
        <v>59</v>
      </c>
      <c r="C173" s="36" t="s">
        <v>397</v>
      </c>
      <c r="D173" s="36" t="s">
        <v>583</v>
      </c>
      <c r="E173" s="36" t="s">
        <v>609</v>
      </c>
      <c r="F173" s="55">
        <f>'Stavební rozpočet'!F175</f>
        <v>0</v>
      </c>
      <c r="G173" s="55">
        <f>'Stavební rozpočet'!G175</f>
        <v>17.9</v>
      </c>
      <c r="H173" s="55">
        <f t="shared" si="176"/>
        <v>0</v>
      </c>
      <c r="I173" s="55">
        <f t="shared" si="177"/>
        <v>0</v>
      </c>
      <c r="J173" s="55">
        <f t="shared" si="178"/>
        <v>0</v>
      </c>
      <c r="K173" s="55">
        <f>'Stavební rozpočet'!K175</f>
        <v>0</v>
      </c>
      <c r="L173" s="55">
        <f t="shared" si="179"/>
        <v>0</v>
      </c>
      <c r="M173" s="51" t="s">
        <v>622</v>
      </c>
      <c r="Z173" s="29">
        <f t="shared" si="180"/>
        <v>0</v>
      </c>
      <c r="AB173" s="29">
        <f t="shared" si="181"/>
        <v>0</v>
      </c>
      <c r="AC173" s="29">
        <f t="shared" si="182"/>
        <v>0</v>
      </c>
      <c r="AD173" s="29">
        <f t="shared" si="183"/>
        <v>0</v>
      </c>
      <c r="AE173" s="29">
        <f t="shared" si="184"/>
        <v>0</v>
      </c>
      <c r="AF173" s="29">
        <f t="shared" si="185"/>
        <v>0</v>
      </c>
      <c r="AG173" s="29">
        <f t="shared" si="186"/>
        <v>0</v>
      </c>
      <c r="AH173" s="29">
        <f t="shared" si="187"/>
        <v>0</v>
      </c>
      <c r="AI173" s="48" t="s">
        <v>59</v>
      </c>
      <c r="AJ173" s="55">
        <f t="shared" si="188"/>
        <v>0</v>
      </c>
      <c r="AK173" s="55">
        <f t="shared" si="189"/>
        <v>0</v>
      </c>
      <c r="AL173" s="55">
        <f t="shared" si="190"/>
        <v>0</v>
      </c>
      <c r="AN173" s="29">
        <v>15</v>
      </c>
      <c r="AO173" s="29">
        <f t="shared" si="191"/>
        <v>0</v>
      </c>
      <c r="AP173" s="29">
        <f t="shared" si="192"/>
        <v>17.9</v>
      </c>
      <c r="AQ173" s="51" t="s">
        <v>79</v>
      </c>
      <c r="AV173" s="29">
        <f t="shared" si="193"/>
        <v>0</v>
      </c>
      <c r="AW173" s="29">
        <f t="shared" si="194"/>
        <v>0</v>
      </c>
      <c r="AX173" s="29">
        <f t="shared" si="195"/>
        <v>0</v>
      </c>
      <c r="AY173" s="54" t="s">
        <v>649</v>
      </c>
      <c r="AZ173" s="54" t="s">
        <v>652</v>
      </c>
      <c r="BA173" s="48" t="s">
        <v>658</v>
      </c>
      <c r="BC173" s="29">
        <f t="shared" si="196"/>
        <v>0</v>
      </c>
      <c r="BD173" s="29">
        <f t="shared" si="197"/>
        <v>17.9</v>
      </c>
      <c r="BE173" s="29">
        <v>0</v>
      </c>
      <c r="BF173" s="29">
        <f t="shared" si="198"/>
        <v>0</v>
      </c>
      <c r="BH173" s="55">
        <f t="shared" si="199"/>
        <v>0</v>
      </c>
      <c r="BI173" s="55">
        <f t="shared" si="200"/>
        <v>0</v>
      </c>
      <c r="BJ173" s="55">
        <f t="shared" si="201"/>
        <v>0</v>
      </c>
    </row>
    <row r="174" spans="1:62" ht="12.75">
      <c r="A174" s="36" t="s">
        <v>222</v>
      </c>
      <c r="B174" s="36" t="s">
        <v>59</v>
      </c>
      <c r="C174" s="36" t="s">
        <v>398</v>
      </c>
      <c r="D174" s="36" t="s">
        <v>584</v>
      </c>
      <c r="E174" s="36" t="s">
        <v>609</v>
      </c>
      <c r="F174" s="55">
        <f>'Stavební rozpočet'!F176</f>
        <v>0</v>
      </c>
      <c r="G174" s="55">
        <f>'Stavební rozpočet'!G176</f>
        <v>15.9</v>
      </c>
      <c r="H174" s="55">
        <f t="shared" si="176"/>
        <v>0</v>
      </c>
      <c r="I174" s="55">
        <f t="shared" si="177"/>
        <v>0</v>
      </c>
      <c r="J174" s="55">
        <f t="shared" si="178"/>
        <v>0</v>
      </c>
      <c r="K174" s="55">
        <f>'Stavební rozpočet'!K176</f>
        <v>0</v>
      </c>
      <c r="L174" s="55">
        <f t="shared" si="179"/>
        <v>0</v>
      </c>
      <c r="M174" s="51" t="s">
        <v>622</v>
      </c>
      <c r="Z174" s="29">
        <f t="shared" si="180"/>
        <v>0</v>
      </c>
      <c r="AB174" s="29">
        <f t="shared" si="181"/>
        <v>0</v>
      </c>
      <c r="AC174" s="29">
        <f t="shared" si="182"/>
        <v>0</v>
      </c>
      <c r="AD174" s="29">
        <f t="shared" si="183"/>
        <v>0</v>
      </c>
      <c r="AE174" s="29">
        <f t="shared" si="184"/>
        <v>0</v>
      </c>
      <c r="AF174" s="29">
        <f t="shared" si="185"/>
        <v>0</v>
      </c>
      <c r="AG174" s="29">
        <f t="shared" si="186"/>
        <v>0</v>
      </c>
      <c r="AH174" s="29">
        <f t="shared" si="187"/>
        <v>0</v>
      </c>
      <c r="AI174" s="48" t="s">
        <v>59</v>
      </c>
      <c r="AJ174" s="55">
        <f t="shared" si="188"/>
        <v>0</v>
      </c>
      <c r="AK174" s="55">
        <f t="shared" si="189"/>
        <v>0</v>
      </c>
      <c r="AL174" s="55">
        <f t="shared" si="190"/>
        <v>0</v>
      </c>
      <c r="AN174" s="29">
        <v>15</v>
      </c>
      <c r="AO174" s="29">
        <f t="shared" si="191"/>
        <v>0</v>
      </c>
      <c r="AP174" s="29">
        <f t="shared" si="192"/>
        <v>15.9</v>
      </c>
      <c r="AQ174" s="51" t="s">
        <v>79</v>
      </c>
      <c r="AV174" s="29">
        <f t="shared" si="193"/>
        <v>0</v>
      </c>
      <c r="AW174" s="29">
        <f t="shared" si="194"/>
        <v>0</v>
      </c>
      <c r="AX174" s="29">
        <f t="shared" si="195"/>
        <v>0</v>
      </c>
      <c r="AY174" s="54" t="s">
        <v>649</v>
      </c>
      <c r="AZ174" s="54" t="s">
        <v>652</v>
      </c>
      <c r="BA174" s="48" t="s">
        <v>658</v>
      </c>
      <c r="BC174" s="29">
        <f t="shared" si="196"/>
        <v>0</v>
      </c>
      <c r="BD174" s="29">
        <f t="shared" si="197"/>
        <v>15.9</v>
      </c>
      <c r="BE174" s="29">
        <v>0</v>
      </c>
      <c r="BF174" s="29">
        <f t="shared" si="198"/>
        <v>0</v>
      </c>
      <c r="BH174" s="55">
        <f t="shared" si="199"/>
        <v>0</v>
      </c>
      <c r="BI174" s="55">
        <f t="shared" si="200"/>
        <v>0</v>
      </c>
      <c r="BJ174" s="55">
        <f t="shared" si="201"/>
        <v>0</v>
      </c>
    </row>
    <row r="175" spans="1:62" ht="12.75">
      <c r="A175" s="36" t="s">
        <v>223</v>
      </c>
      <c r="B175" s="36" t="s">
        <v>59</v>
      </c>
      <c r="C175" s="36" t="s">
        <v>399</v>
      </c>
      <c r="D175" s="36" t="s">
        <v>585</v>
      </c>
      <c r="E175" s="36" t="s">
        <v>606</v>
      </c>
      <c r="F175" s="55">
        <f>'Stavební rozpočet'!F177</f>
        <v>0</v>
      </c>
      <c r="G175" s="55">
        <f>'Stavební rozpočet'!G177</f>
        <v>16</v>
      </c>
      <c r="H175" s="55">
        <f t="shared" si="176"/>
        <v>0</v>
      </c>
      <c r="I175" s="55">
        <f t="shared" si="177"/>
        <v>0</v>
      </c>
      <c r="J175" s="55">
        <f t="shared" si="178"/>
        <v>0</v>
      </c>
      <c r="K175" s="55">
        <f>'Stavební rozpočet'!K177</f>
        <v>0</v>
      </c>
      <c r="L175" s="55">
        <f t="shared" si="179"/>
        <v>0</v>
      </c>
      <c r="M175" s="51" t="s">
        <v>622</v>
      </c>
      <c r="Z175" s="29">
        <f t="shared" si="180"/>
        <v>0</v>
      </c>
      <c r="AB175" s="29">
        <f t="shared" si="181"/>
        <v>0</v>
      </c>
      <c r="AC175" s="29">
        <f t="shared" si="182"/>
        <v>0</v>
      </c>
      <c r="AD175" s="29">
        <f t="shared" si="183"/>
        <v>0</v>
      </c>
      <c r="AE175" s="29">
        <f t="shared" si="184"/>
        <v>0</v>
      </c>
      <c r="AF175" s="29">
        <f t="shared" si="185"/>
        <v>0</v>
      </c>
      <c r="AG175" s="29">
        <f t="shared" si="186"/>
        <v>0</v>
      </c>
      <c r="AH175" s="29">
        <f t="shared" si="187"/>
        <v>0</v>
      </c>
      <c r="AI175" s="48" t="s">
        <v>59</v>
      </c>
      <c r="AJ175" s="55">
        <f t="shared" si="188"/>
        <v>0</v>
      </c>
      <c r="AK175" s="55">
        <f t="shared" si="189"/>
        <v>0</v>
      </c>
      <c r="AL175" s="55">
        <f t="shared" si="190"/>
        <v>0</v>
      </c>
      <c r="AN175" s="29">
        <v>15</v>
      </c>
      <c r="AO175" s="29">
        <f t="shared" si="191"/>
        <v>0</v>
      </c>
      <c r="AP175" s="29">
        <f t="shared" si="192"/>
        <v>16</v>
      </c>
      <c r="AQ175" s="51" t="s">
        <v>79</v>
      </c>
      <c r="AV175" s="29">
        <f t="shared" si="193"/>
        <v>0</v>
      </c>
      <c r="AW175" s="29">
        <f t="shared" si="194"/>
        <v>0</v>
      </c>
      <c r="AX175" s="29">
        <f t="shared" si="195"/>
        <v>0</v>
      </c>
      <c r="AY175" s="54" t="s">
        <v>649</v>
      </c>
      <c r="AZ175" s="54" t="s">
        <v>652</v>
      </c>
      <c r="BA175" s="48" t="s">
        <v>658</v>
      </c>
      <c r="BC175" s="29">
        <f t="shared" si="196"/>
        <v>0</v>
      </c>
      <c r="BD175" s="29">
        <f t="shared" si="197"/>
        <v>16</v>
      </c>
      <c r="BE175" s="29">
        <v>0</v>
      </c>
      <c r="BF175" s="29">
        <f t="shared" si="198"/>
        <v>0</v>
      </c>
      <c r="BH175" s="55">
        <f t="shared" si="199"/>
        <v>0</v>
      </c>
      <c r="BI175" s="55">
        <f t="shared" si="200"/>
        <v>0</v>
      </c>
      <c r="BJ175" s="55">
        <f t="shared" si="201"/>
        <v>0</v>
      </c>
    </row>
    <row r="176" spans="1:62" ht="12.75">
      <c r="A176" s="36" t="s">
        <v>224</v>
      </c>
      <c r="B176" s="36" t="s">
        <v>59</v>
      </c>
      <c r="C176" s="36" t="s">
        <v>400</v>
      </c>
      <c r="D176" s="36" t="s">
        <v>586</v>
      </c>
      <c r="E176" s="36" t="s">
        <v>613</v>
      </c>
      <c r="F176" s="55">
        <f>'Stavební rozpočet'!F178</f>
        <v>0</v>
      </c>
      <c r="G176" s="55">
        <f>'Stavební rozpočet'!G178</f>
        <v>9.5</v>
      </c>
      <c r="H176" s="55">
        <f t="shared" si="176"/>
        <v>0</v>
      </c>
      <c r="I176" s="55">
        <f t="shared" si="177"/>
        <v>0</v>
      </c>
      <c r="J176" s="55">
        <f t="shared" si="178"/>
        <v>0</v>
      </c>
      <c r="K176" s="55">
        <f>'Stavební rozpočet'!K178</f>
        <v>0</v>
      </c>
      <c r="L176" s="55">
        <f t="shared" si="179"/>
        <v>0</v>
      </c>
      <c r="M176" s="51" t="s">
        <v>622</v>
      </c>
      <c r="Z176" s="29">
        <f t="shared" si="180"/>
        <v>0</v>
      </c>
      <c r="AB176" s="29">
        <f t="shared" si="181"/>
        <v>0</v>
      </c>
      <c r="AC176" s="29">
        <f t="shared" si="182"/>
        <v>0</v>
      </c>
      <c r="AD176" s="29">
        <f t="shared" si="183"/>
        <v>0</v>
      </c>
      <c r="AE176" s="29">
        <f t="shared" si="184"/>
        <v>0</v>
      </c>
      <c r="AF176" s="29">
        <f t="shared" si="185"/>
        <v>0</v>
      </c>
      <c r="AG176" s="29">
        <f t="shared" si="186"/>
        <v>0</v>
      </c>
      <c r="AH176" s="29">
        <f t="shared" si="187"/>
        <v>0</v>
      </c>
      <c r="AI176" s="48" t="s">
        <v>59</v>
      </c>
      <c r="AJ176" s="55">
        <f t="shared" si="188"/>
        <v>0</v>
      </c>
      <c r="AK176" s="55">
        <f t="shared" si="189"/>
        <v>0</v>
      </c>
      <c r="AL176" s="55">
        <f t="shared" si="190"/>
        <v>0</v>
      </c>
      <c r="AN176" s="29">
        <v>15</v>
      </c>
      <c r="AO176" s="29">
        <f t="shared" si="191"/>
        <v>0</v>
      </c>
      <c r="AP176" s="29">
        <f t="shared" si="192"/>
        <v>9.5</v>
      </c>
      <c r="AQ176" s="51" t="s">
        <v>79</v>
      </c>
      <c r="AV176" s="29">
        <f t="shared" si="193"/>
        <v>0</v>
      </c>
      <c r="AW176" s="29">
        <f t="shared" si="194"/>
        <v>0</v>
      </c>
      <c r="AX176" s="29">
        <f t="shared" si="195"/>
        <v>0</v>
      </c>
      <c r="AY176" s="54" t="s">
        <v>649</v>
      </c>
      <c r="AZ176" s="54" t="s">
        <v>652</v>
      </c>
      <c r="BA176" s="48" t="s">
        <v>658</v>
      </c>
      <c r="BC176" s="29">
        <f t="shared" si="196"/>
        <v>0</v>
      </c>
      <c r="BD176" s="29">
        <f t="shared" si="197"/>
        <v>9.5</v>
      </c>
      <c r="BE176" s="29">
        <v>0</v>
      </c>
      <c r="BF176" s="29">
        <f t="shared" si="198"/>
        <v>0</v>
      </c>
      <c r="BH176" s="55">
        <f t="shared" si="199"/>
        <v>0</v>
      </c>
      <c r="BI176" s="55">
        <f t="shared" si="200"/>
        <v>0</v>
      </c>
      <c r="BJ176" s="55">
        <f t="shared" si="201"/>
        <v>0</v>
      </c>
    </row>
    <row r="177" spans="1:62" ht="12.75">
      <c r="A177" s="36" t="s">
        <v>225</v>
      </c>
      <c r="B177" s="36" t="s">
        <v>59</v>
      </c>
      <c r="C177" s="36" t="s">
        <v>401</v>
      </c>
      <c r="D177" s="36" t="s">
        <v>587</v>
      </c>
      <c r="E177" s="36" t="s">
        <v>613</v>
      </c>
      <c r="F177" s="55">
        <f>'Stavební rozpočet'!F179</f>
        <v>0</v>
      </c>
      <c r="G177" s="55">
        <f>'Stavební rozpočet'!G179</f>
        <v>6.5</v>
      </c>
      <c r="H177" s="55">
        <f t="shared" si="176"/>
        <v>0</v>
      </c>
      <c r="I177" s="55">
        <f t="shared" si="177"/>
        <v>0</v>
      </c>
      <c r="J177" s="55">
        <f t="shared" si="178"/>
        <v>0</v>
      </c>
      <c r="K177" s="55">
        <f>'Stavební rozpočet'!K179</f>
        <v>0</v>
      </c>
      <c r="L177" s="55">
        <f t="shared" si="179"/>
        <v>0</v>
      </c>
      <c r="M177" s="51" t="s">
        <v>622</v>
      </c>
      <c r="Z177" s="29">
        <f t="shared" si="180"/>
        <v>0</v>
      </c>
      <c r="AB177" s="29">
        <f t="shared" si="181"/>
        <v>0</v>
      </c>
      <c r="AC177" s="29">
        <f t="shared" si="182"/>
        <v>0</v>
      </c>
      <c r="AD177" s="29">
        <f t="shared" si="183"/>
        <v>0</v>
      </c>
      <c r="AE177" s="29">
        <f t="shared" si="184"/>
        <v>0</v>
      </c>
      <c r="AF177" s="29">
        <f t="shared" si="185"/>
        <v>0</v>
      </c>
      <c r="AG177" s="29">
        <f t="shared" si="186"/>
        <v>0</v>
      </c>
      <c r="AH177" s="29">
        <f t="shared" si="187"/>
        <v>0</v>
      </c>
      <c r="AI177" s="48" t="s">
        <v>59</v>
      </c>
      <c r="AJ177" s="55">
        <f t="shared" si="188"/>
        <v>0</v>
      </c>
      <c r="AK177" s="55">
        <f t="shared" si="189"/>
        <v>0</v>
      </c>
      <c r="AL177" s="55">
        <f t="shared" si="190"/>
        <v>0</v>
      </c>
      <c r="AN177" s="29">
        <v>15</v>
      </c>
      <c r="AO177" s="29">
        <f t="shared" si="191"/>
        <v>0</v>
      </c>
      <c r="AP177" s="29">
        <f t="shared" si="192"/>
        <v>6.5</v>
      </c>
      <c r="AQ177" s="51" t="s">
        <v>79</v>
      </c>
      <c r="AV177" s="29">
        <f t="shared" si="193"/>
        <v>0</v>
      </c>
      <c r="AW177" s="29">
        <f t="shared" si="194"/>
        <v>0</v>
      </c>
      <c r="AX177" s="29">
        <f t="shared" si="195"/>
        <v>0</v>
      </c>
      <c r="AY177" s="54" t="s">
        <v>649</v>
      </c>
      <c r="AZ177" s="54" t="s">
        <v>652</v>
      </c>
      <c r="BA177" s="48" t="s">
        <v>658</v>
      </c>
      <c r="BC177" s="29">
        <f t="shared" si="196"/>
        <v>0</v>
      </c>
      <c r="BD177" s="29">
        <f t="shared" si="197"/>
        <v>6.5</v>
      </c>
      <c r="BE177" s="29">
        <v>0</v>
      </c>
      <c r="BF177" s="29">
        <f t="shared" si="198"/>
        <v>0</v>
      </c>
      <c r="BH177" s="55">
        <f t="shared" si="199"/>
        <v>0</v>
      </c>
      <c r="BI177" s="55">
        <f t="shared" si="200"/>
        <v>0</v>
      </c>
      <c r="BJ177" s="55">
        <f t="shared" si="201"/>
        <v>0</v>
      </c>
    </row>
    <row r="178" spans="1:62" ht="12.75">
      <c r="A178" s="36" t="s">
        <v>226</v>
      </c>
      <c r="B178" s="36" t="s">
        <v>59</v>
      </c>
      <c r="C178" s="36" t="s">
        <v>402</v>
      </c>
      <c r="D178" s="36" t="s">
        <v>588</v>
      </c>
      <c r="E178" s="36" t="s">
        <v>615</v>
      </c>
      <c r="F178" s="55">
        <f>'Stavební rozpočet'!F180</f>
        <v>0</v>
      </c>
      <c r="G178" s="55">
        <f>'Stavební rozpočet'!G180</f>
        <v>52</v>
      </c>
      <c r="H178" s="55">
        <f t="shared" si="176"/>
        <v>0</v>
      </c>
      <c r="I178" s="55">
        <f t="shared" si="177"/>
        <v>0</v>
      </c>
      <c r="J178" s="55">
        <f t="shared" si="178"/>
        <v>0</v>
      </c>
      <c r="K178" s="55">
        <f>'Stavební rozpočet'!K180</f>
        <v>0</v>
      </c>
      <c r="L178" s="55">
        <f t="shared" si="179"/>
        <v>0</v>
      </c>
      <c r="M178" s="51" t="s">
        <v>622</v>
      </c>
      <c r="Z178" s="29">
        <f t="shared" si="180"/>
        <v>0</v>
      </c>
      <c r="AB178" s="29">
        <f t="shared" si="181"/>
        <v>0</v>
      </c>
      <c r="AC178" s="29">
        <f t="shared" si="182"/>
        <v>0</v>
      </c>
      <c r="AD178" s="29">
        <f t="shared" si="183"/>
        <v>0</v>
      </c>
      <c r="AE178" s="29">
        <f t="shared" si="184"/>
        <v>0</v>
      </c>
      <c r="AF178" s="29">
        <f t="shared" si="185"/>
        <v>0</v>
      </c>
      <c r="AG178" s="29">
        <f t="shared" si="186"/>
        <v>0</v>
      </c>
      <c r="AH178" s="29">
        <f t="shared" si="187"/>
        <v>0</v>
      </c>
      <c r="AI178" s="48" t="s">
        <v>59</v>
      </c>
      <c r="AJ178" s="55">
        <f t="shared" si="188"/>
        <v>0</v>
      </c>
      <c r="AK178" s="55">
        <f t="shared" si="189"/>
        <v>0</v>
      </c>
      <c r="AL178" s="55">
        <f t="shared" si="190"/>
        <v>0</v>
      </c>
      <c r="AN178" s="29">
        <v>15</v>
      </c>
      <c r="AO178" s="29">
        <f t="shared" si="191"/>
        <v>0</v>
      </c>
      <c r="AP178" s="29">
        <f t="shared" si="192"/>
        <v>52</v>
      </c>
      <c r="AQ178" s="51" t="s">
        <v>79</v>
      </c>
      <c r="AV178" s="29">
        <f t="shared" si="193"/>
        <v>0</v>
      </c>
      <c r="AW178" s="29">
        <f t="shared" si="194"/>
        <v>0</v>
      </c>
      <c r="AX178" s="29">
        <f t="shared" si="195"/>
        <v>0</v>
      </c>
      <c r="AY178" s="54" t="s">
        <v>649</v>
      </c>
      <c r="AZ178" s="54" t="s">
        <v>652</v>
      </c>
      <c r="BA178" s="48" t="s">
        <v>658</v>
      </c>
      <c r="BC178" s="29">
        <f t="shared" si="196"/>
        <v>0</v>
      </c>
      <c r="BD178" s="29">
        <f t="shared" si="197"/>
        <v>52</v>
      </c>
      <c r="BE178" s="29">
        <v>0</v>
      </c>
      <c r="BF178" s="29">
        <f t="shared" si="198"/>
        <v>0</v>
      </c>
      <c r="BH178" s="55">
        <f t="shared" si="199"/>
        <v>0</v>
      </c>
      <c r="BI178" s="55">
        <f t="shared" si="200"/>
        <v>0</v>
      </c>
      <c r="BJ178" s="55">
        <f t="shared" si="201"/>
        <v>0</v>
      </c>
    </row>
    <row r="179" spans="1:62" ht="12.75">
      <c r="A179" s="36" t="s">
        <v>227</v>
      </c>
      <c r="B179" s="36" t="s">
        <v>59</v>
      </c>
      <c r="C179" s="36" t="s">
        <v>403</v>
      </c>
      <c r="D179" s="36" t="s">
        <v>589</v>
      </c>
      <c r="E179" s="36" t="s">
        <v>606</v>
      </c>
      <c r="F179" s="55">
        <f>'Stavební rozpočet'!F181</f>
        <v>0</v>
      </c>
      <c r="G179" s="55">
        <f>'Stavební rozpočet'!G181</f>
        <v>600</v>
      </c>
      <c r="H179" s="55">
        <f t="shared" si="176"/>
        <v>0</v>
      </c>
      <c r="I179" s="55">
        <f t="shared" si="177"/>
        <v>0</v>
      </c>
      <c r="J179" s="55">
        <f t="shared" si="178"/>
        <v>0</v>
      </c>
      <c r="K179" s="55">
        <f>'Stavební rozpočet'!K181</f>
        <v>0</v>
      </c>
      <c r="L179" s="55">
        <f t="shared" si="179"/>
        <v>0</v>
      </c>
      <c r="M179" s="51" t="s">
        <v>622</v>
      </c>
      <c r="Z179" s="29">
        <f t="shared" si="180"/>
        <v>0</v>
      </c>
      <c r="AB179" s="29">
        <f t="shared" si="181"/>
        <v>0</v>
      </c>
      <c r="AC179" s="29">
        <f t="shared" si="182"/>
        <v>0</v>
      </c>
      <c r="AD179" s="29">
        <f t="shared" si="183"/>
        <v>0</v>
      </c>
      <c r="AE179" s="29">
        <f t="shared" si="184"/>
        <v>0</v>
      </c>
      <c r="AF179" s="29">
        <f t="shared" si="185"/>
        <v>0</v>
      </c>
      <c r="AG179" s="29">
        <f t="shared" si="186"/>
        <v>0</v>
      </c>
      <c r="AH179" s="29">
        <f t="shared" si="187"/>
        <v>0</v>
      </c>
      <c r="AI179" s="48" t="s">
        <v>59</v>
      </c>
      <c r="AJ179" s="55">
        <f t="shared" si="188"/>
        <v>0</v>
      </c>
      <c r="AK179" s="55">
        <f t="shared" si="189"/>
        <v>0</v>
      </c>
      <c r="AL179" s="55">
        <f t="shared" si="190"/>
        <v>0</v>
      </c>
      <c r="AN179" s="29">
        <v>15</v>
      </c>
      <c r="AO179" s="29">
        <f t="shared" si="191"/>
        <v>0</v>
      </c>
      <c r="AP179" s="29">
        <f t="shared" si="192"/>
        <v>600</v>
      </c>
      <c r="AQ179" s="51" t="s">
        <v>79</v>
      </c>
      <c r="AV179" s="29">
        <f t="shared" si="193"/>
        <v>0</v>
      </c>
      <c r="AW179" s="29">
        <f t="shared" si="194"/>
        <v>0</v>
      </c>
      <c r="AX179" s="29">
        <f t="shared" si="195"/>
        <v>0</v>
      </c>
      <c r="AY179" s="54" t="s">
        <v>649</v>
      </c>
      <c r="AZ179" s="54" t="s">
        <v>652</v>
      </c>
      <c r="BA179" s="48" t="s">
        <v>658</v>
      </c>
      <c r="BC179" s="29">
        <f t="shared" si="196"/>
        <v>0</v>
      </c>
      <c r="BD179" s="29">
        <f t="shared" si="197"/>
        <v>600</v>
      </c>
      <c r="BE179" s="29">
        <v>0</v>
      </c>
      <c r="BF179" s="29">
        <f t="shared" si="198"/>
        <v>0</v>
      </c>
      <c r="BH179" s="55">
        <f t="shared" si="199"/>
        <v>0</v>
      </c>
      <c r="BI179" s="55">
        <f t="shared" si="200"/>
        <v>0</v>
      </c>
      <c r="BJ179" s="55">
        <f t="shared" si="201"/>
        <v>0</v>
      </c>
    </row>
    <row r="180" spans="1:62" ht="12.75">
      <c r="A180" s="36" t="s">
        <v>228</v>
      </c>
      <c r="B180" s="36" t="s">
        <v>59</v>
      </c>
      <c r="C180" s="36" t="s">
        <v>404</v>
      </c>
      <c r="D180" s="36" t="s">
        <v>590</v>
      </c>
      <c r="E180" s="36" t="s">
        <v>606</v>
      </c>
      <c r="F180" s="55">
        <f>'Stavební rozpočet'!F182</f>
        <v>0</v>
      </c>
      <c r="G180" s="55">
        <f>'Stavební rozpočet'!G182</f>
        <v>274</v>
      </c>
      <c r="H180" s="55">
        <f t="shared" si="176"/>
        <v>0</v>
      </c>
      <c r="I180" s="55">
        <f t="shared" si="177"/>
        <v>0</v>
      </c>
      <c r="J180" s="55">
        <f t="shared" si="178"/>
        <v>0</v>
      </c>
      <c r="K180" s="55">
        <f>'Stavební rozpočet'!K182</f>
        <v>0</v>
      </c>
      <c r="L180" s="55">
        <f t="shared" si="179"/>
        <v>0</v>
      </c>
      <c r="M180" s="51" t="s">
        <v>622</v>
      </c>
      <c r="Z180" s="29">
        <f t="shared" si="180"/>
        <v>0</v>
      </c>
      <c r="AB180" s="29">
        <f t="shared" si="181"/>
        <v>0</v>
      </c>
      <c r="AC180" s="29">
        <f t="shared" si="182"/>
        <v>0</v>
      </c>
      <c r="AD180" s="29">
        <f t="shared" si="183"/>
        <v>0</v>
      </c>
      <c r="AE180" s="29">
        <f t="shared" si="184"/>
        <v>0</v>
      </c>
      <c r="AF180" s="29">
        <f t="shared" si="185"/>
        <v>0</v>
      </c>
      <c r="AG180" s="29">
        <f t="shared" si="186"/>
        <v>0</v>
      </c>
      <c r="AH180" s="29">
        <f t="shared" si="187"/>
        <v>0</v>
      </c>
      <c r="AI180" s="48" t="s">
        <v>59</v>
      </c>
      <c r="AJ180" s="55">
        <f t="shared" si="188"/>
        <v>0</v>
      </c>
      <c r="AK180" s="55">
        <f t="shared" si="189"/>
        <v>0</v>
      </c>
      <c r="AL180" s="55">
        <f t="shared" si="190"/>
        <v>0</v>
      </c>
      <c r="AN180" s="29">
        <v>15</v>
      </c>
      <c r="AO180" s="29">
        <f t="shared" si="191"/>
        <v>0</v>
      </c>
      <c r="AP180" s="29">
        <f t="shared" si="192"/>
        <v>274</v>
      </c>
      <c r="AQ180" s="51" t="s">
        <v>79</v>
      </c>
      <c r="AV180" s="29">
        <f t="shared" si="193"/>
        <v>0</v>
      </c>
      <c r="AW180" s="29">
        <f t="shared" si="194"/>
        <v>0</v>
      </c>
      <c r="AX180" s="29">
        <f t="shared" si="195"/>
        <v>0</v>
      </c>
      <c r="AY180" s="54" t="s">
        <v>649</v>
      </c>
      <c r="AZ180" s="54" t="s">
        <v>652</v>
      </c>
      <c r="BA180" s="48" t="s">
        <v>658</v>
      </c>
      <c r="BC180" s="29">
        <f t="shared" si="196"/>
        <v>0</v>
      </c>
      <c r="BD180" s="29">
        <f t="shared" si="197"/>
        <v>274</v>
      </c>
      <c r="BE180" s="29">
        <v>0</v>
      </c>
      <c r="BF180" s="29">
        <f t="shared" si="198"/>
        <v>0</v>
      </c>
      <c r="BH180" s="55">
        <f t="shared" si="199"/>
        <v>0</v>
      </c>
      <c r="BI180" s="55">
        <f t="shared" si="200"/>
        <v>0</v>
      </c>
      <c r="BJ180" s="55">
        <f t="shared" si="201"/>
        <v>0</v>
      </c>
    </row>
    <row r="181" spans="1:62" ht="12.75">
      <c r="A181" s="36" t="s">
        <v>229</v>
      </c>
      <c r="B181" s="36" t="s">
        <v>59</v>
      </c>
      <c r="C181" s="36" t="s">
        <v>405</v>
      </c>
      <c r="D181" s="36" t="s">
        <v>591</v>
      </c>
      <c r="E181" s="36" t="s">
        <v>606</v>
      </c>
      <c r="F181" s="55">
        <f>'Stavební rozpočet'!F183</f>
        <v>0</v>
      </c>
      <c r="G181" s="55">
        <f>'Stavební rozpočet'!G183</f>
        <v>1652</v>
      </c>
      <c r="H181" s="55">
        <f t="shared" si="176"/>
        <v>0</v>
      </c>
      <c r="I181" s="55">
        <f t="shared" si="177"/>
        <v>0</v>
      </c>
      <c r="J181" s="55">
        <f t="shared" si="178"/>
        <v>0</v>
      </c>
      <c r="K181" s="55">
        <f>'Stavební rozpočet'!K183</f>
        <v>0</v>
      </c>
      <c r="L181" s="55">
        <f t="shared" si="179"/>
        <v>0</v>
      </c>
      <c r="M181" s="51" t="s">
        <v>622</v>
      </c>
      <c r="Z181" s="29">
        <f t="shared" si="180"/>
        <v>0</v>
      </c>
      <c r="AB181" s="29">
        <f t="shared" si="181"/>
        <v>0</v>
      </c>
      <c r="AC181" s="29">
        <f t="shared" si="182"/>
        <v>0</v>
      </c>
      <c r="AD181" s="29">
        <f t="shared" si="183"/>
        <v>0</v>
      </c>
      <c r="AE181" s="29">
        <f t="shared" si="184"/>
        <v>0</v>
      </c>
      <c r="AF181" s="29">
        <f t="shared" si="185"/>
        <v>0</v>
      </c>
      <c r="AG181" s="29">
        <f t="shared" si="186"/>
        <v>0</v>
      </c>
      <c r="AH181" s="29">
        <f t="shared" si="187"/>
        <v>0</v>
      </c>
      <c r="AI181" s="48" t="s">
        <v>59</v>
      </c>
      <c r="AJ181" s="55">
        <f t="shared" si="188"/>
        <v>0</v>
      </c>
      <c r="AK181" s="55">
        <f t="shared" si="189"/>
        <v>0</v>
      </c>
      <c r="AL181" s="55">
        <f t="shared" si="190"/>
        <v>0</v>
      </c>
      <c r="AN181" s="29">
        <v>15</v>
      </c>
      <c r="AO181" s="29">
        <f t="shared" si="191"/>
        <v>0</v>
      </c>
      <c r="AP181" s="29">
        <f t="shared" si="192"/>
        <v>1652</v>
      </c>
      <c r="AQ181" s="51" t="s">
        <v>79</v>
      </c>
      <c r="AV181" s="29">
        <f t="shared" si="193"/>
        <v>0</v>
      </c>
      <c r="AW181" s="29">
        <f t="shared" si="194"/>
        <v>0</v>
      </c>
      <c r="AX181" s="29">
        <f t="shared" si="195"/>
        <v>0</v>
      </c>
      <c r="AY181" s="54" t="s">
        <v>649</v>
      </c>
      <c r="AZ181" s="54" t="s">
        <v>652</v>
      </c>
      <c r="BA181" s="48" t="s">
        <v>658</v>
      </c>
      <c r="BC181" s="29">
        <f t="shared" si="196"/>
        <v>0</v>
      </c>
      <c r="BD181" s="29">
        <f t="shared" si="197"/>
        <v>1652</v>
      </c>
      <c r="BE181" s="29">
        <v>0</v>
      </c>
      <c r="BF181" s="29">
        <f t="shared" si="198"/>
        <v>0</v>
      </c>
      <c r="BH181" s="55">
        <f t="shared" si="199"/>
        <v>0</v>
      </c>
      <c r="BI181" s="55">
        <f t="shared" si="200"/>
        <v>0</v>
      </c>
      <c r="BJ181" s="55">
        <f t="shared" si="201"/>
        <v>0</v>
      </c>
    </row>
    <row r="182" spans="1:62" ht="12.75">
      <c r="A182" s="36" t="s">
        <v>230</v>
      </c>
      <c r="B182" s="36" t="s">
        <v>59</v>
      </c>
      <c r="C182" s="36" t="s">
        <v>406</v>
      </c>
      <c r="D182" s="36" t="s">
        <v>592</v>
      </c>
      <c r="E182" s="36" t="s">
        <v>606</v>
      </c>
      <c r="F182" s="55">
        <f>'Stavební rozpočet'!F184</f>
        <v>0</v>
      </c>
      <c r="G182" s="55">
        <f>'Stavební rozpočet'!G184</f>
        <v>1760</v>
      </c>
      <c r="H182" s="55">
        <f t="shared" si="176"/>
        <v>0</v>
      </c>
      <c r="I182" s="55">
        <f t="shared" si="177"/>
        <v>0</v>
      </c>
      <c r="J182" s="55">
        <f t="shared" si="178"/>
        <v>0</v>
      </c>
      <c r="K182" s="55">
        <f>'Stavební rozpočet'!K184</f>
        <v>0</v>
      </c>
      <c r="L182" s="55">
        <f t="shared" si="179"/>
        <v>0</v>
      </c>
      <c r="M182" s="51" t="s">
        <v>622</v>
      </c>
      <c r="Z182" s="29">
        <f t="shared" si="180"/>
        <v>0</v>
      </c>
      <c r="AB182" s="29">
        <f t="shared" si="181"/>
        <v>0</v>
      </c>
      <c r="AC182" s="29">
        <f t="shared" si="182"/>
        <v>0</v>
      </c>
      <c r="AD182" s="29">
        <f t="shared" si="183"/>
        <v>0</v>
      </c>
      <c r="AE182" s="29">
        <f t="shared" si="184"/>
        <v>0</v>
      </c>
      <c r="AF182" s="29">
        <f t="shared" si="185"/>
        <v>0</v>
      </c>
      <c r="AG182" s="29">
        <f t="shared" si="186"/>
        <v>0</v>
      </c>
      <c r="AH182" s="29">
        <f t="shared" si="187"/>
        <v>0</v>
      </c>
      <c r="AI182" s="48" t="s">
        <v>59</v>
      </c>
      <c r="AJ182" s="55">
        <f t="shared" si="188"/>
        <v>0</v>
      </c>
      <c r="AK182" s="55">
        <f t="shared" si="189"/>
        <v>0</v>
      </c>
      <c r="AL182" s="55">
        <f t="shared" si="190"/>
        <v>0</v>
      </c>
      <c r="AN182" s="29">
        <v>15</v>
      </c>
      <c r="AO182" s="29">
        <f t="shared" si="191"/>
        <v>0</v>
      </c>
      <c r="AP182" s="29">
        <f t="shared" si="192"/>
        <v>1760</v>
      </c>
      <c r="AQ182" s="51" t="s">
        <v>79</v>
      </c>
      <c r="AV182" s="29">
        <f t="shared" si="193"/>
        <v>0</v>
      </c>
      <c r="AW182" s="29">
        <f t="shared" si="194"/>
        <v>0</v>
      </c>
      <c r="AX182" s="29">
        <f t="shared" si="195"/>
        <v>0</v>
      </c>
      <c r="AY182" s="54" t="s">
        <v>649</v>
      </c>
      <c r="AZ182" s="54" t="s">
        <v>652</v>
      </c>
      <c r="BA182" s="48" t="s">
        <v>658</v>
      </c>
      <c r="BC182" s="29">
        <f t="shared" si="196"/>
        <v>0</v>
      </c>
      <c r="BD182" s="29">
        <f t="shared" si="197"/>
        <v>1760.0000000000002</v>
      </c>
      <c r="BE182" s="29">
        <v>0</v>
      </c>
      <c r="BF182" s="29">
        <f t="shared" si="198"/>
        <v>0</v>
      </c>
      <c r="BH182" s="55">
        <f t="shared" si="199"/>
        <v>0</v>
      </c>
      <c r="BI182" s="55">
        <f t="shared" si="200"/>
        <v>0</v>
      </c>
      <c r="BJ182" s="55">
        <f t="shared" si="201"/>
        <v>0</v>
      </c>
    </row>
    <row r="183" spans="1:62" ht="12.75">
      <c r="A183" s="36" t="s">
        <v>231</v>
      </c>
      <c r="B183" s="36" t="s">
        <v>59</v>
      </c>
      <c r="C183" s="36" t="s">
        <v>407</v>
      </c>
      <c r="D183" s="36" t="s">
        <v>593</v>
      </c>
      <c r="E183" s="36" t="s">
        <v>606</v>
      </c>
      <c r="F183" s="55">
        <f>'Stavební rozpočet'!F185</f>
        <v>0</v>
      </c>
      <c r="G183" s="55">
        <f>'Stavební rozpočet'!G185</f>
        <v>1412</v>
      </c>
      <c r="H183" s="55">
        <f t="shared" si="176"/>
        <v>0</v>
      </c>
      <c r="I183" s="55">
        <f t="shared" si="177"/>
        <v>0</v>
      </c>
      <c r="J183" s="55">
        <f t="shared" si="178"/>
        <v>0</v>
      </c>
      <c r="K183" s="55">
        <f>'Stavební rozpočet'!K185</f>
        <v>0</v>
      </c>
      <c r="L183" s="55">
        <f t="shared" si="179"/>
        <v>0</v>
      </c>
      <c r="M183" s="51" t="s">
        <v>622</v>
      </c>
      <c r="Z183" s="29">
        <f t="shared" si="180"/>
        <v>0</v>
      </c>
      <c r="AB183" s="29">
        <f t="shared" si="181"/>
        <v>0</v>
      </c>
      <c r="AC183" s="29">
        <f t="shared" si="182"/>
        <v>0</v>
      </c>
      <c r="AD183" s="29">
        <f t="shared" si="183"/>
        <v>0</v>
      </c>
      <c r="AE183" s="29">
        <f t="shared" si="184"/>
        <v>0</v>
      </c>
      <c r="AF183" s="29">
        <f t="shared" si="185"/>
        <v>0</v>
      </c>
      <c r="AG183" s="29">
        <f t="shared" si="186"/>
        <v>0</v>
      </c>
      <c r="AH183" s="29">
        <f t="shared" si="187"/>
        <v>0</v>
      </c>
      <c r="AI183" s="48" t="s">
        <v>59</v>
      </c>
      <c r="AJ183" s="55">
        <f t="shared" si="188"/>
        <v>0</v>
      </c>
      <c r="AK183" s="55">
        <f t="shared" si="189"/>
        <v>0</v>
      </c>
      <c r="AL183" s="55">
        <f t="shared" si="190"/>
        <v>0</v>
      </c>
      <c r="AN183" s="29">
        <v>15</v>
      </c>
      <c r="AO183" s="29">
        <f t="shared" si="191"/>
        <v>0</v>
      </c>
      <c r="AP183" s="29">
        <f t="shared" si="192"/>
        <v>1412</v>
      </c>
      <c r="AQ183" s="51" t="s">
        <v>79</v>
      </c>
      <c r="AV183" s="29">
        <f t="shared" si="193"/>
        <v>0</v>
      </c>
      <c r="AW183" s="29">
        <f t="shared" si="194"/>
        <v>0</v>
      </c>
      <c r="AX183" s="29">
        <f t="shared" si="195"/>
        <v>0</v>
      </c>
      <c r="AY183" s="54" t="s">
        <v>649</v>
      </c>
      <c r="AZ183" s="54" t="s">
        <v>652</v>
      </c>
      <c r="BA183" s="48" t="s">
        <v>658</v>
      </c>
      <c r="BC183" s="29">
        <f t="shared" si="196"/>
        <v>0</v>
      </c>
      <c r="BD183" s="29">
        <f t="shared" si="197"/>
        <v>1412</v>
      </c>
      <c r="BE183" s="29">
        <v>0</v>
      </c>
      <c r="BF183" s="29">
        <f t="shared" si="198"/>
        <v>0</v>
      </c>
      <c r="BH183" s="55">
        <f t="shared" si="199"/>
        <v>0</v>
      </c>
      <c r="BI183" s="55">
        <f t="shared" si="200"/>
        <v>0</v>
      </c>
      <c r="BJ183" s="55">
        <f t="shared" si="201"/>
        <v>0</v>
      </c>
    </row>
    <row r="184" spans="1:62" ht="12.75">
      <c r="A184" s="36" t="s">
        <v>232</v>
      </c>
      <c r="B184" s="36" t="s">
        <v>59</v>
      </c>
      <c r="C184" s="36" t="s">
        <v>408</v>
      </c>
      <c r="D184" s="36" t="s">
        <v>594</v>
      </c>
      <c r="E184" s="36" t="s">
        <v>606</v>
      </c>
      <c r="F184" s="55">
        <f>'Stavební rozpočet'!F186</f>
        <v>0</v>
      </c>
      <c r="G184" s="55">
        <f>'Stavební rozpočet'!G186</f>
        <v>215</v>
      </c>
      <c r="H184" s="55">
        <f t="shared" si="176"/>
        <v>0</v>
      </c>
      <c r="I184" s="55">
        <f t="shared" si="177"/>
        <v>0</v>
      </c>
      <c r="J184" s="55">
        <f t="shared" si="178"/>
        <v>0</v>
      </c>
      <c r="K184" s="55">
        <f>'Stavební rozpočet'!K186</f>
        <v>0</v>
      </c>
      <c r="L184" s="55">
        <f t="shared" si="179"/>
        <v>0</v>
      </c>
      <c r="M184" s="51" t="s">
        <v>622</v>
      </c>
      <c r="Z184" s="29">
        <f t="shared" si="180"/>
        <v>0</v>
      </c>
      <c r="AB184" s="29">
        <f t="shared" si="181"/>
        <v>0</v>
      </c>
      <c r="AC184" s="29">
        <f t="shared" si="182"/>
        <v>0</v>
      </c>
      <c r="AD184" s="29">
        <f t="shared" si="183"/>
        <v>0</v>
      </c>
      <c r="AE184" s="29">
        <f t="shared" si="184"/>
        <v>0</v>
      </c>
      <c r="AF184" s="29">
        <f t="shared" si="185"/>
        <v>0</v>
      </c>
      <c r="AG184" s="29">
        <f t="shared" si="186"/>
        <v>0</v>
      </c>
      <c r="AH184" s="29">
        <f t="shared" si="187"/>
        <v>0</v>
      </c>
      <c r="AI184" s="48" t="s">
        <v>59</v>
      </c>
      <c r="AJ184" s="55">
        <f t="shared" si="188"/>
        <v>0</v>
      </c>
      <c r="AK184" s="55">
        <f t="shared" si="189"/>
        <v>0</v>
      </c>
      <c r="AL184" s="55">
        <f t="shared" si="190"/>
        <v>0</v>
      </c>
      <c r="AN184" s="29">
        <v>15</v>
      </c>
      <c r="AO184" s="29">
        <f t="shared" si="191"/>
        <v>0</v>
      </c>
      <c r="AP184" s="29">
        <f t="shared" si="192"/>
        <v>215</v>
      </c>
      <c r="AQ184" s="51" t="s">
        <v>79</v>
      </c>
      <c r="AV184" s="29">
        <f t="shared" si="193"/>
        <v>0</v>
      </c>
      <c r="AW184" s="29">
        <f t="shared" si="194"/>
        <v>0</v>
      </c>
      <c r="AX184" s="29">
        <f t="shared" si="195"/>
        <v>0</v>
      </c>
      <c r="AY184" s="54" t="s">
        <v>649</v>
      </c>
      <c r="AZ184" s="54" t="s">
        <v>652</v>
      </c>
      <c r="BA184" s="48" t="s">
        <v>658</v>
      </c>
      <c r="BC184" s="29">
        <f t="shared" si="196"/>
        <v>0</v>
      </c>
      <c r="BD184" s="29">
        <f t="shared" si="197"/>
        <v>215</v>
      </c>
      <c r="BE184" s="29">
        <v>0</v>
      </c>
      <c r="BF184" s="29">
        <f t="shared" si="198"/>
        <v>0</v>
      </c>
      <c r="BH184" s="55">
        <f t="shared" si="199"/>
        <v>0</v>
      </c>
      <c r="BI184" s="55">
        <f t="shared" si="200"/>
        <v>0</v>
      </c>
      <c r="BJ184" s="55">
        <f t="shared" si="201"/>
        <v>0</v>
      </c>
    </row>
    <row r="185" spans="1:62" ht="12.75">
      <c r="A185" s="36" t="s">
        <v>233</v>
      </c>
      <c r="B185" s="36" t="s">
        <v>59</v>
      </c>
      <c r="C185" s="36" t="s">
        <v>409</v>
      </c>
      <c r="D185" s="36" t="s">
        <v>595</v>
      </c>
      <c r="E185" s="36" t="s">
        <v>606</v>
      </c>
      <c r="F185" s="55">
        <f>'Stavební rozpočet'!F187</f>
        <v>0</v>
      </c>
      <c r="G185" s="55">
        <f>'Stavební rozpočet'!G187</f>
        <v>2110</v>
      </c>
      <c r="H185" s="55">
        <f t="shared" si="176"/>
        <v>0</v>
      </c>
      <c r="I185" s="55">
        <f t="shared" si="177"/>
        <v>0</v>
      </c>
      <c r="J185" s="55">
        <f t="shared" si="178"/>
        <v>0</v>
      </c>
      <c r="K185" s="55">
        <f>'Stavební rozpočet'!K187</f>
        <v>0</v>
      </c>
      <c r="L185" s="55">
        <f t="shared" si="179"/>
        <v>0</v>
      </c>
      <c r="M185" s="51" t="s">
        <v>622</v>
      </c>
      <c r="Z185" s="29">
        <f t="shared" si="180"/>
        <v>0</v>
      </c>
      <c r="AB185" s="29">
        <f t="shared" si="181"/>
        <v>0</v>
      </c>
      <c r="AC185" s="29">
        <f t="shared" si="182"/>
        <v>0</v>
      </c>
      <c r="AD185" s="29">
        <f t="shared" si="183"/>
        <v>0</v>
      </c>
      <c r="AE185" s="29">
        <f t="shared" si="184"/>
        <v>0</v>
      </c>
      <c r="AF185" s="29">
        <f t="shared" si="185"/>
        <v>0</v>
      </c>
      <c r="AG185" s="29">
        <f t="shared" si="186"/>
        <v>0</v>
      </c>
      <c r="AH185" s="29">
        <f t="shared" si="187"/>
        <v>0</v>
      </c>
      <c r="AI185" s="48" t="s">
        <v>59</v>
      </c>
      <c r="AJ185" s="55">
        <f t="shared" si="188"/>
        <v>0</v>
      </c>
      <c r="AK185" s="55">
        <f t="shared" si="189"/>
        <v>0</v>
      </c>
      <c r="AL185" s="55">
        <f t="shared" si="190"/>
        <v>0</v>
      </c>
      <c r="AN185" s="29">
        <v>15</v>
      </c>
      <c r="AO185" s="29">
        <f t="shared" si="191"/>
        <v>0</v>
      </c>
      <c r="AP185" s="29">
        <f t="shared" si="192"/>
        <v>2110</v>
      </c>
      <c r="AQ185" s="51" t="s">
        <v>79</v>
      </c>
      <c r="AV185" s="29">
        <f t="shared" si="193"/>
        <v>0</v>
      </c>
      <c r="AW185" s="29">
        <f t="shared" si="194"/>
        <v>0</v>
      </c>
      <c r="AX185" s="29">
        <f t="shared" si="195"/>
        <v>0</v>
      </c>
      <c r="AY185" s="54" t="s">
        <v>649</v>
      </c>
      <c r="AZ185" s="54" t="s">
        <v>652</v>
      </c>
      <c r="BA185" s="48" t="s">
        <v>658</v>
      </c>
      <c r="BC185" s="29">
        <f t="shared" si="196"/>
        <v>0</v>
      </c>
      <c r="BD185" s="29">
        <f t="shared" si="197"/>
        <v>2110</v>
      </c>
      <c r="BE185" s="29">
        <v>0</v>
      </c>
      <c r="BF185" s="29">
        <f t="shared" si="198"/>
        <v>0</v>
      </c>
      <c r="BH185" s="55">
        <f t="shared" si="199"/>
        <v>0</v>
      </c>
      <c r="BI185" s="55">
        <f t="shared" si="200"/>
        <v>0</v>
      </c>
      <c r="BJ185" s="55">
        <f t="shared" si="201"/>
        <v>0</v>
      </c>
    </row>
    <row r="186" spans="1:62" ht="12.75">
      <c r="A186" s="36" t="s">
        <v>234</v>
      </c>
      <c r="B186" s="36" t="s">
        <v>59</v>
      </c>
      <c r="C186" s="36" t="s">
        <v>410</v>
      </c>
      <c r="D186" s="36" t="s">
        <v>596</v>
      </c>
      <c r="E186" s="36" t="s">
        <v>611</v>
      </c>
      <c r="F186" s="55">
        <f>'Stavební rozpočet'!F188</f>
        <v>0</v>
      </c>
      <c r="G186" s="55">
        <f>'Stavební rozpočet'!G188</f>
        <v>400</v>
      </c>
      <c r="H186" s="55">
        <f t="shared" si="176"/>
        <v>0</v>
      </c>
      <c r="I186" s="55">
        <f t="shared" si="177"/>
        <v>0</v>
      </c>
      <c r="J186" s="55">
        <f t="shared" si="178"/>
        <v>0</v>
      </c>
      <c r="K186" s="55">
        <f>'Stavební rozpočet'!K188</f>
        <v>0</v>
      </c>
      <c r="L186" s="55">
        <f t="shared" si="179"/>
        <v>0</v>
      </c>
      <c r="M186" s="51" t="s">
        <v>622</v>
      </c>
      <c r="Z186" s="29">
        <f t="shared" si="180"/>
        <v>0</v>
      </c>
      <c r="AB186" s="29">
        <f t="shared" si="181"/>
        <v>0</v>
      </c>
      <c r="AC186" s="29">
        <f t="shared" si="182"/>
        <v>0</v>
      </c>
      <c r="AD186" s="29">
        <f t="shared" si="183"/>
        <v>0</v>
      </c>
      <c r="AE186" s="29">
        <f t="shared" si="184"/>
        <v>0</v>
      </c>
      <c r="AF186" s="29">
        <f t="shared" si="185"/>
        <v>0</v>
      </c>
      <c r="AG186" s="29">
        <f t="shared" si="186"/>
        <v>0</v>
      </c>
      <c r="AH186" s="29">
        <f t="shared" si="187"/>
        <v>0</v>
      </c>
      <c r="AI186" s="48" t="s">
        <v>59</v>
      </c>
      <c r="AJ186" s="55">
        <f t="shared" si="188"/>
        <v>0</v>
      </c>
      <c r="AK186" s="55">
        <f t="shared" si="189"/>
        <v>0</v>
      </c>
      <c r="AL186" s="55">
        <f t="shared" si="190"/>
        <v>0</v>
      </c>
      <c r="AN186" s="29">
        <v>15</v>
      </c>
      <c r="AO186" s="29">
        <f t="shared" si="191"/>
        <v>0</v>
      </c>
      <c r="AP186" s="29">
        <f t="shared" si="192"/>
        <v>400</v>
      </c>
      <c r="AQ186" s="51" t="s">
        <v>79</v>
      </c>
      <c r="AV186" s="29">
        <f t="shared" si="193"/>
        <v>0</v>
      </c>
      <c r="AW186" s="29">
        <f t="shared" si="194"/>
        <v>0</v>
      </c>
      <c r="AX186" s="29">
        <f t="shared" si="195"/>
        <v>0</v>
      </c>
      <c r="AY186" s="54" t="s">
        <v>649</v>
      </c>
      <c r="AZ186" s="54" t="s">
        <v>652</v>
      </c>
      <c r="BA186" s="48" t="s">
        <v>658</v>
      </c>
      <c r="BC186" s="29">
        <f t="shared" si="196"/>
        <v>0</v>
      </c>
      <c r="BD186" s="29">
        <f t="shared" si="197"/>
        <v>400</v>
      </c>
      <c r="BE186" s="29">
        <v>0</v>
      </c>
      <c r="BF186" s="29">
        <f t="shared" si="198"/>
        <v>0</v>
      </c>
      <c r="BH186" s="55">
        <f t="shared" si="199"/>
        <v>0</v>
      </c>
      <c r="BI186" s="55">
        <f t="shared" si="200"/>
        <v>0</v>
      </c>
      <c r="BJ186" s="55">
        <f t="shared" si="201"/>
        <v>0</v>
      </c>
    </row>
    <row r="187" spans="1:62" ht="12.75">
      <c r="A187" s="36" t="s">
        <v>235</v>
      </c>
      <c r="B187" s="36" t="s">
        <v>59</v>
      </c>
      <c r="C187" s="36" t="s">
        <v>411</v>
      </c>
      <c r="D187" s="36" t="s">
        <v>597</v>
      </c>
      <c r="E187" s="36" t="s">
        <v>614</v>
      </c>
      <c r="F187" s="55">
        <f>'Stavební rozpočet'!F189</f>
        <v>0</v>
      </c>
      <c r="G187" s="55">
        <f>'Stavební rozpočet'!G189</f>
        <v>1050</v>
      </c>
      <c r="H187" s="55">
        <f t="shared" si="176"/>
        <v>0</v>
      </c>
      <c r="I187" s="55">
        <f t="shared" si="177"/>
        <v>0</v>
      </c>
      <c r="J187" s="55">
        <f t="shared" si="178"/>
        <v>0</v>
      </c>
      <c r="K187" s="55">
        <f>'Stavební rozpočet'!K189</f>
        <v>0</v>
      </c>
      <c r="L187" s="55">
        <f t="shared" si="179"/>
        <v>0</v>
      </c>
      <c r="M187" s="51" t="s">
        <v>622</v>
      </c>
      <c r="Z187" s="29">
        <f t="shared" si="180"/>
        <v>0</v>
      </c>
      <c r="AB187" s="29">
        <f t="shared" si="181"/>
        <v>0</v>
      </c>
      <c r="AC187" s="29">
        <f t="shared" si="182"/>
        <v>0</v>
      </c>
      <c r="AD187" s="29">
        <f t="shared" si="183"/>
        <v>0</v>
      </c>
      <c r="AE187" s="29">
        <f t="shared" si="184"/>
        <v>0</v>
      </c>
      <c r="AF187" s="29">
        <f t="shared" si="185"/>
        <v>0</v>
      </c>
      <c r="AG187" s="29">
        <f t="shared" si="186"/>
        <v>0</v>
      </c>
      <c r="AH187" s="29">
        <f t="shared" si="187"/>
        <v>0</v>
      </c>
      <c r="AI187" s="48" t="s">
        <v>59</v>
      </c>
      <c r="AJ187" s="55">
        <f t="shared" si="188"/>
        <v>0</v>
      </c>
      <c r="AK187" s="55">
        <f t="shared" si="189"/>
        <v>0</v>
      </c>
      <c r="AL187" s="55">
        <f t="shared" si="190"/>
        <v>0</v>
      </c>
      <c r="AN187" s="29">
        <v>15</v>
      </c>
      <c r="AO187" s="29">
        <f t="shared" si="191"/>
        <v>0</v>
      </c>
      <c r="AP187" s="29">
        <f t="shared" si="192"/>
        <v>1050</v>
      </c>
      <c r="AQ187" s="51" t="s">
        <v>79</v>
      </c>
      <c r="AV187" s="29">
        <f t="shared" si="193"/>
        <v>0</v>
      </c>
      <c r="AW187" s="29">
        <f t="shared" si="194"/>
        <v>0</v>
      </c>
      <c r="AX187" s="29">
        <f t="shared" si="195"/>
        <v>0</v>
      </c>
      <c r="AY187" s="54" t="s">
        <v>649</v>
      </c>
      <c r="AZ187" s="54" t="s">
        <v>652</v>
      </c>
      <c r="BA187" s="48" t="s">
        <v>658</v>
      </c>
      <c r="BC187" s="29">
        <f t="shared" si="196"/>
        <v>0</v>
      </c>
      <c r="BD187" s="29">
        <f t="shared" si="197"/>
        <v>1050</v>
      </c>
      <c r="BE187" s="29">
        <v>0</v>
      </c>
      <c r="BF187" s="29">
        <f t="shared" si="198"/>
        <v>0</v>
      </c>
      <c r="BH187" s="55">
        <f t="shared" si="199"/>
        <v>0</v>
      </c>
      <c r="BI187" s="55">
        <f t="shared" si="200"/>
        <v>0</v>
      </c>
      <c r="BJ187" s="55">
        <f t="shared" si="201"/>
        <v>0</v>
      </c>
    </row>
    <row r="188" spans="1:62" ht="12.75">
      <c r="A188" s="36" t="s">
        <v>236</v>
      </c>
      <c r="B188" s="36" t="s">
        <v>59</v>
      </c>
      <c r="C188" s="36" t="s">
        <v>412</v>
      </c>
      <c r="D188" s="36" t="s">
        <v>598</v>
      </c>
      <c r="E188" s="36" t="s">
        <v>606</v>
      </c>
      <c r="F188" s="55">
        <f>'Stavební rozpočet'!F190</f>
        <v>0</v>
      </c>
      <c r="G188" s="55">
        <f>'Stavební rozpočet'!G190</f>
        <v>1000</v>
      </c>
      <c r="H188" s="55">
        <f t="shared" si="176"/>
        <v>0</v>
      </c>
      <c r="I188" s="55">
        <f t="shared" si="177"/>
        <v>0</v>
      </c>
      <c r="J188" s="55">
        <f t="shared" si="178"/>
        <v>0</v>
      </c>
      <c r="K188" s="55">
        <f>'Stavební rozpočet'!K190</f>
        <v>0</v>
      </c>
      <c r="L188" s="55">
        <f t="shared" si="179"/>
        <v>0</v>
      </c>
      <c r="M188" s="51" t="s">
        <v>622</v>
      </c>
      <c r="Z188" s="29">
        <f t="shared" si="180"/>
        <v>0</v>
      </c>
      <c r="AB188" s="29">
        <f t="shared" si="181"/>
        <v>0</v>
      </c>
      <c r="AC188" s="29">
        <f t="shared" si="182"/>
        <v>0</v>
      </c>
      <c r="AD188" s="29">
        <f t="shared" si="183"/>
        <v>0</v>
      </c>
      <c r="AE188" s="29">
        <f t="shared" si="184"/>
        <v>0</v>
      </c>
      <c r="AF188" s="29">
        <f t="shared" si="185"/>
        <v>0</v>
      </c>
      <c r="AG188" s="29">
        <f t="shared" si="186"/>
        <v>0</v>
      </c>
      <c r="AH188" s="29">
        <f t="shared" si="187"/>
        <v>0</v>
      </c>
      <c r="AI188" s="48" t="s">
        <v>59</v>
      </c>
      <c r="AJ188" s="55">
        <f t="shared" si="188"/>
        <v>0</v>
      </c>
      <c r="AK188" s="55">
        <f t="shared" si="189"/>
        <v>0</v>
      </c>
      <c r="AL188" s="55">
        <f t="shared" si="190"/>
        <v>0</v>
      </c>
      <c r="AN188" s="29">
        <v>15</v>
      </c>
      <c r="AO188" s="29">
        <f t="shared" si="191"/>
        <v>0</v>
      </c>
      <c r="AP188" s="29">
        <f t="shared" si="192"/>
        <v>1000</v>
      </c>
      <c r="AQ188" s="51" t="s">
        <v>79</v>
      </c>
      <c r="AV188" s="29">
        <f t="shared" si="193"/>
        <v>0</v>
      </c>
      <c r="AW188" s="29">
        <f t="shared" si="194"/>
        <v>0</v>
      </c>
      <c r="AX188" s="29">
        <f t="shared" si="195"/>
        <v>0</v>
      </c>
      <c r="AY188" s="54" t="s">
        <v>649</v>
      </c>
      <c r="AZ188" s="54" t="s">
        <v>652</v>
      </c>
      <c r="BA188" s="48" t="s">
        <v>658</v>
      </c>
      <c r="BC188" s="29">
        <f t="shared" si="196"/>
        <v>0</v>
      </c>
      <c r="BD188" s="29">
        <f t="shared" si="197"/>
        <v>1000</v>
      </c>
      <c r="BE188" s="29">
        <v>0</v>
      </c>
      <c r="BF188" s="29">
        <f t="shared" si="198"/>
        <v>0</v>
      </c>
      <c r="BH188" s="55">
        <f t="shared" si="199"/>
        <v>0</v>
      </c>
      <c r="BI188" s="55">
        <f t="shared" si="200"/>
        <v>0</v>
      </c>
      <c r="BJ188" s="55">
        <f t="shared" si="201"/>
        <v>0</v>
      </c>
    </row>
    <row r="189" spans="1:62" ht="12.75">
      <c r="A189" s="36" t="s">
        <v>237</v>
      </c>
      <c r="B189" s="36" t="s">
        <v>59</v>
      </c>
      <c r="C189" s="36" t="s">
        <v>413</v>
      </c>
      <c r="D189" s="36" t="s">
        <v>599</v>
      </c>
      <c r="E189" s="36" t="s">
        <v>613</v>
      </c>
      <c r="F189" s="55">
        <f>'Stavební rozpočet'!F191</f>
        <v>0</v>
      </c>
      <c r="G189" s="55">
        <f>'Stavební rozpočet'!G191</f>
        <v>1200</v>
      </c>
      <c r="H189" s="55">
        <f t="shared" si="176"/>
        <v>0</v>
      </c>
      <c r="I189" s="55">
        <f t="shared" si="177"/>
        <v>0</v>
      </c>
      <c r="J189" s="55">
        <f t="shared" si="178"/>
        <v>0</v>
      </c>
      <c r="K189" s="55">
        <f>'Stavební rozpočet'!K191</f>
        <v>0</v>
      </c>
      <c r="L189" s="55">
        <f t="shared" si="179"/>
        <v>0</v>
      </c>
      <c r="M189" s="51" t="s">
        <v>622</v>
      </c>
      <c r="Z189" s="29">
        <f t="shared" si="180"/>
        <v>0</v>
      </c>
      <c r="AB189" s="29">
        <f t="shared" si="181"/>
        <v>0</v>
      </c>
      <c r="AC189" s="29">
        <f t="shared" si="182"/>
        <v>0</v>
      </c>
      <c r="AD189" s="29">
        <f t="shared" si="183"/>
        <v>0</v>
      </c>
      <c r="AE189" s="29">
        <f t="shared" si="184"/>
        <v>0</v>
      </c>
      <c r="AF189" s="29">
        <f t="shared" si="185"/>
        <v>0</v>
      </c>
      <c r="AG189" s="29">
        <f t="shared" si="186"/>
        <v>0</v>
      </c>
      <c r="AH189" s="29">
        <f t="shared" si="187"/>
        <v>0</v>
      </c>
      <c r="AI189" s="48" t="s">
        <v>59</v>
      </c>
      <c r="AJ189" s="55">
        <f t="shared" si="188"/>
        <v>0</v>
      </c>
      <c r="AK189" s="55">
        <f t="shared" si="189"/>
        <v>0</v>
      </c>
      <c r="AL189" s="55">
        <f t="shared" si="190"/>
        <v>0</v>
      </c>
      <c r="AN189" s="29">
        <v>15</v>
      </c>
      <c r="AO189" s="29">
        <f t="shared" si="191"/>
        <v>0</v>
      </c>
      <c r="AP189" s="29">
        <f t="shared" si="192"/>
        <v>1200</v>
      </c>
      <c r="AQ189" s="51" t="s">
        <v>79</v>
      </c>
      <c r="AV189" s="29">
        <f t="shared" si="193"/>
        <v>0</v>
      </c>
      <c r="AW189" s="29">
        <f t="shared" si="194"/>
        <v>0</v>
      </c>
      <c r="AX189" s="29">
        <f t="shared" si="195"/>
        <v>0</v>
      </c>
      <c r="AY189" s="54" t="s">
        <v>649</v>
      </c>
      <c r="AZ189" s="54" t="s">
        <v>652</v>
      </c>
      <c r="BA189" s="48" t="s">
        <v>658</v>
      </c>
      <c r="BC189" s="29">
        <f t="shared" si="196"/>
        <v>0</v>
      </c>
      <c r="BD189" s="29">
        <f t="shared" si="197"/>
        <v>1200</v>
      </c>
      <c r="BE189" s="29">
        <v>0</v>
      </c>
      <c r="BF189" s="29">
        <f t="shared" si="198"/>
        <v>0</v>
      </c>
      <c r="BH189" s="55">
        <f t="shared" si="199"/>
        <v>0</v>
      </c>
      <c r="BI189" s="55">
        <f t="shared" si="200"/>
        <v>0</v>
      </c>
      <c r="BJ189" s="55">
        <f t="shared" si="201"/>
        <v>0</v>
      </c>
    </row>
    <row r="190" spans="1:62" ht="12.75">
      <c r="A190" s="36" t="s">
        <v>238</v>
      </c>
      <c r="B190" s="36" t="s">
        <v>59</v>
      </c>
      <c r="C190" s="36" t="s">
        <v>414</v>
      </c>
      <c r="D190" s="36" t="s">
        <v>600</v>
      </c>
      <c r="E190" s="36" t="s">
        <v>611</v>
      </c>
      <c r="F190" s="55">
        <f>'Stavební rozpočet'!F192</f>
        <v>0</v>
      </c>
      <c r="G190" s="55">
        <f>'Stavební rozpočet'!G192</f>
        <v>410</v>
      </c>
      <c r="H190" s="55">
        <f t="shared" si="176"/>
        <v>0</v>
      </c>
      <c r="I190" s="55">
        <f t="shared" si="177"/>
        <v>0</v>
      </c>
      <c r="J190" s="55">
        <f t="shared" si="178"/>
        <v>0</v>
      </c>
      <c r="K190" s="55">
        <f>'Stavební rozpočet'!K192</f>
        <v>0</v>
      </c>
      <c r="L190" s="55">
        <f t="shared" si="179"/>
        <v>0</v>
      </c>
      <c r="M190" s="51" t="s">
        <v>622</v>
      </c>
      <c r="Z190" s="29">
        <f t="shared" si="180"/>
        <v>0</v>
      </c>
      <c r="AB190" s="29">
        <f t="shared" si="181"/>
        <v>0</v>
      </c>
      <c r="AC190" s="29">
        <f t="shared" si="182"/>
        <v>0</v>
      </c>
      <c r="AD190" s="29">
        <f t="shared" si="183"/>
        <v>0</v>
      </c>
      <c r="AE190" s="29">
        <f t="shared" si="184"/>
        <v>0</v>
      </c>
      <c r="AF190" s="29">
        <f t="shared" si="185"/>
        <v>0</v>
      </c>
      <c r="AG190" s="29">
        <f t="shared" si="186"/>
        <v>0</v>
      </c>
      <c r="AH190" s="29">
        <f t="shared" si="187"/>
        <v>0</v>
      </c>
      <c r="AI190" s="48" t="s">
        <v>59</v>
      </c>
      <c r="AJ190" s="55">
        <f t="shared" si="188"/>
        <v>0</v>
      </c>
      <c r="AK190" s="55">
        <f t="shared" si="189"/>
        <v>0</v>
      </c>
      <c r="AL190" s="55">
        <f t="shared" si="190"/>
        <v>0</v>
      </c>
      <c r="AN190" s="29">
        <v>15</v>
      </c>
      <c r="AO190" s="29">
        <f t="shared" si="191"/>
        <v>0</v>
      </c>
      <c r="AP190" s="29">
        <f t="shared" si="192"/>
        <v>410</v>
      </c>
      <c r="AQ190" s="51" t="s">
        <v>79</v>
      </c>
      <c r="AV190" s="29">
        <f t="shared" si="193"/>
        <v>0</v>
      </c>
      <c r="AW190" s="29">
        <f t="shared" si="194"/>
        <v>0</v>
      </c>
      <c r="AX190" s="29">
        <f t="shared" si="195"/>
        <v>0</v>
      </c>
      <c r="AY190" s="54" t="s">
        <v>649</v>
      </c>
      <c r="AZ190" s="54" t="s">
        <v>652</v>
      </c>
      <c r="BA190" s="48" t="s">
        <v>658</v>
      </c>
      <c r="BC190" s="29">
        <f t="shared" si="196"/>
        <v>0</v>
      </c>
      <c r="BD190" s="29">
        <f t="shared" si="197"/>
        <v>409.99999999999994</v>
      </c>
      <c r="BE190" s="29">
        <v>0</v>
      </c>
      <c r="BF190" s="29">
        <f t="shared" si="198"/>
        <v>0</v>
      </c>
      <c r="BH190" s="55">
        <f t="shared" si="199"/>
        <v>0</v>
      </c>
      <c r="BI190" s="55">
        <f t="shared" si="200"/>
        <v>0</v>
      </c>
      <c r="BJ190" s="55">
        <f t="shared" si="201"/>
        <v>0</v>
      </c>
    </row>
    <row r="191" spans="1:62" ht="12.75">
      <c r="A191" s="36" t="s">
        <v>239</v>
      </c>
      <c r="B191" s="36" t="s">
        <v>59</v>
      </c>
      <c r="C191" s="36" t="s">
        <v>415</v>
      </c>
      <c r="D191" s="36" t="s">
        <v>601</v>
      </c>
      <c r="E191" s="36" t="s">
        <v>611</v>
      </c>
      <c r="F191" s="55">
        <f>'Stavební rozpočet'!F193</f>
        <v>0</v>
      </c>
      <c r="G191" s="55">
        <f>'Stavební rozpočet'!G193</f>
        <v>150</v>
      </c>
      <c r="H191" s="55">
        <f t="shared" si="176"/>
        <v>0</v>
      </c>
      <c r="I191" s="55">
        <f t="shared" si="177"/>
        <v>0</v>
      </c>
      <c r="J191" s="55">
        <f t="shared" si="178"/>
        <v>0</v>
      </c>
      <c r="K191" s="55">
        <f>'Stavební rozpočet'!K193</f>
        <v>0</v>
      </c>
      <c r="L191" s="55">
        <f t="shared" si="179"/>
        <v>0</v>
      </c>
      <c r="M191" s="51" t="s">
        <v>622</v>
      </c>
      <c r="Z191" s="29">
        <f t="shared" si="180"/>
        <v>0</v>
      </c>
      <c r="AB191" s="29">
        <f t="shared" si="181"/>
        <v>0</v>
      </c>
      <c r="AC191" s="29">
        <f t="shared" si="182"/>
        <v>0</v>
      </c>
      <c r="AD191" s="29">
        <f t="shared" si="183"/>
        <v>0</v>
      </c>
      <c r="AE191" s="29">
        <f t="shared" si="184"/>
        <v>0</v>
      </c>
      <c r="AF191" s="29">
        <f t="shared" si="185"/>
        <v>0</v>
      </c>
      <c r="AG191" s="29">
        <f t="shared" si="186"/>
        <v>0</v>
      </c>
      <c r="AH191" s="29">
        <f t="shared" si="187"/>
        <v>0</v>
      </c>
      <c r="AI191" s="48" t="s">
        <v>59</v>
      </c>
      <c r="AJ191" s="55">
        <f t="shared" si="188"/>
        <v>0</v>
      </c>
      <c r="AK191" s="55">
        <f t="shared" si="189"/>
        <v>0</v>
      </c>
      <c r="AL191" s="55">
        <f t="shared" si="190"/>
        <v>0</v>
      </c>
      <c r="AN191" s="29">
        <v>15</v>
      </c>
      <c r="AO191" s="29">
        <f t="shared" si="191"/>
        <v>0</v>
      </c>
      <c r="AP191" s="29">
        <f t="shared" si="192"/>
        <v>150</v>
      </c>
      <c r="AQ191" s="51" t="s">
        <v>79</v>
      </c>
      <c r="AV191" s="29">
        <f t="shared" si="193"/>
        <v>0</v>
      </c>
      <c r="AW191" s="29">
        <f t="shared" si="194"/>
        <v>0</v>
      </c>
      <c r="AX191" s="29">
        <f t="shared" si="195"/>
        <v>0</v>
      </c>
      <c r="AY191" s="54" t="s">
        <v>649</v>
      </c>
      <c r="AZ191" s="54" t="s">
        <v>652</v>
      </c>
      <c r="BA191" s="48" t="s">
        <v>658</v>
      </c>
      <c r="BC191" s="29">
        <f t="shared" si="196"/>
        <v>0</v>
      </c>
      <c r="BD191" s="29">
        <f t="shared" si="197"/>
        <v>150</v>
      </c>
      <c r="BE191" s="29">
        <v>0</v>
      </c>
      <c r="BF191" s="29">
        <f t="shared" si="198"/>
        <v>0</v>
      </c>
      <c r="BH191" s="55">
        <f t="shared" si="199"/>
        <v>0</v>
      </c>
      <c r="BI191" s="55">
        <f t="shared" si="200"/>
        <v>0</v>
      </c>
      <c r="BJ191" s="55">
        <f t="shared" si="201"/>
        <v>0</v>
      </c>
    </row>
    <row r="192" spans="1:62" ht="12.75">
      <c r="A192" s="36" t="s">
        <v>240</v>
      </c>
      <c r="B192" s="36" t="s">
        <v>59</v>
      </c>
      <c r="C192" s="36" t="s">
        <v>416</v>
      </c>
      <c r="D192" s="36" t="s">
        <v>602</v>
      </c>
      <c r="E192" s="36" t="s">
        <v>611</v>
      </c>
      <c r="F192" s="55">
        <f>'Stavební rozpočet'!F194</f>
        <v>0</v>
      </c>
      <c r="G192" s="55">
        <f>'Stavební rozpočet'!G194</f>
        <v>150</v>
      </c>
      <c r="H192" s="55">
        <f t="shared" si="176"/>
        <v>0</v>
      </c>
      <c r="I192" s="55">
        <f t="shared" si="177"/>
        <v>0</v>
      </c>
      <c r="J192" s="55">
        <f t="shared" si="178"/>
        <v>0</v>
      </c>
      <c r="K192" s="55">
        <f>'Stavební rozpočet'!K194</f>
        <v>0</v>
      </c>
      <c r="L192" s="55">
        <f t="shared" si="179"/>
        <v>0</v>
      </c>
      <c r="M192" s="51" t="s">
        <v>622</v>
      </c>
      <c r="Z192" s="29">
        <f t="shared" si="180"/>
        <v>0</v>
      </c>
      <c r="AB192" s="29">
        <f t="shared" si="181"/>
        <v>0</v>
      </c>
      <c r="AC192" s="29">
        <f t="shared" si="182"/>
        <v>0</v>
      </c>
      <c r="AD192" s="29">
        <f t="shared" si="183"/>
        <v>0</v>
      </c>
      <c r="AE192" s="29">
        <f t="shared" si="184"/>
        <v>0</v>
      </c>
      <c r="AF192" s="29">
        <f t="shared" si="185"/>
        <v>0</v>
      </c>
      <c r="AG192" s="29">
        <f t="shared" si="186"/>
        <v>0</v>
      </c>
      <c r="AH192" s="29">
        <f t="shared" si="187"/>
        <v>0</v>
      </c>
      <c r="AI192" s="48" t="s">
        <v>59</v>
      </c>
      <c r="AJ192" s="55">
        <f t="shared" si="188"/>
        <v>0</v>
      </c>
      <c r="AK192" s="55">
        <f t="shared" si="189"/>
        <v>0</v>
      </c>
      <c r="AL192" s="55">
        <f t="shared" si="190"/>
        <v>0</v>
      </c>
      <c r="AN192" s="29">
        <v>15</v>
      </c>
      <c r="AO192" s="29">
        <f t="shared" si="191"/>
        <v>0</v>
      </c>
      <c r="AP192" s="29">
        <f t="shared" si="192"/>
        <v>150</v>
      </c>
      <c r="AQ192" s="51" t="s">
        <v>79</v>
      </c>
      <c r="AV192" s="29">
        <f t="shared" si="193"/>
        <v>0</v>
      </c>
      <c r="AW192" s="29">
        <f t="shared" si="194"/>
        <v>0</v>
      </c>
      <c r="AX192" s="29">
        <f t="shared" si="195"/>
        <v>0</v>
      </c>
      <c r="AY192" s="54" t="s">
        <v>649</v>
      </c>
      <c r="AZ192" s="54" t="s">
        <v>652</v>
      </c>
      <c r="BA192" s="48" t="s">
        <v>658</v>
      </c>
      <c r="BC192" s="29">
        <f t="shared" si="196"/>
        <v>0</v>
      </c>
      <c r="BD192" s="29">
        <f t="shared" si="197"/>
        <v>150</v>
      </c>
      <c r="BE192" s="29">
        <v>0</v>
      </c>
      <c r="BF192" s="29">
        <f t="shared" si="198"/>
        <v>0</v>
      </c>
      <c r="BH192" s="55">
        <f t="shared" si="199"/>
        <v>0</v>
      </c>
      <c r="BI192" s="55">
        <f t="shared" si="200"/>
        <v>0</v>
      </c>
      <c r="BJ192" s="55">
        <f t="shared" si="201"/>
        <v>0</v>
      </c>
    </row>
    <row r="193" spans="1:62" ht="12.75">
      <c r="A193" s="36" t="s">
        <v>241</v>
      </c>
      <c r="B193" s="36" t="s">
        <v>59</v>
      </c>
      <c r="C193" s="36" t="s">
        <v>416</v>
      </c>
      <c r="D193" s="36" t="s">
        <v>603</v>
      </c>
      <c r="E193" s="36" t="s">
        <v>616</v>
      </c>
      <c r="F193" s="55">
        <f>'Stavební rozpočet'!F195</f>
        <v>0</v>
      </c>
      <c r="G193" s="55">
        <f>'Stavební rozpočet'!G195</f>
        <v>7650</v>
      </c>
      <c r="H193" s="55">
        <f t="shared" si="176"/>
        <v>0</v>
      </c>
      <c r="I193" s="55">
        <f t="shared" si="177"/>
        <v>0</v>
      </c>
      <c r="J193" s="55">
        <f t="shared" si="178"/>
        <v>0</v>
      </c>
      <c r="K193" s="55">
        <f>'Stavební rozpočet'!K195</f>
        <v>0</v>
      </c>
      <c r="L193" s="55">
        <f t="shared" si="179"/>
        <v>0</v>
      </c>
      <c r="M193" s="51" t="s">
        <v>622</v>
      </c>
      <c r="Z193" s="29">
        <f t="shared" si="180"/>
        <v>0</v>
      </c>
      <c r="AB193" s="29">
        <f t="shared" si="181"/>
        <v>0</v>
      </c>
      <c r="AC193" s="29">
        <f t="shared" si="182"/>
        <v>0</v>
      </c>
      <c r="AD193" s="29">
        <f t="shared" si="183"/>
        <v>0</v>
      </c>
      <c r="AE193" s="29">
        <f t="shared" si="184"/>
        <v>0</v>
      </c>
      <c r="AF193" s="29">
        <f t="shared" si="185"/>
        <v>0</v>
      </c>
      <c r="AG193" s="29">
        <f t="shared" si="186"/>
        <v>0</v>
      </c>
      <c r="AH193" s="29">
        <f t="shared" si="187"/>
        <v>0</v>
      </c>
      <c r="AI193" s="48" t="s">
        <v>59</v>
      </c>
      <c r="AJ193" s="55">
        <f t="shared" si="188"/>
        <v>0</v>
      </c>
      <c r="AK193" s="55">
        <f t="shared" si="189"/>
        <v>0</v>
      </c>
      <c r="AL193" s="55">
        <f t="shared" si="190"/>
        <v>0</v>
      </c>
      <c r="AN193" s="29">
        <v>15</v>
      </c>
      <c r="AO193" s="29">
        <f t="shared" si="191"/>
        <v>0</v>
      </c>
      <c r="AP193" s="29">
        <f t="shared" si="192"/>
        <v>7650</v>
      </c>
      <c r="AQ193" s="51" t="s">
        <v>79</v>
      </c>
      <c r="AV193" s="29">
        <f t="shared" si="193"/>
        <v>0</v>
      </c>
      <c r="AW193" s="29">
        <f t="shared" si="194"/>
        <v>0</v>
      </c>
      <c r="AX193" s="29">
        <f t="shared" si="195"/>
        <v>0</v>
      </c>
      <c r="AY193" s="54" t="s">
        <v>649</v>
      </c>
      <c r="AZ193" s="54" t="s">
        <v>652</v>
      </c>
      <c r="BA193" s="48" t="s">
        <v>658</v>
      </c>
      <c r="BC193" s="29">
        <f t="shared" si="196"/>
        <v>0</v>
      </c>
      <c r="BD193" s="29">
        <f t="shared" si="197"/>
        <v>7650</v>
      </c>
      <c r="BE193" s="29">
        <v>0</v>
      </c>
      <c r="BF193" s="29">
        <f t="shared" si="198"/>
        <v>0</v>
      </c>
      <c r="BH193" s="55">
        <f t="shared" si="199"/>
        <v>0</v>
      </c>
      <c r="BI193" s="55">
        <f t="shared" si="200"/>
        <v>0</v>
      </c>
      <c r="BJ193" s="55">
        <f t="shared" si="201"/>
        <v>0</v>
      </c>
    </row>
    <row r="194" spans="1:62" ht="12.75">
      <c r="A194" s="36" t="s">
        <v>242</v>
      </c>
      <c r="B194" s="36" t="s">
        <v>59</v>
      </c>
      <c r="C194" s="36" t="s">
        <v>417</v>
      </c>
      <c r="D194" s="36" t="s">
        <v>604</v>
      </c>
      <c r="E194" s="36" t="s">
        <v>611</v>
      </c>
      <c r="F194" s="55">
        <f>'Stavební rozpočet'!F196</f>
        <v>0</v>
      </c>
      <c r="G194" s="55">
        <f>'Stavební rozpočet'!G196</f>
        <v>270</v>
      </c>
      <c r="H194" s="55">
        <f t="shared" si="176"/>
        <v>0</v>
      </c>
      <c r="I194" s="55">
        <f t="shared" si="177"/>
        <v>0</v>
      </c>
      <c r="J194" s="55">
        <f t="shared" si="178"/>
        <v>0</v>
      </c>
      <c r="K194" s="55">
        <f>'Stavební rozpočet'!K196</f>
        <v>0</v>
      </c>
      <c r="L194" s="55">
        <f t="shared" si="179"/>
        <v>0</v>
      </c>
      <c r="M194" s="51" t="s">
        <v>622</v>
      </c>
      <c r="Z194" s="29">
        <f t="shared" si="180"/>
        <v>0</v>
      </c>
      <c r="AB194" s="29">
        <f t="shared" si="181"/>
        <v>0</v>
      </c>
      <c r="AC194" s="29">
        <f t="shared" si="182"/>
        <v>0</v>
      </c>
      <c r="AD194" s="29">
        <f t="shared" si="183"/>
        <v>0</v>
      </c>
      <c r="AE194" s="29">
        <f t="shared" si="184"/>
        <v>0</v>
      </c>
      <c r="AF194" s="29">
        <f t="shared" si="185"/>
        <v>0</v>
      </c>
      <c r="AG194" s="29">
        <f t="shared" si="186"/>
        <v>0</v>
      </c>
      <c r="AH194" s="29">
        <f t="shared" si="187"/>
        <v>0</v>
      </c>
      <c r="AI194" s="48" t="s">
        <v>59</v>
      </c>
      <c r="AJ194" s="55">
        <f t="shared" si="188"/>
        <v>0</v>
      </c>
      <c r="AK194" s="55">
        <f t="shared" si="189"/>
        <v>0</v>
      </c>
      <c r="AL194" s="55">
        <f t="shared" si="190"/>
        <v>0</v>
      </c>
      <c r="AN194" s="29">
        <v>15</v>
      </c>
      <c r="AO194" s="29">
        <f t="shared" si="191"/>
        <v>0</v>
      </c>
      <c r="AP194" s="29">
        <f t="shared" si="192"/>
        <v>270</v>
      </c>
      <c r="AQ194" s="51" t="s">
        <v>79</v>
      </c>
      <c r="AV194" s="29">
        <f t="shared" si="193"/>
        <v>0</v>
      </c>
      <c r="AW194" s="29">
        <f t="shared" si="194"/>
        <v>0</v>
      </c>
      <c r="AX194" s="29">
        <f t="shared" si="195"/>
        <v>0</v>
      </c>
      <c r="AY194" s="54" t="s">
        <v>649</v>
      </c>
      <c r="AZ194" s="54" t="s">
        <v>652</v>
      </c>
      <c r="BA194" s="48" t="s">
        <v>658</v>
      </c>
      <c r="BC194" s="29">
        <f t="shared" si="196"/>
        <v>0</v>
      </c>
      <c r="BD194" s="29">
        <f t="shared" si="197"/>
        <v>270</v>
      </c>
      <c r="BE194" s="29">
        <v>0</v>
      </c>
      <c r="BF194" s="29">
        <f t="shared" si="198"/>
        <v>0</v>
      </c>
      <c r="BH194" s="55">
        <f t="shared" si="199"/>
        <v>0</v>
      </c>
      <c r="BI194" s="55">
        <f t="shared" si="200"/>
        <v>0</v>
      </c>
      <c r="BJ194" s="55">
        <f t="shared" si="201"/>
        <v>0</v>
      </c>
    </row>
    <row r="195" spans="1:13" ht="12.75">
      <c r="A195" s="71"/>
      <c r="B195" s="72" t="s">
        <v>60</v>
      </c>
      <c r="C195" s="72"/>
      <c r="D195" s="72" t="s">
        <v>66</v>
      </c>
      <c r="E195" s="71" t="s">
        <v>57</v>
      </c>
      <c r="F195" s="71" t="s">
        <v>57</v>
      </c>
      <c r="G195" s="71" t="s">
        <v>57</v>
      </c>
      <c r="H195" s="74">
        <f>H196+H201+H211+H214+H223+H227+H229+H234+H239+H248+H255+H257+H317+H365+H415+H480+H488+H493+H504+H511+H524+H529</f>
        <v>0</v>
      </c>
      <c r="I195" s="74">
        <f>I196+I201+I211+I214+I223+I227+I229+I234+I239+I248+I255+I257+I317+I365+I415+I480+I488+I493+I504+I511+I524+I529</f>
        <v>0</v>
      </c>
      <c r="J195" s="74">
        <f>J196+J201+J211+J214+J223+J227+J229+J234+J239+J248+J255+J257+J317+J365+J415+J480+J488+J493+J504+J511+J524+J529</f>
        <v>0</v>
      </c>
      <c r="K195" s="73"/>
      <c r="L195" s="74">
        <f>L196+L201+L211+L214+L223+L227+L229+L234+L239+L248+L255+L257+L317+L365+L415+L480+L488+L493+L504+L511+L524+L529</f>
        <v>338.0874182</v>
      </c>
      <c r="M195" s="73"/>
    </row>
    <row r="196" spans="1:47" ht="12.75">
      <c r="A196" s="35"/>
      <c r="B196" s="42" t="s">
        <v>60</v>
      </c>
      <c r="C196" s="42" t="s">
        <v>109</v>
      </c>
      <c r="D196" s="42" t="s">
        <v>420</v>
      </c>
      <c r="E196" s="35" t="s">
        <v>57</v>
      </c>
      <c r="F196" s="35" t="s">
        <v>57</v>
      </c>
      <c r="G196" s="35" t="s">
        <v>57</v>
      </c>
      <c r="H196" s="59">
        <f>SUM(H197:H200)</f>
        <v>0</v>
      </c>
      <c r="I196" s="59">
        <f>SUM(I197:I200)</f>
        <v>0</v>
      </c>
      <c r="J196" s="59">
        <f>SUM(J197:J200)</f>
        <v>0</v>
      </c>
      <c r="K196" s="48"/>
      <c r="L196" s="59">
        <f>SUM(L197:L200)</f>
        <v>1.05887</v>
      </c>
      <c r="M196" s="48"/>
      <c r="AI196" s="48" t="s">
        <v>60</v>
      </c>
      <c r="AS196" s="59">
        <f>SUM(AJ197:AJ200)</f>
        <v>0</v>
      </c>
      <c r="AT196" s="59">
        <f>SUM(AK197:AK200)</f>
        <v>0</v>
      </c>
      <c r="AU196" s="59">
        <f>SUM(AL197:AL200)</f>
        <v>0</v>
      </c>
    </row>
    <row r="197" spans="1:62" ht="12.75">
      <c r="A197" s="36" t="s">
        <v>243</v>
      </c>
      <c r="B197" s="36" t="s">
        <v>60</v>
      </c>
      <c r="C197" s="36" t="s">
        <v>944</v>
      </c>
      <c r="D197" s="36" t="s">
        <v>1225</v>
      </c>
      <c r="E197" s="36" t="s">
        <v>606</v>
      </c>
      <c r="F197" s="55">
        <f>'Stavební rozpočet'!F199</f>
        <v>14</v>
      </c>
      <c r="G197" s="55">
        <f>'Stavební rozpočet'!G199</f>
        <v>0</v>
      </c>
      <c r="H197" s="55">
        <f>F197*AO197</f>
        <v>0</v>
      </c>
      <c r="I197" s="55">
        <f>F197*AP197</f>
        <v>0</v>
      </c>
      <c r="J197" s="55">
        <f>F197*G197</f>
        <v>0</v>
      </c>
      <c r="K197" s="55">
        <f>'Stavební rozpočet'!K199</f>
        <v>0.03637</v>
      </c>
      <c r="L197" s="55">
        <f>F197*K197</f>
        <v>0.50918</v>
      </c>
      <c r="M197" s="51" t="s">
        <v>622</v>
      </c>
      <c r="Z197" s="29">
        <f>IF(AQ197="5",BJ197,0)</f>
        <v>0</v>
      </c>
      <c r="AB197" s="29">
        <f>IF(AQ197="1",BH197,0)</f>
        <v>0</v>
      </c>
      <c r="AC197" s="29">
        <f>IF(AQ197="1",BI197,0)</f>
        <v>0</v>
      </c>
      <c r="AD197" s="29">
        <f>IF(AQ197="7",BH197,0)</f>
        <v>0</v>
      </c>
      <c r="AE197" s="29">
        <f>IF(AQ197="7",BI197,0)</f>
        <v>0</v>
      </c>
      <c r="AF197" s="29">
        <f>IF(AQ197="2",BH197,0)</f>
        <v>0</v>
      </c>
      <c r="AG197" s="29">
        <f>IF(AQ197="2",BI197,0)</f>
        <v>0</v>
      </c>
      <c r="AH197" s="29">
        <f>IF(AQ197="0",BJ197,0)</f>
        <v>0</v>
      </c>
      <c r="AI197" s="48" t="s">
        <v>60</v>
      </c>
      <c r="AJ197" s="55">
        <f>IF(AN197=0,J197,0)</f>
        <v>0</v>
      </c>
      <c r="AK197" s="55">
        <f>IF(AN197=15,J197,0)</f>
        <v>0</v>
      </c>
      <c r="AL197" s="55">
        <f>IF(AN197=21,J197,0)</f>
        <v>0</v>
      </c>
      <c r="AN197" s="29">
        <v>15</v>
      </c>
      <c r="AO197" s="29">
        <f>G197*0.695173674588665</f>
        <v>0</v>
      </c>
      <c r="AP197" s="29">
        <f>G197*(1-0.695173674588665)</f>
        <v>0</v>
      </c>
      <c r="AQ197" s="51" t="s">
        <v>79</v>
      </c>
      <c r="AV197" s="29">
        <f>AW197+AX197</f>
        <v>0</v>
      </c>
      <c r="AW197" s="29">
        <f>F197*AO197</f>
        <v>0</v>
      </c>
      <c r="AX197" s="29">
        <f>F197*AP197</f>
        <v>0</v>
      </c>
      <c r="AY197" s="54" t="s">
        <v>632</v>
      </c>
      <c r="AZ197" s="54" t="s">
        <v>1533</v>
      </c>
      <c r="BA197" s="48" t="s">
        <v>1542</v>
      </c>
      <c r="BC197" s="29">
        <f>AW197+AX197</f>
        <v>0</v>
      </c>
      <c r="BD197" s="29">
        <f>G197/(100-BE197)*100</f>
        <v>0</v>
      </c>
      <c r="BE197" s="29">
        <v>0</v>
      </c>
      <c r="BF197" s="29">
        <f>L197</f>
        <v>0.50918</v>
      </c>
      <c r="BH197" s="55">
        <f>F197*AO197</f>
        <v>0</v>
      </c>
      <c r="BI197" s="55">
        <f>F197*AP197</f>
        <v>0</v>
      </c>
      <c r="BJ197" s="55">
        <f>F197*G197</f>
        <v>0</v>
      </c>
    </row>
    <row r="198" spans="1:62" ht="12.75">
      <c r="A198" s="36" t="s">
        <v>244</v>
      </c>
      <c r="B198" s="36" t="s">
        <v>60</v>
      </c>
      <c r="C198" s="36" t="s">
        <v>246</v>
      </c>
      <c r="D198" s="36" t="s">
        <v>421</v>
      </c>
      <c r="E198" s="36" t="s">
        <v>606</v>
      </c>
      <c r="F198" s="55">
        <f>'Stavební rozpočet'!F200</f>
        <v>12</v>
      </c>
      <c r="G198" s="55">
        <f>'Stavební rozpočet'!G200</f>
        <v>0</v>
      </c>
      <c r="H198" s="55">
        <f>F198*AO198</f>
        <v>0</v>
      </c>
      <c r="I198" s="55">
        <f>F198*AP198</f>
        <v>0</v>
      </c>
      <c r="J198" s="55">
        <f>F198*G198</f>
        <v>0</v>
      </c>
      <c r="K198" s="55">
        <f>'Stavební rozpočet'!K200</f>
        <v>0.04529</v>
      </c>
      <c r="L198" s="55">
        <f>F198*K198</f>
        <v>0.54348</v>
      </c>
      <c r="M198" s="51" t="s">
        <v>622</v>
      </c>
      <c r="Z198" s="29">
        <f>IF(AQ198="5",BJ198,0)</f>
        <v>0</v>
      </c>
      <c r="AB198" s="29">
        <f>IF(AQ198="1",BH198,0)</f>
        <v>0</v>
      </c>
      <c r="AC198" s="29">
        <f>IF(AQ198="1",BI198,0)</f>
        <v>0</v>
      </c>
      <c r="AD198" s="29">
        <f>IF(AQ198="7",BH198,0)</f>
        <v>0</v>
      </c>
      <c r="AE198" s="29">
        <f>IF(AQ198="7",BI198,0)</f>
        <v>0</v>
      </c>
      <c r="AF198" s="29">
        <f>IF(AQ198="2",BH198,0)</f>
        <v>0</v>
      </c>
      <c r="AG198" s="29">
        <f>IF(AQ198="2",BI198,0)</f>
        <v>0</v>
      </c>
      <c r="AH198" s="29">
        <f>IF(AQ198="0",BJ198,0)</f>
        <v>0</v>
      </c>
      <c r="AI198" s="48" t="s">
        <v>60</v>
      </c>
      <c r="AJ198" s="55">
        <f>IF(AN198=0,J198,0)</f>
        <v>0</v>
      </c>
      <c r="AK198" s="55">
        <f>IF(AN198=15,J198,0)</f>
        <v>0</v>
      </c>
      <c r="AL198" s="55">
        <f>IF(AN198=21,J198,0)</f>
        <v>0</v>
      </c>
      <c r="AN198" s="29">
        <v>15</v>
      </c>
      <c r="AO198" s="29">
        <f>G198*0.746607669616519</f>
        <v>0</v>
      </c>
      <c r="AP198" s="29">
        <f>G198*(1-0.746607669616519)</f>
        <v>0</v>
      </c>
      <c r="AQ198" s="51" t="s">
        <v>79</v>
      </c>
      <c r="AV198" s="29">
        <f>AW198+AX198</f>
        <v>0</v>
      </c>
      <c r="AW198" s="29">
        <f>F198*AO198</f>
        <v>0</v>
      </c>
      <c r="AX198" s="29">
        <f>F198*AP198</f>
        <v>0</v>
      </c>
      <c r="AY198" s="54" t="s">
        <v>632</v>
      </c>
      <c r="AZ198" s="54" t="s">
        <v>1533</v>
      </c>
      <c r="BA198" s="48" t="s">
        <v>1542</v>
      </c>
      <c r="BC198" s="29">
        <f>AW198+AX198</f>
        <v>0</v>
      </c>
      <c r="BD198" s="29">
        <f>G198/(100-BE198)*100</f>
        <v>0</v>
      </c>
      <c r="BE198" s="29">
        <v>0</v>
      </c>
      <c r="BF198" s="29">
        <f>L198</f>
        <v>0.54348</v>
      </c>
      <c r="BH198" s="55">
        <f>F198*AO198</f>
        <v>0</v>
      </c>
      <c r="BI198" s="55">
        <f>F198*AP198</f>
        <v>0</v>
      </c>
      <c r="BJ198" s="55">
        <f>F198*G198</f>
        <v>0</v>
      </c>
    </row>
    <row r="199" spans="1:62" ht="12.75">
      <c r="A199" s="36" t="s">
        <v>664</v>
      </c>
      <c r="B199" s="36" t="s">
        <v>60</v>
      </c>
      <c r="C199" s="36" t="s">
        <v>247</v>
      </c>
      <c r="D199" s="36" t="s">
        <v>422</v>
      </c>
      <c r="E199" s="36" t="s">
        <v>606</v>
      </c>
      <c r="F199" s="55">
        <f>'Stavební rozpočet'!F201</f>
        <v>0</v>
      </c>
      <c r="G199" s="55">
        <f>'Stavební rozpočet'!G201</f>
        <v>0</v>
      </c>
      <c r="H199" s="55">
        <f>F199*AO199</f>
        <v>0</v>
      </c>
      <c r="I199" s="55">
        <f>F199*AP199</f>
        <v>0</v>
      </c>
      <c r="J199" s="55">
        <f>F199*G199</f>
        <v>0</v>
      </c>
      <c r="K199" s="55">
        <f>'Stavební rozpočet'!K201</f>
        <v>0.06314</v>
      </c>
      <c r="L199" s="55">
        <f>F199*K199</f>
        <v>0</v>
      </c>
      <c r="M199" s="51" t="s">
        <v>622</v>
      </c>
      <c r="Z199" s="29">
        <f>IF(AQ199="5",BJ199,0)</f>
        <v>0</v>
      </c>
      <c r="AB199" s="29">
        <f>IF(AQ199="1",BH199,0)</f>
        <v>0</v>
      </c>
      <c r="AC199" s="29">
        <f>IF(AQ199="1",BI199,0)</f>
        <v>0</v>
      </c>
      <c r="AD199" s="29">
        <f>IF(AQ199="7",BH199,0)</f>
        <v>0</v>
      </c>
      <c r="AE199" s="29">
        <f>IF(AQ199="7",BI199,0)</f>
        <v>0</v>
      </c>
      <c r="AF199" s="29">
        <f>IF(AQ199="2",BH199,0)</f>
        <v>0</v>
      </c>
      <c r="AG199" s="29">
        <f>IF(AQ199="2",BI199,0)</f>
        <v>0</v>
      </c>
      <c r="AH199" s="29">
        <f>IF(AQ199="0",BJ199,0)</f>
        <v>0</v>
      </c>
      <c r="AI199" s="48" t="s">
        <v>60</v>
      </c>
      <c r="AJ199" s="55">
        <f>IF(AN199=0,J199,0)</f>
        <v>0</v>
      </c>
      <c r="AK199" s="55">
        <f>IF(AN199=15,J199,0)</f>
        <v>0</v>
      </c>
      <c r="AL199" s="55">
        <f>IF(AN199=21,J199,0)</f>
        <v>0</v>
      </c>
      <c r="AN199" s="29">
        <v>15</v>
      </c>
      <c r="AO199" s="29">
        <f>G199*0.809549738219895</f>
        <v>0</v>
      </c>
      <c r="AP199" s="29">
        <f>G199*(1-0.809549738219895)</f>
        <v>0</v>
      </c>
      <c r="AQ199" s="51" t="s">
        <v>79</v>
      </c>
      <c r="AV199" s="29">
        <f>AW199+AX199</f>
        <v>0</v>
      </c>
      <c r="AW199" s="29">
        <f>F199*AO199</f>
        <v>0</v>
      </c>
      <c r="AX199" s="29">
        <f>F199*AP199</f>
        <v>0</v>
      </c>
      <c r="AY199" s="54" t="s">
        <v>632</v>
      </c>
      <c r="AZ199" s="54" t="s">
        <v>1533</v>
      </c>
      <c r="BA199" s="48" t="s">
        <v>1542</v>
      </c>
      <c r="BC199" s="29">
        <f>AW199+AX199</f>
        <v>0</v>
      </c>
      <c r="BD199" s="29">
        <f>G199/(100-BE199)*100</f>
        <v>0</v>
      </c>
      <c r="BE199" s="29">
        <v>0</v>
      </c>
      <c r="BF199" s="29">
        <f>L199</f>
        <v>0</v>
      </c>
      <c r="BH199" s="55">
        <f>F199*AO199</f>
        <v>0</v>
      </c>
      <c r="BI199" s="55">
        <f>F199*AP199</f>
        <v>0</v>
      </c>
      <c r="BJ199" s="55">
        <f>F199*G199</f>
        <v>0</v>
      </c>
    </row>
    <row r="200" spans="1:62" ht="12.75">
      <c r="A200" s="36" t="s">
        <v>665</v>
      </c>
      <c r="B200" s="36" t="s">
        <v>60</v>
      </c>
      <c r="C200" s="36" t="s">
        <v>248</v>
      </c>
      <c r="D200" s="36" t="s">
        <v>423</v>
      </c>
      <c r="E200" s="36" t="s">
        <v>607</v>
      </c>
      <c r="F200" s="55">
        <f>'Stavební rozpočet'!F202</f>
        <v>5.4</v>
      </c>
      <c r="G200" s="55">
        <f>'Stavební rozpočet'!G202</f>
        <v>0</v>
      </c>
      <c r="H200" s="55">
        <f>F200*AO200</f>
        <v>0</v>
      </c>
      <c r="I200" s="55">
        <f>F200*AP200</f>
        <v>0</v>
      </c>
      <c r="J200" s="55">
        <f>F200*G200</f>
        <v>0</v>
      </c>
      <c r="K200" s="55">
        <f>'Stavební rozpočet'!K202</f>
        <v>0.00115</v>
      </c>
      <c r="L200" s="55">
        <f>F200*K200</f>
        <v>0.00621</v>
      </c>
      <c r="M200" s="51" t="s">
        <v>622</v>
      </c>
      <c r="Z200" s="29">
        <f>IF(AQ200="5",BJ200,0)</f>
        <v>0</v>
      </c>
      <c r="AB200" s="29">
        <f>IF(AQ200="1",BH200,0)</f>
        <v>0</v>
      </c>
      <c r="AC200" s="29">
        <f>IF(AQ200="1",BI200,0)</f>
        <v>0</v>
      </c>
      <c r="AD200" s="29">
        <f>IF(AQ200="7",BH200,0)</f>
        <v>0</v>
      </c>
      <c r="AE200" s="29">
        <f>IF(AQ200="7",BI200,0)</f>
        <v>0</v>
      </c>
      <c r="AF200" s="29">
        <f>IF(AQ200="2",BH200,0)</f>
        <v>0</v>
      </c>
      <c r="AG200" s="29">
        <f>IF(AQ200="2",BI200,0)</f>
        <v>0</v>
      </c>
      <c r="AH200" s="29">
        <f>IF(AQ200="0",BJ200,0)</f>
        <v>0</v>
      </c>
      <c r="AI200" s="48" t="s">
        <v>60</v>
      </c>
      <c r="AJ200" s="55">
        <f>IF(AN200=0,J200,0)</f>
        <v>0</v>
      </c>
      <c r="AK200" s="55">
        <f>IF(AN200=15,J200,0)</f>
        <v>0</v>
      </c>
      <c r="AL200" s="55">
        <f>IF(AN200=21,J200,0)</f>
        <v>0</v>
      </c>
      <c r="AN200" s="29">
        <v>15</v>
      </c>
      <c r="AO200" s="29">
        <f>G200*0.776526315789474</f>
        <v>0</v>
      </c>
      <c r="AP200" s="29">
        <f>G200*(1-0.776526315789474)</f>
        <v>0</v>
      </c>
      <c r="AQ200" s="51" t="s">
        <v>79</v>
      </c>
      <c r="AV200" s="29">
        <f>AW200+AX200</f>
        <v>0</v>
      </c>
      <c r="AW200" s="29">
        <f>F200*AO200</f>
        <v>0</v>
      </c>
      <c r="AX200" s="29">
        <f>F200*AP200</f>
        <v>0</v>
      </c>
      <c r="AY200" s="54" t="s">
        <v>632</v>
      </c>
      <c r="AZ200" s="54" t="s">
        <v>1533</v>
      </c>
      <c r="BA200" s="48" t="s">
        <v>1542</v>
      </c>
      <c r="BC200" s="29">
        <f>AW200+AX200</f>
        <v>0</v>
      </c>
      <c r="BD200" s="29">
        <f>G200/(100-BE200)*100</f>
        <v>0</v>
      </c>
      <c r="BE200" s="29">
        <v>0</v>
      </c>
      <c r="BF200" s="29">
        <f>L200</f>
        <v>0.00621</v>
      </c>
      <c r="BH200" s="55">
        <f>F200*AO200</f>
        <v>0</v>
      </c>
      <c r="BI200" s="55">
        <f>F200*AP200</f>
        <v>0</v>
      </c>
      <c r="BJ200" s="55">
        <f>F200*G200</f>
        <v>0</v>
      </c>
    </row>
    <row r="201" spans="1:47" ht="12.75">
      <c r="A201" s="35"/>
      <c r="B201" s="42" t="s">
        <v>60</v>
      </c>
      <c r="C201" s="42" t="s">
        <v>112</v>
      </c>
      <c r="D201" s="42" t="s">
        <v>425</v>
      </c>
      <c r="E201" s="35" t="s">
        <v>57</v>
      </c>
      <c r="F201" s="35" t="s">
        <v>57</v>
      </c>
      <c r="G201" s="35" t="s">
        <v>57</v>
      </c>
      <c r="H201" s="59">
        <f>SUM(H202:H210)</f>
        <v>0</v>
      </c>
      <c r="I201" s="59">
        <f>SUM(I202:I210)</f>
        <v>0</v>
      </c>
      <c r="J201" s="59">
        <f>SUM(J202:J210)</f>
        <v>0</v>
      </c>
      <c r="K201" s="48"/>
      <c r="L201" s="59">
        <f>SUM(L202:L210)</f>
        <v>12.758306200000002</v>
      </c>
      <c r="M201" s="48"/>
      <c r="AI201" s="48" t="s">
        <v>60</v>
      </c>
      <c r="AS201" s="59">
        <f>SUM(AJ202:AJ210)</f>
        <v>0</v>
      </c>
      <c r="AT201" s="59">
        <f>SUM(AK202:AK210)</f>
        <v>0</v>
      </c>
      <c r="AU201" s="59">
        <f>SUM(AL202:AL210)</f>
        <v>0</v>
      </c>
    </row>
    <row r="202" spans="1:62" ht="12.75">
      <c r="A202" s="36" t="s">
        <v>666</v>
      </c>
      <c r="B202" s="36" t="s">
        <v>60</v>
      </c>
      <c r="C202" s="36" t="s">
        <v>249</v>
      </c>
      <c r="D202" s="36" t="s">
        <v>426</v>
      </c>
      <c r="E202" s="36" t="s">
        <v>608</v>
      </c>
      <c r="F202" s="55">
        <f>'Stavební rozpočet'!F204</f>
        <v>98.93</v>
      </c>
      <c r="G202" s="55">
        <f>'Stavební rozpočet'!G204</f>
        <v>0</v>
      </c>
      <c r="H202" s="55">
        <f aca="true" t="shared" si="202" ref="H202:H210">F202*AO202</f>
        <v>0</v>
      </c>
      <c r="I202" s="55">
        <f aca="true" t="shared" si="203" ref="I202:I210">F202*AP202</f>
        <v>0</v>
      </c>
      <c r="J202" s="55">
        <f aca="true" t="shared" si="204" ref="J202:J210">F202*G202</f>
        <v>0</v>
      </c>
      <c r="K202" s="55">
        <f>'Stavební rozpočet'!K204</f>
        <v>0.11666</v>
      </c>
      <c r="L202" s="55">
        <f aca="true" t="shared" si="205" ref="L202:L210">F202*K202</f>
        <v>11.541173800000001</v>
      </c>
      <c r="M202" s="51" t="s">
        <v>622</v>
      </c>
      <c r="Z202" s="29">
        <f aca="true" t="shared" si="206" ref="Z202:Z210">IF(AQ202="5",BJ202,0)</f>
        <v>0</v>
      </c>
      <c r="AB202" s="29">
        <f aca="true" t="shared" si="207" ref="AB202:AB210">IF(AQ202="1",BH202,0)</f>
        <v>0</v>
      </c>
      <c r="AC202" s="29">
        <f aca="true" t="shared" si="208" ref="AC202:AC210">IF(AQ202="1",BI202,0)</f>
        <v>0</v>
      </c>
      <c r="AD202" s="29">
        <f aca="true" t="shared" si="209" ref="AD202:AD210">IF(AQ202="7",BH202,0)</f>
        <v>0</v>
      </c>
      <c r="AE202" s="29">
        <f aca="true" t="shared" si="210" ref="AE202:AE210">IF(AQ202="7",BI202,0)</f>
        <v>0</v>
      </c>
      <c r="AF202" s="29">
        <f aca="true" t="shared" si="211" ref="AF202:AF210">IF(AQ202="2",BH202,0)</f>
        <v>0</v>
      </c>
      <c r="AG202" s="29">
        <f aca="true" t="shared" si="212" ref="AG202:AG210">IF(AQ202="2",BI202,0)</f>
        <v>0</v>
      </c>
      <c r="AH202" s="29">
        <f aca="true" t="shared" si="213" ref="AH202:AH210">IF(AQ202="0",BJ202,0)</f>
        <v>0</v>
      </c>
      <c r="AI202" s="48" t="s">
        <v>60</v>
      </c>
      <c r="AJ202" s="55">
        <f aca="true" t="shared" si="214" ref="AJ202:AJ210">IF(AN202=0,J202,0)</f>
        <v>0</v>
      </c>
      <c r="AK202" s="55">
        <f aca="true" t="shared" si="215" ref="AK202:AK210">IF(AN202=15,J202,0)</f>
        <v>0</v>
      </c>
      <c r="AL202" s="55">
        <f aca="true" t="shared" si="216" ref="AL202:AL210">IF(AN202=21,J202,0)</f>
        <v>0</v>
      </c>
      <c r="AN202" s="29">
        <v>15</v>
      </c>
      <c r="AO202" s="29">
        <f>G202*0.640748171487873</f>
        <v>0</v>
      </c>
      <c r="AP202" s="29">
        <f>G202*(1-0.640748171487873)</f>
        <v>0</v>
      </c>
      <c r="AQ202" s="51" t="s">
        <v>79</v>
      </c>
      <c r="AV202" s="29">
        <f aca="true" t="shared" si="217" ref="AV202:AV210">AW202+AX202</f>
        <v>0</v>
      </c>
      <c r="AW202" s="29">
        <f aca="true" t="shared" si="218" ref="AW202:AW210">F202*AO202</f>
        <v>0</v>
      </c>
      <c r="AX202" s="29">
        <f aca="true" t="shared" si="219" ref="AX202:AX210">F202*AP202</f>
        <v>0</v>
      </c>
      <c r="AY202" s="54" t="s">
        <v>633</v>
      </c>
      <c r="AZ202" s="54" t="s">
        <v>1533</v>
      </c>
      <c r="BA202" s="48" t="s">
        <v>1542</v>
      </c>
      <c r="BC202" s="29">
        <f aca="true" t="shared" si="220" ref="BC202:BC210">AW202+AX202</f>
        <v>0</v>
      </c>
      <c r="BD202" s="29">
        <f aca="true" t="shared" si="221" ref="BD202:BD210">G202/(100-BE202)*100</f>
        <v>0</v>
      </c>
      <c r="BE202" s="29">
        <v>0</v>
      </c>
      <c r="BF202" s="29">
        <f aca="true" t="shared" si="222" ref="BF202:BF210">L202</f>
        <v>11.541173800000001</v>
      </c>
      <c r="BH202" s="55">
        <f aca="true" t="shared" si="223" ref="BH202:BH210">F202*AO202</f>
        <v>0</v>
      </c>
      <c r="BI202" s="55">
        <f aca="true" t="shared" si="224" ref="BI202:BI210">F202*AP202</f>
        <v>0</v>
      </c>
      <c r="BJ202" s="55">
        <f aca="true" t="shared" si="225" ref="BJ202:BJ210">F202*G202</f>
        <v>0</v>
      </c>
    </row>
    <row r="203" spans="1:62" ht="12.75">
      <c r="A203" s="36" t="s">
        <v>667</v>
      </c>
      <c r="B203" s="36" t="s">
        <v>60</v>
      </c>
      <c r="C203" s="36" t="s">
        <v>250</v>
      </c>
      <c r="D203" s="36" t="s">
        <v>427</v>
      </c>
      <c r="E203" s="36" t="s">
        <v>608</v>
      </c>
      <c r="F203" s="55">
        <f>'Stavební rozpočet'!F205</f>
        <v>0</v>
      </c>
      <c r="G203" s="55">
        <f>'Stavební rozpočet'!G205</f>
        <v>0</v>
      </c>
      <c r="H203" s="55">
        <f t="shared" si="202"/>
        <v>0</v>
      </c>
      <c r="I203" s="55">
        <f t="shared" si="203"/>
        <v>0</v>
      </c>
      <c r="J203" s="55">
        <f t="shared" si="204"/>
        <v>0</v>
      </c>
      <c r="K203" s="55">
        <f>'Stavební rozpočet'!K205</f>
        <v>0.0286</v>
      </c>
      <c r="L203" s="55">
        <f t="shared" si="205"/>
        <v>0</v>
      </c>
      <c r="M203" s="51" t="s">
        <v>622</v>
      </c>
      <c r="Z203" s="29">
        <f t="shared" si="206"/>
        <v>0</v>
      </c>
      <c r="AB203" s="29">
        <f t="shared" si="207"/>
        <v>0</v>
      </c>
      <c r="AC203" s="29">
        <f t="shared" si="208"/>
        <v>0</v>
      </c>
      <c r="AD203" s="29">
        <f t="shared" si="209"/>
        <v>0</v>
      </c>
      <c r="AE203" s="29">
        <f t="shared" si="210"/>
        <v>0</v>
      </c>
      <c r="AF203" s="29">
        <f t="shared" si="211"/>
        <v>0</v>
      </c>
      <c r="AG203" s="29">
        <f t="shared" si="212"/>
        <v>0</v>
      </c>
      <c r="AH203" s="29">
        <f t="shared" si="213"/>
        <v>0</v>
      </c>
      <c r="AI203" s="48" t="s">
        <v>60</v>
      </c>
      <c r="AJ203" s="55">
        <f t="shared" si="214"/>
        <v>0</v>
      </c>
      <c r="AK203" s="55">
        <f t="shared" si="215"/>
        <v>0</v>
      </c>
      <c r="AL203" s="55">
        <f t="shared" si="216"/>
        <v>0</v>
      </c>
      <c r="AN203" s="29">
        <v>15</v>
      </c>
      <c r="AO203" s="29">
        <f>G203*0.356243902439024</f>
        <v>0</v>
      </c>
      <c r="AP203" s="29">
        <f>G203*(1-0.356243902439024)</f>
        <v>0</v>
      </c>
      <c r="AQ203" s="51" t="s">
        <v>79</v>
      </c>
      <c r="AV203" s="29">
        <f t="shared" si="217"/>
        <v>0</v>
      </c>
      <c r="AW203" s="29">
        <f t="shared" si="218"/>
        <v>0</v>
      </c>
      <c r="AX203" s="29">
        <f t="shared" si="219"/>
        <v>0</v>
      </c>
      <c r="AY203" s="54" t="s">
        <v>633</v>
      </c>
      <c r="AZ203" s="54" t="s">
        <v>1533</v>
      </c>
      <c r="BA203" s="48" t="s">
        <v>1542</v>
      </c>
      <c r="BC203" s="29">
        <f t="shared" si="220"/>
        <v>0</v>
      </c>
      <c r="BD203" s="29">
        <f t="shared" si="221"/>
        <v>0</v>
      </c>
      <c r="BE203" s="29">
        <v>0</v>
      </c>
      <c r="BF203" s="29">
        <f t="shared" si="222"/>
        <v>0</v>
      </c>
      <c r="BH203" s="55">
        <f t="shared" si="223"/>
        <v>0</v>
      </c>
      <c r="BI203" s="55">
        <f t="shared" si="224"/>
        <v>0</v>
      </c>
      <c r="BJ203" s="55">
        <f t="shared" si="225"/>
        <v>0</v>
      </c>
    </row>
    <row r="204" spans="1:62" ht="12.75">
      <c r="A204" s="36" t="s">
        <v>668</v>
      </c>
      <c r="B204" s="36" t="s">
        <v>60</v>
      </c>
      <c r="C204" s="36" t="s">
        <v>945</v>
      </c>
      <c r="D204" s="36" t="s">
        <v>1226</v>
      </c>
      <c r="E204" s="36" t="s">
        <v>608</v>
      </c>
      <c r="F204" s="55">
        <f>'Stavební rozpočet'!F206</f>
        <v>0</v>
      </c>
      <c r="G204" s="55">
        <f>'Stavební rozpočet'!G206</f>
        <v>0</v>
      </c>
      <c r="H204" s="55">
        <f t="shared" si="202"/>
        <v>0</v>
      </c>
      <c r="I204" s="55">
        <f t="shared" si="203"/>
        <v>0</v>
      </c>
      <c r="J204" s="55">
        <f t="shared" si="204"/>
        <v>0</v>
      </c>
      <c r="K204" s="55">
        <f>'Stavební rozpočet'!K206</f>
        <v>0.0286</v>
      </c>
      <c r="L204" s="55">
        <f t="shared" si="205"/>
        <v>0</v>
      </c>
      <c r="M204" s="51" t="s">
        <v>622</v>
      </c>
      <c r="Z204" s="29">
        <f t="shared" si="206"/>
        <v>0</v>
      </c>
      <c r="AB204" s="29">
        <f t="shared" si="207"/>
        <v>0</v>
      </c>
      <c r="AC204" s="29">
        <f t="shared" si="208"/>
        <v>0</v>
      </c>
      <c r="AD204" s="29">
        <f t="shared" si="209"/>
        <v>0</v>
      </c>
      <c r="AE204" s="29">
        <f t="shared" si="210"/>
        <v>0</v>
      </c>
      <c r="AF204" s="29">
        <f t="shared" si="211"/>
        <v>0</v>
      </c>
      <c r="AG204" s="29">
        <f t="shared" si="212"/>
        <v>0</v>
      </c>
      <c r="AH204" s="29">
        <f t="shared" si="213"/>
        <v>0</v>
      </c>
      <c r="AI204" s="48" t="s">
        <v>60</v>
      </c>
      <c r="AJ204" s="55">
        <f t="shared" si="214"/>
        <v>0</v>
      </c>
      <c r="AK204" s="55">
        <f t="shared" si="215"/>
        <v>0</v>
      </c>
      <c r="AL204" s="55">
        <f t="shared" si="216"/>
        <v>0</v>
      </c>
      <c r="AN204" s="29">
        <v>15</v>
      </c>
      <c r="AO204" s="29">
        <f>G204*0.356249008723236</f>
        <v>0</v>
      </c>
      <c r="AP204" s="29">
        <f>G204*(1-0.356249008723236)</f>
        <v>0</v>
      </c>
      <c r="AQ204" s="51" t="s">
        <v>79</v>
      </c>
      <c r="AV204" s="29">
        <f t="shared" si="217"/>
        <v>0</v>
      </c>
      <c r="AW204" s="29">
        <f t="shared" si="218"/>
        <v>0</v>
      </c>
      <c r="AX204" s="29">
        <f t="shared" si="219"/>
        <v>0</v>
      </c>
      <c r="AY204" s="54" t="s">
        <v>633</v>
      </c>
      <c r="AZ204" s="54" t="s">
        <v>1533</v>
      </c>
      <c r="BA204" s="48" t="s">
        <v>1542</v>
      </c>
      <c r="BC204" s="29">
        <f t="shared" si="220"/>
        <v>0</v>
      </c>
      <c r="BD204" s="29">
        <f t="shared" si="221"/>
        <v>0</v>
      </c>
      <c r="BE204" s="29">
        <v>0</v>
      </c>
      <c r="BF204" s="29">
        <f t="shared" si="222"/>
        <v>0</v>
      </c>
      <c r="BH204" s="55">
        <f t="shared" si="223"/>
        <v>0</v>
      </c>
      <c r="BI204" s="55">
        <f t="shared" si="224"/>
        <v>0</v>
      </c>
      <c r="BJ204" s="55">
        <f t="shared" si="225"/>
        <v>0</v>
      </c>
    </row>
    <row r="205" spans="1:62" ht="12.75">
      <c r="A205" s="36" t="s">
        <v>669</v>
      </c>
      <c r="B205" s="36" t="s">
        <v>60</v>
      </c>
      <c r="C205" s="36" t="s">
        <v>251</v>
      </c>
      <c r="D205" s="36" t="s">
        <v>429</v>
      </c>
      <c r="E205" s="36" t="s">
        <v>606</v>
      </c>
      <c r="F205" s="55">
        <f>'Stavební rozpočet'!F207</f>
        <v>0</v>
      </c>
      <c r="G205" s="55">
        <f>'Stavební rozpočet'!G207</f>
        <v>0</v>
      </c>
      <c r="H205" s="55">
        <f t="shared" si="202"/>
        <v>0</v>
      </c>
      <c r="I205" s="55">
        <f t="shared" si="203"/>
        <v>0</v>
      </c>
      <c r="J205" s="55">
        <f t="shared" si="204"/>
        <v>0</v>
      </c>
      <c r="K205" s="55">
        <f>'Stavební rozpočet'!K207</f>
        <v>0.0016</v>
      </c>
      <c r="L205" s="55">
        <f t="shared" si="205"/>
        <v>0</v>
      </c>
      <c r="M205" s="51" t="s">
        <v>622</v>
      </c>
      <c r="Z205" s="29">
        <f t="shared" si="206"/>
        <v>0</v>
      </c>
      <c r="AB205" s="29">
        <f t="shared" si="207"/>
        <v>0</v>
      </c>
      <c r="AC205" s="29">
        <f t="shared" si="208"/>
        <v>0</v>
      </c>
      <c r="AD205" s="29">
        <f t="shared" si="209"/>
        <v>0</v>
      </c>
      <c r="AE205" s="29">
        <f t="shared" si="210"/>
        <v>0</v>
      </c>
      <c r="AF205" s="29">
        <f t="shared" si="211"/>
        <v>0</v>
      </c>
      <c r="AG205" s="29">
        <f t="shared" si="212"/>
        <v>0</v>
      </c>
      <c r="AH205" s="29">
        <f t="shared" si="213"/>
        <v>0</v>
      </c>
      <c r="AI205" s="48" t="s">
        <v>60</v>
      </c>
      <c r="AJ205" s="55">
        <f t="shared" si="214"/>
        <v>0</v>
      </c>
      <c r="AK205" s="55">
        <f t="shared" si="215"/>
        <v>0</v>
      </c>
      <c r="AL205" s="55">
        <f t="shared" si="216"/>
        <v>0</v>
      </c>
      <c r="AN205" s="29">
        <v>15</v>
      </c>
      <c r="AO205" s="29">
        <f>G205*0.608391103408434</f>
        <v>0</v>
      </c>
      <c r="AP205" s="29">
        <f>G205*(1-0.608391103408434)</f>
        <v>0</v>
      </c>
      <c r="AQ205" s="51" t="s">
        <v>79</v>
      </c>
      <c r="AV205" s="29">
        <f t="shared" si="217"/>
        <v>0</v>
      </c>
      <c r="AW205" s="29">
        <f t="shared" si="218"/>
        <v>0</v>
      </c>
      <c r="AX205" s="29">
        <f t="shared" si="219"/>
        <v>0</v>
      </c>
      <c r="AY205" s="54" t="s">
        <v>633</v>
      </c>
      <c r="AZ205" s="54" t="s">
        <v>1533</v>
      </c>
      <c r="BA205" s="48" t="s">
        <v>1542</v>
      </c>
      <c r="BC205" s="29">
        <f t="shared" si="220"/>
        <v>0</v>
      </c>
      <c r="BD205" s="29">
        <f t="shared" si="221"/>
        <v>0</v>
      </c>
      <c r="BE205" s="29">
        <v>0</v>
      </c>
      <c r="BF205" s="29">
        <f t="shared" si="222"/>
        <v>0</v>
      </c>
      <c r="BH205" s="55">
        <f t="shared" si="223"/>
        <v>0</v>
      </c>
      <c r="BI205" s="55">
        <f t="shared" si="224"/>
        <v>0</v>
      </c>
      <c r="BJ205" s="55">
        <f t="shared" si="225"/>
        <v>0</v>
      </c>
    </row>
    <row r="206" spans="1:62" ht="12.75">
      <c r="A206" s="36" t="s">
        <v>670</v>
      </c>
      <c r="B206" s="36" t="s">
        <v>60</v>
      </c>
      <c r="C206" s="36" t="s">
        <v>252</v>
      </c>
      <c r="D206" s="36" t="s">
        <v>431</v>
      </c>
      <c r="E206" s="36" t="s">
        <v>609</v>
      </c>
      <c r="F206" s="55">
        <f>'Stavební rozpočet'!F208</f>
        <v>41.73</v>
      </c>
      <c r="G206" s="55">
        <f>'Stavební rozpočet'!G208</f>
        <v>0</v>
      </c>
      <c r="H206" s="55">
        <f t="shared" si="202"/>
        <v>0</v>
      </c>
      <c r="I206" s="55">
        <f t="shared" si="203"/>
        <v>0</v>
      </c>
      <c r="J206" s="55">
        <f t="shared" si="204"/>
        <v>0</v>
      </c>
      <c r="K206" s="55">
        <f>'Stavební rozpočet'!K208</f>
        <v>0.00102</v>
      </c>
      <c r="L206" s="55">
        <f t="shared" si="205"/>
        <v>0.0425646</v>
      </c>
      <c r="M206" s="51" t="s">
        <v>622</v>
      </c>
      <c r="Z206" s="29">
        <f t="shared" si="206"/>
        <v>0</v>
      </c>
      <c r="AB206" s="29">
        <f t="shared" si="207"/>
        <v>0</v>
      </c>
      <c r="AC206" s="29">
        <f t="shared" si="208"/>
        <v>0</v>
      </c>
      <c r="AD206" s="29">
        <f t="shared" si="209"/>
        <v>0</v>
      </c>
      <c r="AE206" s="29">
        <f t="shared" si="210"/>
        <v>0</v>
      </c>
      <c r="AF206" s="29">
        <f t="shared" si="211"/>
        <v>0</v>
      </c>
      <c r="AG206" s="29">
        <f t="shared" si="212"/>
        <v>0</v>
      </c>
      <c r="AH206" s="29">
        <f t="shared" si="213"/>
        <v>0</v>
      </c>
      <c r="AI206" s="48" t="s">
        <v>60</v>
      </c>
      <c r="AJ206" s="55">
        <f t="shared" si="214"/>
        <v>0</v>
      </c>
      <c r="AK206" s="55">
        <f t="shared" si="215"/>
        <v>0</v>
      </c>
      <c r="AL206" s="55">
        <f t="shared" si="216"/>
        <v>0</v>
      </c>
      <c r="AN206" s="29">
        <v>15</v>
      </c>
      <c r="AO206" s="29">
        <f>G206*0.142925170068027</f>
        <v>0</v>
      </c>
      <c r="AP206" s="29">
        <f>G206*(1-0.142925170068027)</f>
        <v>0</v>
      </c>
      <c r="AQ206" s="51" t="s">
        <v>79</v>
      </c>
      <c r="AV206" s="29">
        <f t="shared" si="217"/>
        <v>0</v>
      </c>
      <c r="AW206" s="29">
        <f t="shared" si="218"/>
        <v>0</v>
      </c>
      <c r="AX206" s="29">
        <f t="shared" si="219"/>
        <v>0</v>
      </c>
      <c r="AY206" s="54" t="s">
        <v>633</v>
      </c>
      <c r="AZ206" s="54" t="s">
        <v>1533</v>
      </c>
      <c r="BA206" s="48" t="s">
        <v>1542</v>
      </c>
      <c r="BC206" s="29">
        <f t="shared" si="220"/>
        <v>0</v>
      </c>
      <c r="BD206" s="29">
        <f t="shared" si="221"/>
        <v>0</v>
      </c>
      <c r="BE206" s="29">
        <v>0</v>
      </c>
      <c r="BF206" s="29">
        <f t="shared" si="222"/>
        <v>0.0425646</v>
      </c>
      <c r="BH206" s="55">
        <f t="shared" si="223"/>
        <v>0</v>
      </c>
      <c r="BI206" s="55">
        <f t="shared" si="224"/>
        <v>0</v>
      </c>
      <c r="BJ206" s="55">
        <f t="shared" si="225"/>
        <v>0</v>
      </c>
    </row>
    <row r="207" spans="1:62" ht="12.75">
      <c r="A207" s="36" t="s">
        <v>671</v>
      </c>
      <c r="B207" s="36" t="s">
        <v>60</v>
      </c>
      <c r="C207" s="36" t="s">
        <v>253</v>
      </c>
      <c r="D207" s="36" t="s">
        <v>432</v>
      </c>
      <c r="E207" s="36" t="s">
        <v>608</v>
      </c>
      <c r="F207" s="55">
        <f>'Stavební rozpočet'!F209</f>
        <v>11.65</v>
      </c>
      <c r="G207" s="55">
        <f>'Stavební rozpočet'!G209</f>
        <v>0</v>
      </c>
      <c r="H207" s="55">
        <f t="shared" si="202"/>
        <v>0</v>
      </c>
      <c r="I207" s="55">
        <f t="shared" si="203"/>
        <v>0</v>
      </c>
      <c r="J207" s="55">
        <f t="shared" si="204"/>
        <v>0</v>
      </c>
      <c r="K207" s="55">
        <f>'Stavební rozpočet'!K209</f>
        <v>0.01275</v>
      </c>
      <c r="L207" s="55">
        <f t="shared" si="205"/>
        <v>0.1485375</v>
      </c>
      <c r="M207" s="51" t="s">
        <v>622</v>
      </c>
      <c r="Z207" s="29">
        <f t="shared" si="206"/>
        <v>0</v>
      </c>
      <c r="AB207" s="29">
        <f t="shared" si="207"/>
        <v>0</v>
      </c>
      <c r="AC207" s="29">
        <f t="shared" si="208"/>
        <v>0</v>
      </c>
      <c r="AD207" s="29">
        <f t="shared" si="209"/>
        <v>0</v>
      </c>
      <c r="AE207" s="29">
        <f t="shared" si="210"/>
        <v>0</v>
      </c>
      <c r="AF207" s="29">
        <f t="shared" si="211"/>
        <v>0</v>
      </c>
      <c r="AG207" s="29">
        <f t="shared" si="212"/>
        <v>0</v>
      </c>
      <c r="AH207" s="29">
        <f t="shared" si="213"/>
        <v>0</v>
      </c>
      <c r="AI207" s="48" t="s">
        <v>60</v>
      </c>
      <c r="AJ207" s="55">
        <f t="shared" si="214"/>
        <v>0</v>
      </c>
      <c r="AK207" s="55">
        <f t="shared" si="215"/>
        <v>0</v>
      </c>
      <c r="AL207" s="55">
        <f t="shared" si="216"/>
        <v>0</v>
      </c>
      <c r="AN207" s="29">
        <v>15</v>
      </c>
      <c r="AO207" s="29">
        <f>G207*0.358758912665686</f>
        <v>0</v>
      </c>
      <c r="AP207" s="29">
        <f>G207*(1-0.358758912665686)</f>
        <v>0</v>
      </c>
      <c r="AQ207" s="51" t="s">
        <v>79</v>
      </c>
      <c r="AV207" s="29">
        <f t="shared" si="217"/>
        <v>0</v>
      </c>
      <c r="AW207" s="29">
        <f t="shared" si="218"/>
        <v>0</v>
      </c>
      <c r="AX207" s="29">
        <f t="shared" si="219"/>
        <v>0</v>
      </c>
      <c r="AY207" s="54" t="s">
        <v>633</v>
      </c>
      <c r="AZ207" s="54" t="s">
        <v>1533</v>
      </c>
      <c r="BA207" s="48" t="s">
        <v>1542</v>
      </c>
      <c r="BC207" s="29">
        <f t="shared" si="220"/>
        <v>0</v>
      </c>
      <c r="BD207" s="29">
        <f t="shared" si="221"/>
        <v>0</v>
      </c>
      <c r="BE207" s="29">
        <v>0</v>
      </c>
      <c r="BF207" s="29">
        <f t="shared" si="222"/>
        <v>0.1485375</v>
      </c>
      <c r="BH207" s="55">
        <f t="shared" si="223"/>
        <v>0</v>
      </c>
      <c r="BI207" s="55">
        <f t="shared" si="224"/>
        <v>0</v>
      </c>
      <c r="BJ207" s="55">
        <f t="shared" si="225"/>
        <v>0</v>
      </c>
    </row>
    <row r="208" spans="1:62" ht="12.75">
      <c r="A208" s="36" t="s">
        <v>672</v>
      </c>
      <c r="B208" s="36" t="s">
        <v>60</v>
      </c>
      <c r="C208" s="36" t="s">
        <v>946</v>
      </c>
      <c r="D208" s="36" t="s">
        <v>1227</v>
      </c>
      <c r="E208" s="36" t="s">
        <v>608</v>
      </c>
      <c r="F208" s="55">
        <f>'Stavební rozpočet'!F210</f>
        <v>4.08</v>
      </c>
      <c r="G208" s="55">
        <f>'Stavební rozpočet'!G210</f>
        <v>0</v>
      </c>
      <c r="H208" s="55">
        <f t="shared" si="202"/>
        <v>0</v>
      </c>
      <c r="I208" s="55">
        <f t="shared" si="203"/>
        <v>0</v>
      </c>
      <c r="J208" s="55">
        <f t="shared" si="204"/>
        <v>0</v>
      </c>
      <c r="K208" s="55">
        <f>'Stavební rozpočet'!K210</f>
        <v>0.03416</v>
      </c>
      <c r="L208" s="55">
        <f t="shared" si="205"/>
        <v>0.13937280000000002</v>
      </c>
      <c r="M208" s="51" t="s">
        <v>622</v>
      </c>
      <c r="Z208" s="29">
        <f t="shared" si="206"/>
        <v>0</v>
      </c>
      <c r="AB208" s="29">
        <f t="shared" si="207"/>
        <v>0</v>
      </c>
      <c r="AC208" s="29">
        <f t="shared" si="208"/>
        <v>0</v>
      </c>
      <c r="AD208" s="29">
        <f t="shared" si="209"/>
        <v>0</v>
      </c>
      <c r="AE208" s="29">
        <f t="shared" si="210"/>
        <v>0</v>
      </c>
      <c r="AF208" s="29">
        <f t="shared" si="211"/>
        <v>0</v>
      </c>
      <c r="AG208" s="29">
        <f t="shared" si="212"/>
        <v>0</v>
      </c>
      <c r="AH208" s="29">
        <f t="shared" si="213"/>
        <v>0</v>
      </c>
      <c r="AI208" s="48" t="s">
        <v>60</v>
      </c>
      <c r="AJ208" s="55">
        <f t="shared" si="214"/>
        <v>0</v>
      </c>
      <c r="AK208" s="55">
        <f t="shared" si="215"/>
        <v>0</v>
      </c>
      <c r="AL208" s="55">
        <f t="shared" si="216"/>
        <v>0</v>
      </c>
      <c r="AN208" s="29">
        <v>15</v>
      </c>
      <c r="AO208" s="29">
        <f>G208*0.466944444444444</f>
        <v>0</v>
      </c>
      <c r="AP208" s="29">
        <f>G208*(1-0.466944444444444)</f>
        <v>0</v>
      </c>
      <c r="AQ208" s="51" t="s">
        <v>79</v>
      </c>
      <c r="AV208" s="29">
        <f t="shared" si="217"/>
        <v>0</v>
      </c>
      <c r="AW208" s="29">
        <f t="shared" si="218"/>
        <v>0</v>
      </c>
      <c r="AX208" s="29">
        <f t="shared" si="219"/>
        <v>0</v>
      </c>
      <c r="AY208" s="54" t="s">
        <v>633</v>
      </c>
      <c r="AZ208" s="54" t="s">
        <v>1533</v>
      </c>
      <c r="BA208" s="48" t="s">
        <v>1542</v>
      </c>
      <c r="BC208" s="29">
        <f t="shared" si="220"/>
        <v>0</v>
      </c>
      <c r="BD208" s="29">
        <f t="shared" si="221"/>
        <v>0</v>
      </c>
      <c r="BE208" s="29">
        <v>0</v>
      </c>
      <c r="BF208" s="29">
        <f t="shared" si="222"/>
        <v>0.13937280000000002</v>
      </c>
      <c r="BH208" s="55">
        <f t="shared" si="223"/>
        <v>0</v>
      </c>
      <c r="BI208" s="55">
        <f t="shared" si="224"/>
        <v>0</v>
      </c>
      <c r="BJ208" s="55">
        <f t="shared" si="225"/>
        <v>0</v>
      </c>
    </row>
    <row r="209" spans="1:62" ht="12.75">
      <c r="A209" s="36" t="s">
        <v>673</v>
      </c>
      <c r="B209" s="36" t="s">
        <v>60</v>
      </c>
      <c r="C209" s="36" t="s">
        <v>947</v>
      </c>
      <c r="D209" s="36" t="s">
        <v>1228</v>
      </c>
      <c r="E209" s="36" t="s">
        <v>608</v>
      </c>
      <c r="F209" s="55">
        <f>'Stavební rozpočet'!F211</f>
        <v>0</v>
      </c>
      <c r="G209" s="55">
        <f>'Stavební rozpočet'!G211</f>
        <v>0</v>
      </c>
      <c r="H209" s="55">
        <f t="shared" si="202"/>
        <v>0</v>
      </c>
      <c r="I209" s="55">
        <f t="shared" si="203"/>
        <v>0</v>
      </c>
      <c r="J209" s="55">
        <f t="shared" si="204"/>
        <v>0</v>
      </c>
      <c r="K209" s="55">
        <f>'Stavební rozpočet'!K211</f>
        <v>0.03925</v>
      </c>
      <c r="L209" s="55">
        <f t="shared" si="205"/>
        <v>0</v>
      </c>
      <c r="M209" s="51" t="s">
        <v>622</v>
      </c>
      <c r="Z209" s="29">
        <f t="shared" si="206"/>
        <v>0</v>
      </c>
      <c r="AB209" s="29">
        <f t="shared" si="207"/>
        <v>0</v>
      </c>
      <c r="AC209" s="29">
        <f t="shared" si="208"/>
        <v>0</v>
      </c>
      <c r="AD209" s="29">
        <f t="shared" si="209"/>
        <v>0</v>
      </c>
      <c r="AE209" s="29">
        <f t="shared" si="210"/>
        <v>0</v>
      </c>
      <c r="AF209" s="29">
        <f t="shared" si="211"/>
        <v>0</v>
      </c>
      <c r="AG209" s="29">
        <f t="shared" si="212"/>
        <v>0</v>
      </c>
      <c r="AH209" s="29">
        <f t="shared" si="213"/>
        <v>0</v>
      </c>
      <c r="AI209" s="48" t="s">
        <v>60</v>
      </c>
      <c r="AJ209" s="55">
        <f t="shared" si="214"/>
        <v>0</v>
      </c>
      <c r="AK209" s="55">
        <f t="shared" si="215"/>
        <v>0</v>
      </c>
      <c r="AL209" s="55">
        <f t="shared" si="216"/>
        <v>0</v>
      </c>
      <c r="AN209" s="29">
        <v>15</v>
      </c>
      <c r="AO209" s="29">
        <f>G209*0.51812013262395</f>
        <v>0</v>
      </c>
      <c r="AP209" s="29">
        <f>G209*(1-0.51812013262395)</f>
        <v>0</v>
      </c>
      <c r="AQ209" s="51" t="s">
        <v>79</v>
      </c>
      <c r="AV209" s="29">
        <f t="shared" si="217"/>
        <v>0</v>
      </c>
      <c r="AW209" s="29">
        <f t="shared" si="218"/>
        <v>0</v>
      </c>
      <c r="AX209" s="29">
        <f t="shared" si="219"/>
        <v>0</v>
      </c>
      <c r="AY209" s="54" t="s">
        <v>633</v>
      </c>
      <c r="AZ209" s="54" t="s">
        <v>1533</v>
      </c>
      <c r="BA209" s="48" t="s">
        <v>1542</v>
      </c>
      <c r="BC209" s="29">
        <f t="shared" si="220"/>
        <v>0</v>
      </c>
      <c r="BD209" s="29">
        <f t="shared" si="221"/>
        <v>0</v>
      </c>
      <c r="BE209" s="29">
        <v>0</v>
      </c>
      <c r="BF209" s="29">
        <f t="shared" si="222"/>
        <v>0</v>
      </c>
      <c r="BH209" s="55">
        <f t="shared" si="223"/>
        <v>0</v>
      </c>
      <c r="BI209" s="55">
        <f t="shared" si="224"/>
        <v>0</v>
      </c>
      <c r="BJ209" s="55">
        <f t="shared" si="225"/>
        <v>0</v>
      </c>
    </row>
    <row r="210" spans="1:62" ht="12.75">
      <c r="A210" s="36" t="s">
        <v>674</v>
      </c>
      <c r="B210" s="36" t="s">
        <v>60</v>
      </c>
      <c r="C210" s="36" t="s">
        <v>948</v>
      </c>
      <c r="D210" s="36" t="s">
        <v>1229</v>
      </c>
      <c r="E210" s="36" t="s">
        <v>608</v>
      </c>
      <c r="F210" s="55">
        <f>'Stavební rozpočet'!F212</f>
        <v>22.59</v>
      </c>
      <c r="G210" s="55">
        <f>'Stavební rozpočet'!G212</f>
        <v>0</v>
      </c>
      <c r="H210" s="55">
        <f t="shared" si="202"/>
        <v>0</v>
      </c>
      <c r="I210" s="55">
        <f t="shared" si="203"/>
        <v>0</v>
      </c>
      <c r="J210" s="55">
        <f t="shared" si="204"/>
        <v>0</v>
      </c>
      <c r="K210" s="55">
        <f>'Stavební rozpočet'!K212</f>
        <v>0.03925</v>
      </c>
      <c r="L210" s="55">
        <f t="shared" si="205"/>
        <v>0.8866575</v>
      </c>
      <c r="M210" s="51" t="s">
        <v>622</v>
      </c>
      <c r="Z210" s="29">
        <f t="shared" si="206"/>
        <v>0</v>
      </c>
      <c r="AB210" s="29">
        <f t="shared" si="207"/>
        <v>0</v>
      </c>
      <c r="AC210" s="29">
        <f t="shared" si="208"/>
        <v>0</v>
      </c>
      <c r="AD210" s="29">
        <f t="shared" si="209"/>
        <v>0</v>
      </c>
      <c r="AE210" s="29">
        <f t="shared" si="210"/>
        <v>0</v>
      </c>
      <c r="AF210" s="29">
        <f t="shared" si="211"/>
        <v>0</v>
      </c>
      <c r="AG210" s="29">
        <f t="shared" si="212"/>
        <v>0</v>
      </c>
      <c r="AH210" s="29">
        <f t="shared" si="213"/>
        <v>0</v>
      </c>
      <c r="AI210" s="48" t="s">
        <v>60</v>
      </c>
      <c r="AJ210" s="55">
        <f t="shared" si="214"/>
        <v>0</v>
      </c>
      <c r="AK210" s="55">
        <f t="shared" si="215"/>
        <v>0</v>
      </c>
      <c r="AL210" s="55">
        <f t="shared" si="216"/>
        <v>0</v>
      </c>
      <c r="AN210" s="29">
        <v>15</v>
      </c>
      <c r="AO210" s="29">
        <f>G210*0.518122238586156</f>
        <v>0</v>
      </c>
      <c r="AP210" s="29">
        <f>G210*(1-0.518122238586156)</f>
        <v>0</v>
      </c>
      <c r="AQ210" s="51" t="s">
        <v>79</v>
      </c>
      <c r="AV210" s="29">
        <f t="shared" si="217"/>
        <v>0</v>
      </c>
      <c r="AW210" s="29">
        <f t="shared" si="218"/>
        <v>0</v>
      </c>
      <c r="AX210" s="29">
        <f t="shared" si="219"/>
        <v>0</v>
      </c>
      <c r="AY210" s="54" t="s">
        <v>633</v>
      </c>
      <c r="AZ210" s="54" t="s">
        <v>1533</v>
      </c>
      <c r="BA210" s="48" t="s">
        <v>1542</v>
      </c>
      <c r="BC210" s="29">
        <f t="shared" si="220"/>
        <v>0</v>
      </c>
      <c r="BD210" s="29">
        <f t="shared" si="221"/>
        <v>0</v>
      </c>
      <c r="BE210" s="29">
        <v>0</v>
      </c>
      <c r="BF210" s="29">
        <f t="shared" si="222"/>
        <v>0.8866575</v>
      </c>
      <c r="BH210" s="55">
        <f t="shared" si="223"/>
        <v>0</v>
      </c>
      <c r="BI210" s="55">
        <f t="shared" si="224"/>
        <v>0</v>
      </c>
      <c r="BJ210" s="55">
        <f t="shared" si="225"/>
        <v>0</v>
      </c>
    </row>
    <row r="211" spans="1:47" ht="12.75">
      <c r="A211" s="35"/>
      <c r="B211" s="42" t="s">
        <v>60</v>
      </c>
      <c r="C211" s="42" t="s">
        <v>119</v>
      </c>
      <c r="D211" s="42" t="s">
        <v>1230</v>
      </c>
      <c r="E211" s="35" t="s">
        <v>57</v>
      </c>
      <c r="F211" s="35" t="s">
        <v>57</v>
      </c>
      <c r="G211" s="35" t="s">
        <v>57</v>
      </c>
      <c r="H211" s="59">
        <f>SUM(H212:H213)</f>
        <v>0</v>
      </c>
      <c r="I211" s="59">
        <f>SUM(I212:I213)</f>
        <v>0</v>
      </c>
      <c r="J211" s="59">
        <f>SUM(J212:J213)</f>
        <v>0</v>
      </c>
      <c r="K211" s="48"/>
      <c r="L211" s="59">
        <f>SUM(L212:L213)</f>
        <v>6.590085</v>
      </c>
      <c r="M211" s="48"/>
      <c r="AI211" s="48" t="s">
        <v>60</v>
      </c>
      <c r="AS211" s="59">
        <f>SUM(AJ212:AJ213)</f>
        <v>0</v>
      </c>
      <c r="AT211" s="59">
        <f>SUM(AK212:AK213)</f>
        <v>0</v>
      </c>
      <c r="AU211" s="59">
        <f>SUM(AL212:AL213)</f>
        <v>0</v>
      </c>
    </row>
    <row r="212" spans="1:62" ht="12.75">
      <c r="A212" s="36" t="s">
        <v>675</v>
      </c>
      <c r="B212" s="36" t="s">
        <v>60</v>
      </c>
      <c r="C212" s="36" t="s">
        <v>949</v>
      </c>
      <c r="D212" s="36" t="s">
        <v>1231</v>
      </c>
      <c r="E212" s="36" t="s">
        <v>608</v>
      </c>
      <c r="F212" s="55">
        <f>'Stavební rozpočet'!F214</f>
        <v>38.76</v>
      </c>
      <c r="G212" s="55">
        <f>'Stavební rozpočet'!G214</f>
        <v>0</v>
      </c>
      <c r="H212" s="55">
        <f>F212*AO212</f>
        <v>0</v>
      </c>
      <c r="I212" s="55">
        <f>F212*AP212</f>
        <v>0</v>
      </c>
      <c r="J212" s="55">
        <f>F212*G212</f>
        <v>0</v>
      </c>
      <c r="K212" s="55">
        <f>'Stavební rozpočet'!K214</f>
        <v>0.07</v>
      </c>
      <c r="L212" s="55">
        <f>F212*K212</f>
        <v>2.7132</v>
      </c>
      <c r="M212" s="51" t="s">
        <v>622</v>
      </c>
      <c r="Z212" s="29">
        <f>IF(AQ212="5",BJ212,0)</f>
        <v>0</v>
      </c>
      <c r="AB212" s="29">
        <f>IF(AQ212="1",BH212,0)</f>
        <v>0</v>
      </c>
      <c r="AC212" s="29">
        <f>IF(AQ212="1",BI212,0)</f>
        <v>0</v>
      </c>
      <c r="AD212" s="29">
        <f>IF(AQ212="7",BH212,0)</f>
        <v>0</v>
      </c>
      <c r="AE212" s="29">
        <f>IF(AQ212="7",BI212,0)</f>
        <v>0</v>
      </c>
      <c r="AF212" s="29">
        <f>IF(AQ212="2",BH212,0)</f>
        <v>0</v>
      </c>
      <c r="AG212" s="29">
        <f>IF(AQ212="2",BI212,0)</f>
        <v>0</v>
      </c>
      <c r="AH212" s="29">
        <f>IF(AQ212="0",BJ212,0)</f>
        <v>0</v>
      </c>
      <c r="AI212" s="48" t="s">
        <v>60</v>
      </c>
      <c r="AJ212" s="55">
        <f>IF(AN212=0,J212,0)</f>
        <v>0</v>
      </c>
      <c r="AK212" s="55">
        <f>IF(AN212=15,J212,0)</f>
        <v>0</v>
      </c>
      <c r="AL212" s="55">
        <f>IF(AN212=21,J212,0)</f>
        <v>0</v>
      </c>
      <c r="AN212" s="29">
        <v>15</v>
      </c>
      <c r="AO212" s="29">
        <f>G212*0.731594613749114</f>
        <v>0</v>
      </c>
      <c r="AP212" s="29">
        <f>G212*(1-0.731594613749114)</f>
        <v>0</v>
      </c>
      <c r="AQ212" s="51" t="s">
        <v>79</v>
      </c>
      <c r="AV212" s="29">
        <f>AW212+AX212</f>
        <v>0</v>
      </c>
      <c r="AW212" s="29">
        <f>F212*AO212</f>
        <v>0</v>
      </c>
      <c r="AX212" s="29">
        <f>F212*AP212</f>
        <v>0</v>
      </c>
      <c r="AY212" s="54" t="s">
        <v>1528</v>
      </c>
      <c r="AZ212" s="54" t="s">
        <v>1534</v>
      </c>
      <c r="BA212" s="48" t="s">
        <v>1542</v>
      </c>
      <c r="BC212" s="29">
        <f>AW212+AX212</f>
        <v>0</v>
      </c>
      <c r="BD212" s="29">
        <f>G212/(100-BE212)*100</f>
        <v>0</v>
      </c>
      <c r="BE212" s="29">
        <v>0</v>
      </c>
      <c r="BF212" s="29">
        <f>L212</f>
        <v>2.7132</v>
      </c>
      <c r="BH212" s="55">
        <f>F212*AO212</f>
        <v>0</v>
      </c>
      <c r="BI212" s="55">
        <f>F212*AP212</f>
        <v>0</v>
      </c>
      <c r="BJ212" s="55">
        <f>F212*G212</f>
        <v>0</v>
      </c>
    </row>
    <row r="213" spans="1:62" ht="12.75">
      <c r="A213" s="36" t="s">
        <v>676</v>
      </c>
      <c r="B213" s="36" t="s">
        <v>60</v>
      </c>
      <c r="C213" s="36" t="s">
        <v>950</v>
      </c>
      <c r="D213" s="36" t="s">
        <v>1233</v>
      </c>
      <c r="E213" s="36" t="s">
        <v>608</v>
      </c>
      <c r="F213" s="55">
        <f>'Stavební rozpočet'!F215</f>
        <v>151.5</v>
      </c>
      <c r="G213" s="55">
        <f>'Stavební rozpočet'!G215</f>
        <v>0</v>
      </c>
      <c r="H213" s="55">
        <f>F213*AO213</f>
        <v>0</v>
      </c>
      <c r="I213" s="55">
        <f>F213*AP213</f>
        <v>0</v>
      </c>
      <c r="J213" s="55">
        <f>F213*G213</f>
        <v>0</v>
      </c>
      <c r="K213" s="55">
        <f>'Stavební rozpočet'!K215</f>
        <v>0.02559</v>
      </c>
      <c r="L213" s="55">
        <f>F213*K213</f>
        <v>3.876885</v>
      </c>
      <c r="M213" s="51" t="s">
        <v>622</v>
      </c>
      <c r="Z213" s="29">
        <f>IF(AQ213="5",BJ213,0)</f>
        <v>0</v>
      </c>
      <c r="AB213" s="29">
        <f>IF(AQ213="1",BH213,0)</f>
        <v>0</v>
      </c>
      <c r="AC213" s="29">
        <f>IF(AQ213="1",BI213,0)</f>
        <v>0</v>
      </c>
      <c r="AD213" s="29">
        <f>IF(AQ213="7",BH213,0)</f>
        <v>0</v>
      </c>
      <c r="AE213" s="29">
        <f>IF(AQ213="7",BI213,0)</f>
        <v>0</v>
      </c>
      <c r="AF213" s="29">
        <f>IF(AQ213="2",BH213,0)</f>
        <v>0</v>
      </c>
      <c r="AG213" s="29">
        <f>IF(AQ213="2",BI213,0)</f>
        <v>0</v>
      </c>
      <c r="AH213" s="29">
        <f>IF(AQ213="0",BJ213,0)</f>
        <v>0</v>
      </c>
      <c r="AI213" s="48" t="s">
        <v>60</v>
      </c>
      <c r="AJ213" s="55">
        <f>IF(AN213=0,J213,0)</f>
        <v>0</v>
      </c>
      <c r="AK213" s="55">
        <f>IF(AN213=15,J213,0)</f>
        <v>0</v>
      </c>
      <c r="AL213" s="55">
        <f>IF(AN213=21,J213,0)</f>
        <v>0</v>
      </c>
      <c r="AN213" s="29">
        <v>15</v>
      </c>
      <c r="AO213" s="29">
        <f>G213*0.785892448512586</f>
        <v>0</v>
      </c>
      <c r="AP213" s="29">
        <f>G213*(1-0.785892448512586)</f>
        <v>0</v>
      </c>
      <c r="AQ213" s="51" t="s">
        <v>79</v>
      </c>
      <c r="AV213" s="29">
        <f>AW213+AX213</f>
        <v>0</v>
      </c>
      <c r="AW213" s="29">
        <f>F213*AO213</f>
        <v>0</v>
      </c>
      <c r="AX213" s="29">
        <f>F213*AP213</f>
        <v>0</v>
      </c>
      <c r="AY213" s="54" t="s">
        <v>1528</v>
      </c>
      <c r="AZ213" s="54" t="s">
        <v>1534</v>
      </c>
      <c r="BA213" s="48" t="s">
        <v>1542</v>
      </c>
      <c r="BC213" s="29">
        <f>AW213+AX213</f>
        <v>0</v>
      </c>
      <c r="BD213" s="29">
        <f>G213/(100-BE213)*100</f>
        <v>0</v>
      </c>
      <c r="BE213" s="29">
        <v>0</v>
      </c>
      <c r="BF213" s="29">
        <f>L213</f>
        <v>3.876885</v>
      </c>
      <c r="BH213" s="55">
        <f>F213*AO213</f>
        <v>0</v>
      </c>
      <c r="BI213" s="55">
        <f>F213*AP213</f>
        <v>0</v>
      </c>
      <c r="BJ213" s="55">
        <f>F213*G213</f>
        <v>0</v>
      </c>
    </row>
    <row r="214" spans="1:47" ht="12.75">
      <c r="A214" s="35"/>
      <c r="B214" s="42" t="s">
        <v>60</v>
      </c>
      <c r="C214" s="42" t="s">
        <v>139</v>
      </c>
      <c r="D214" s="42" t="s">
        <v>434</v>
      </c>
      <c r="E214" s="35" t="s">
        <v>57</v>
      </c>
      <c r="F214" s="35" t="s">
        <v>57</v>
      </c>
      <c r="G214" s="35" t="s">
        <v>57</v>
      </c>
      <c r="H214" s="59">
        <f>SUM(H215:H222)</f>
        <v>0</v>
      </c>
      <c r="I214" s="59">
        <f>SUM(I215:I222)</f>
        <v>0</v>
      </c>
      <c r="J214" s="59">
        <f>SUM(J215:J222)</f>
        <v>0</v>
      </c>
      <c r="K214" s="48"/>
      <c r="L214" s="59">
        <f>SUM(L215:L222)</f>
        <v>24.439868500000003</v>
      </c>
      <c r="M214" s="48"/>
      <c r="AI214" s="48" t="s">
        <v>60</v>
      </c>
      <c r="AS214" s="59">
        <f>SUM(AJ215:AJ222)</f>
        <v>0</v>
      </c>
      <c r="AT214" s="59">
        <f>SUM(AK215:AK222)</f>
        <v>0</v>
      </c>
      <c r="AU214" s="59">
        <f>SUM(AL215:AL222)</f>
        <v>0</v>
      </c>
    </row>
    <row r="215" spans="1:62" ht="12.75">
      <c r="A215" s="36" t="s">
        <v>677</v>
      </c>
      <c r="B215" s="36" t="s">
        <v>60</v>
      </c>
      <c r="C215" s="36" t="s">
        <v>254</v>
      </c>
      <c r="D215" s="36" t="s">
        <v>435</v>
      </c>
      <c r="E215" s="36" t="s">
        <v>608</v>
      </c>
      <c r="F215" s="55">
        <f>'Stavební rozpočet'!F217</f>
        <v>12.65</v>
      </c>
      <c r="G215" s="55">
        <f>'Stavební rozpočet'!G217</f>
        <v>0</v>
      </c>
      <c r="H215" s="55">
        <f aca="true" t="shared" si="226" ref="H215:H222">F215*AO215</f>
        <v>0</v>
      </c>
      <c r="I215" s="55">
        <f aca="true" t="shared" si="227" ref="I215:I222">F215*AP215</f>
        <v>0</v>
      </c>
      <c r="J215" s="55">
        <f aca="true" t="shared" si="228" ref="J215:J222">F215*G215</f>
        <v>0</v>
      </c>
      <c r="K215" s="55">
        <f>'Stavební rozpočet'!K217</f>
        <v>0.0192</v>
      </c>
      <c r="L215" s="55">
        <f aca="true" t="shared" si="229" ref="L215:L222">F215*K215</f>
        <v>0.24287999999999998</v>
      </c>
      <c r="M215" s="51" t="s">
        <v>622</v>
      </c>
      <c r="Z215" s="29">
        <f aca="true" t="shared" si="230" ref="Z215:Z222">IF(AQ215="5",BJ215,0)</f>
        <v>0</v>
      </c>
      <c r="AB215" s="29">
        <f aca="true" t="shared" si="231" ref="AB215:AB222">IF(AQ215="1",BH215,0)</f>
        <v>0</v>
      </c>
      <c r="AC215" s="29">
        <f aca="true" t="shared" si="232" ref="AC215:AC222">IF(AQ215="1",BI215,0)</f>
        <v>0</v>
      </c>
      <c r="AD215" s="29">
        <f aca="true" t="shared" si="233" ref="AD215:AD222">IF(AQ215="7",BH215,0)</f>
        <v>0</v>
      </c>
      <c r="AE215" s="29">
        <f aca="true" t="shared" si="234" ref="AE215:AE222">IF(AQ215="7",BI215,0)</f>
        <v>0</v>
      </c>
      <c r="AF215" s="29">
        <f aca="true" t="shared" si="235" ref="AF215:AF222">IF(AQ215="2",BH215,0)</f>
        <v>0</v>
      </c>
      <c r="AG215" s="29">
        <f aca="true" t="shared" si="236" ref="AG215:AG222">IF(AQ215="2",BI215,0)</f>
        <v>0</v>
      </c>
      <c r="AH215" s="29">
        <f aca="true" t="shared" si="237" ref="AH215:AH222">IF(AQ215="0",BJ215,0)</f>
        <v>0</v>
      </c>
      <c r="AI215" s="48" t="s">
        <v>60</v>
      </c>
      <c r="AJ215" s="55">
        <f aca="true" t="shared" si="238" ref="AJ215:AJ222">IF(AN215=0,J215,0)</f>
        <v>0</v>
      </c>
      <c r="AK215" s="55">
        <f aca="true" t="shared" si="239" ref="AK215:AK222">IF(AN215=15,J215,0)</f>
        <v>0</v>
      </c>
      <c r="AL215" s="55">
        <f aca="true" t="shared" si="240" ref="AL215:AL222">IF(AN215=21,J215,0)</f>
        <v>0</v>
      </c>
      <c r="AN215" s="29">
        <v>15</v>
      </c>
      <c r="AO215" s="29">
        <f>G215*0.230757790368272</f>
        <v>0</v>
      </c>
      <c r="AP215" s="29">
        <f>G215*(1-0.230757790368272)</f>
        <v>0</v>
      </c>
      <c r="AQ215" s="51" t="s">
        <v>79</v>
      </c>
      <c r="AV215" s="29">
        <f aca="true" t="shared" si="241" ref="AV215:AV222">AW215+AX215</f>
        <v>0</v>
      </c>
      <c r="AW215" s="29">
        <f aca="true" t="shared" si="242" ref="AW215:AW222">F215*AO215</f>
        <v>0</v>
      </c>
      <c r="AX215" s="29">
        <f aca="true" t="shared" si="243" ref="AX215:AX222">F215*AP215</f>
        <v>0</v>
      </c>
      <c r="AY215" s="54" t="s">
        <v>634</v>
      </c>
      <c r="AZ215" s="54" t="s">
        <v>1535</v>
      </c>
      <c r="BA215" s="48" t="s">
        <v>1542</v>
      </c>
      <c r="BC215" s="29">
        <f aca="true" t="shared" si="244" ref="BC215:BC222">AW215+AX215</f>
        <v>0</v>
      </c>
      <c r="BD215" s="29">
        <f aca="true" t="shared" si="245" ref="BD215:BD222">G215/(100-BE215)*100</f>
        <v>0</v>
      </c>
      <c r="BE215" s="29">
        <v>0</v>
      </c>
      <c r="BF215" s="29">
        <f aca="true" t="shared" si="246" ref="BF215:BF222">L215</f>
        <v>0.24287999999999998</v>
      </c>
      <c r="BH215" s="55">
        <f aca="true" t="shared" si="247" ref="BH215:BH222">F215*AO215</f>
        <v>0</v>
      </c>
      <c r="BI215" s="55">
        <f aca="true" t="shared" si="248" ref="BI215:BI222">F215*AP215</f>
        <v>0</v>
      </c>
      <c r="BJ215" s="55">
        <f aca="true" t="shared" si="249" ref="BJ215:BJ222">F215*G215</f>
        <v>0</v>
      </c>
    </row>
    <row r="216" spans="1:62" ht="12.75">
      <c r="A216" s="36" t="s">
        <v>678</v>
      </c>
      <c r="B216" s="36" t="s">
        <v>60</v>
      </c>
      <c r="C216" s="36" t="s">
        <v>255</v>
      </c>
      <c r="D216" s="36" t="s">
        <v>437</v>
      </c>
      <c r="E216" s="36" t="s">
        <v>609</v>
      </c>
      <c r="F216" s="55">
        <f>'Stavební rozpočet'!F218</f>
        <v>145.42</v>
      </c>
      <c r="G216" s="55">
        <f>'Stavební rozpočet'!G218</f>
        <v>0</v>
      </c>
      <c r="H216" s="55">
        <f t="shared" si="226"/>
        <v>0</v>
      </c>
      <c r="I216" s="55">
        <f t="shared" si="227"/>
        <v>0</v>
      </c>
      <c r="J216" s="55">
        <f t="shared" si="228"/>
        <v>0</v>
      </c>
      <c r="K216" s="55">
        <f>'Stavební rozpočet'!K218</f>
        <v>0.00238</v>
      </c>
      <c r="L216" s="55">
        <f t="shared" si="229"/>
        <v>0.3460996</v>
      </c>
      <c r="M216" s="51" t="s">
        <v>622</v>
      </c>
      <c r="Z216" s="29">
        <f t="shared" si="230"/>
        <v>0</v>
      </c>
      <c r="AB216" s="29">
        <f t="shared" si="231"/>
        <v>0</v>
      </c>
      <c r="AC216" s="29">
        <f t="shared" si="232"/>
        <v>0</v>
      </c>
      <c r="AD216" s="29">
        <f t="shared" si="233"/>
        <v>0</v>
      </c>
      <c r="AE216" s="29">
        <f t="shared" si="234"/>
        <v>0</v>
      </c>
      <c r="AF216" s="29">
        <f t="shared" si="235"/>
        <v>0</v>
      </c>
      <c r="AG216" s="29">
        <f t="shared" si="236"/>
        <v>0</v>
      </c>
      <c r="AH216" s="29">
        <f t="shared" si="237"/>
        <v>0</v>
      </c>
      <c r="AI216" s="48" t="s">
        <v>60</v>
      </c>
      <c r="AJ216" s="55">
        <f t="shared" si="238"/>
        <v>0</v>
      </c>
      <c r="AK216" s="55">
        <f t="shared" si="239"/>
        <v>0</v>
      </c>
      <c r="AL216" s="55">
        <f t="shared" si="240"/>
        <v>0</v>
      </c>
      <c r="AN216" s="29">
        <v>15</v>
      </c>
      <c r="AO216" s="29">
        <f>G216*0.110518101098427</f>
        <v>0</v>
      </c>
      <c r="AP216" s="29">
        <f>G216*(1-0.110518101098427)</f>
        <v>0</v>
      </c>
      <c r="AQ216" s="51" t="s">
        <v>79</v>
      </c>
      <c r="AV216" s="29">
        <f t="shared" si="241"/>
        <v>0</v>
      </c>
      <c r="AW216" s="29">
        <f t="shared" si="242"/>
        <v>0</v>
      </c>
      <c r="AX216" s="29">
        <f t="shared" si="243"/>
        <v>0</v>
      </c>
      <c r="AY216" s="54" t="s">
        <v>634</v>
      </c>
      <c r="AZ216" s="54" t="s">
        <v>1535</v>
      </c>
      <c r="BA216" s="48" t="s">
        <v>1542</v>
      </c>
      <c r="BC216" s="29">
        <f t="shared" si="244"/>
        <v>0</v>
      </c>
      <c r="BD216" s="29">
        <f t="shared" si="245"/>
        <v>0</v>
      </c>
      <c r="BE216" s="29">
        <v>0</v>
      </c>
      <c r="BF216" s="29">
        <f t="shared" si="246"/>
        <v>0.3460996</v>
      </c>
      <c r="BH216" s="55">
        <f t="shared" si="247"/>
        <v>0</v>
      </c>
      <c r="BI216" s="55">
        <f t="shared" si="248"/>
        <v>0</v>
      </c>
      <c r="BJ216" s="55">
        <f t="shared" si="249"/>
        <v>0</v>
      </c>
    </row>
    <row r="217" spans="1:62" ht="12.75">
      <c r="A217" s="36" t="s">
        <v>679</v>
      </c>
      <c r="B217" s="36" t="s">
        <v>60</v>
      </c>
      <c r="C217" s="36" t="s">
        <v>256</v>
      </c>
      <c r="D217" s="36" t="s">
        <v>439</v>
      </c>
      <c r="E217" s="36" t="s">
        <v>608</v>
      </c>
      <c r="F217" s="55">
        <f>'Stavební rozpočet'!F219</f>
        <v>193.72</v>
      </c>
      <c r="G217" s="55">
        <f>'Stavební rozpočet'!G219</f>
        <v>0</v>
      </c>
      <c r="H217" s="55">
        <f t="shared" si="226"/>
        <v>0</v>
      </c>
      <c r="I217" s="55">
        <f t="shared" si="227"/>
        <v>0</v>
      </c>
      <c r="J217" s="55">
        <f t="shared" si="228"/>
        <v>0</v>
      </c>
      <c r="K217" s="55">
        <f>'Stavební rozpočet'!K219</f>
        <v>0.01554</v>
      </c>
      <c r="L217" s="55">
        <f t="shared" si="229"/>
        <v>3.0104088</v>
      </c>
      <c r="M217" s="51" t="s">
        <v>622</v>
      </c>
      <c r="Z217" s="29">
        <f t="shared" si="230"/>
        <v>0</v>
      </c>
      <c r="AB217" s="29">
        <f t="shared" si="231"/>
        <v>0</v>
      </c>
      <c r="AC217" s="29">
        <f t="shared" si="232"/>
        <v>0</v>
      </c>
      <c r="AD217" s="29">
        <f t="shared" si="233"/>
        <v>0</v>
      </c>
      <c r="AE217" s="29">
        <f t="shared" si="234"/>
        <v>0</v>
      </c>
      <c r="AF217" s="29">
        <f t="shared" si="235"/>
        <v>0</v>
      </c>
      <c r="AG217" s="29">
        <f t="shared" si="236"/>
        <v>0</v>
      </c>
      <c r="AH217" s="29">
        <f t="shared" si="237"/>
        <v>0</v>
      </c>
      <c r="AI217" s="48" t="s">
        <v>60</v>
      </c>
      <c r="AJ217" s="55">
        <f t="shared" si="238"/>
        <v>0</v>
      </c>
      <c r="AK217" s="55">
        <f t="shared" si="239"/>
        <v>0</v>
      </c>
      <c r="AL217" s="55">
        <f t="shared" si="240"/>
        <v>0</v>
      </c>
      <c r="AN217" s="29">
        <v>15</v>
      </c>
      <c r="AO217" s="29">
        <f>G217*0.272799310709713</f>
        <v>0</v>
      </c>
      <c r="AP217" s="29">
        <f>G217*(1-0.272799310709713)</f>
        <v>0</v>
      </c>
      <c r="AQ217" s="51" t="s">
        <v>79</v>
      </c>
      <c r="AV217" s="29">
        <f t="shared" si="241"/>
        <v>0</v>
      </c>
      <c r="AW217" s="29">
        <f t="shared" si="242"/>
        <v>0</v>
      </c>
      <c r="AX217" s="29">
        <f t="shared" si="243"/>
        <v>0</v>
      </c>
      <c r="AY217" s="54" t="s">
        <v>634</v>
      </c>
      <c r="AZ217" s="54" t="s">
        <v>1535</v>
      </c>
      <c r="BA217" s="48" t="s">
        <v>1542</v>
      </c>
      <c r="BC217" s="29">
        <f t="shared" si="244"/>
        <v>0</v>
      </c>
      <c r="BD217" s="29">
        <f t="shared" si="245"/>
        <v>0</v>
      </c>
      <c r="BE217" s="29">
        <v>0</v>
      </c>
      <c r="BF217" s="29">
        <f t="shared" si="246"/>
        <v>3.0104088</v>
      </c>
      <c r="BH217" s="55">
        <f t="shared" si="247"/>
        <v>0</v>
      </c>
      <c r="BI217" s="55">
        <f t="shared" si="248"/>
        <v>0</v>
      </c>
      <c r="BJ217" s="55">
        <f t="shared" si="249"/>
        <v>0</v>
      </c>
    </row>
    <row r="218" spans="1:62" ht="12.75">
      <c r="A218" s="36" t="s">
        <v>680</v>
      </c>
      <c r="B218" s="36" t="s">
        <v>60</v>
      </c>
      <c r="C218" s="36" t="s">
        <v>257</v>
      </c>
      <c r="D218" s="36" t="s">
        <v>440</v>
      </c>
      <c r="E218" s="36" t="s">
        <v>608</v>
      </c>
      <c r="F218" s="55">
        <f>'Stavební rozpočet'!F220</f>
        <v>193.72</v>
      </c>
      <c r="G218" s="55">
        <f>'Stavební rozpočet'!G220</f>
        <v>0</v>
      </c>
      <c r="H218" s="55">
        <f t="shared" si="226"/>
        <v>0</v>
      </c>
      <c r="I218" s="55">
        <f t="shared" si="227"/>
        <v>0</v>
      </c>
      <c r="J218" s="55">
        <f t="shared" si="228"/>
        <v>0</v>
      </c>
      <c r="K218" s="55">
        <f>'Stavební rozpočet'!K220</f>
        <v>0.06002</v>
      </c>
      <c r="L218" s="55">
        <f t="shared" si="229"/>
        <v>11.6270744</v>
      </c>
      <c r="M218" s="51" t="s">
        <v>622</v>
      </c>
      <c r="Z218" s="29">
        <f t="shared" si="230"/>
        <v>0</v>
      </c>
      <c r="AB218" s="29">
        <f t="shared" si="231"/>
        <v>0</v>
      </c>
      <c r="AC218" s="29">
        <f t="shared" si="232"/>
        <v>0</v>
      </c>
      <c r="AD218" s="29">
        <f t="shared" si="233"/>
        <v>0</v>
      </c>
      <c r="AE218" s="29">
        <f t="shared" si="234"/>
        <v>0</v>
      </c>
      <c r="AF218" s="29">
        <f t="shared" si="235"/>
        <v>0</v>
      </c>
      <c r="AG218" s="29">
        <f t="shared" si="236"/>
        <v>0</v>
      </c>
      <c r="AH218" s="29">
        <f t="shared" si="237"/>
        <v>0</v>
      </c>
      <c r="AI218" s="48" t="s">
        <v>60</v>
      </c>
      <c r="AJ218" s="55">
        <f t="shared" si="238"/>
        <v>0</v>
      </c>
      <c r="AK218" s="55">
        <f t="shared" si="239"/>
        <v>0</v>
      </c>
      <c r="AL218" s="55">
        <f t="shared" si="240"/>
        <v>0</v>
      </c>
      <c r="AN218" s="29">
        <v>15</v>
      </c>
      <c r="AO218" s="29">
        <f>G218*0.157507125986478</f>
        <v>0</v>
      </c>
      <c r="AP218" s="29">
        <f>G218*(1-0.157507125986478)</f>
        <v>0</v>
      </c>
      <c r="AQ218" s="51" t="s">
        <v>79</v>
      </c>
      <c r="AV218" s="29">
        <f t="shared" si="241"/>
        <v>0</v>
      </c>
      <c r="AW218" s="29">
        <f t="shared" si="242"/>
        <v>0</v>
      </c>
      <c r="AX218" s="29">
        <f t="shared" si="243"/>
        <v>0</v>
      </c>
      <c r="AY218" s="54" t="s">
        <v>634</v>
      </c>
      <c r="AZ218" s="54" t="s">
        <v>1535</v>
      </c>
      <c r="BA218" s="48" t="s">
        <v>1542</v>
      </c>
      <c r="BC218" s="29">
        <f t="shared" si="244"/>
        <v>0</v>
      </c>
      <c r="BD218" s="29">
        <f t="shared" si="245"/>
        <v>0</v>
      </c>
      <c r="BE218" s="29">
        <v>0</v>
      </c>
      <c r="BF218" s="29">
        <f t="shared" si="246"/>
        <v>11.6270744</v>
      </c>
      <c r="BH218" s="55">
        <f t="shared" si="247"/>
        <v>0</v>
      </c>
      <c r="BI218" s="55">
        <f t="shared" si="248"/>
        <v>0</v>
      </c>
      <c r="BJ218" s="55">
        <f t="shared" si="249"/>
        <v>0</v>
      </c>
    </row>
    <row r="219" spans="1:62" ht="12.75">
      <c r="A219" s="36" t="s">
        <v>681</v>
      </c>
      <c r="B219" s="36" t="s">
        <v>60</v>
      </c>
      <c r="C219" s="36" t="s">
        <v>258</v>
      </c>
      <c r="D219" s="36" t="s">
        <v>442</v>
      </c>
      <c r="E219" s="36" t="s">
        <v>608</v>
      </c>
      <c r="F219" s="55">
        <f>'Stavební rozpočet'!F221</f>
        <v>212.19</v>
      </c>
      <c r="G219" s="55">
        <f>'Stavební rozpočet'!G221</f>
        <v>0</v>
      </c>
      <c r="H219" s="55">
        <f t="shared" si="226"/>
        <v>0</v>
      </c>
      <c r="I219" s="55">
        <f t="shared" si="227"/>
        <v>0</v>
      </c>
      <c r="J219" s="55">
        <f t="shared" si="228"/>
        <v>0</v>
      </c>
      <c r="K219" s="55">
        <f>'Stavební rozpočet'!K221</f>
        <v>0.01119</v>
      </c>
      <c r="L219" s="55">
        <f t="shared" si="229"/>
        <v>2.3744061</v>
      </c>
      <c r="M219" s="51" t="s">
        <v>622</v>
      </c>
      <c r="Z219" s="29">
        <f t="shared" si="230"/>
        <v>0</v>
      </c>
      <c r="AB219" s="29">
        <f t="shared" si="231"/>
        <v>0</v>
      </c>
      <c r="AC219" s="29">
        <f t="shared" si="232"/>
        <v>0</v>
      </c>
      <c r="AD219" s="29">
        <f t="shared" si="233"/>
        <v>0</v>
      </c>
      <c r="AE219" s="29">
        <f t="shared" si="234"/>
        <v>0</v>
      </c>
      <c r="AF219" s="29">
        <f t="shared" si="235"/>
        <v>0</v>
      </c>
      <c r="AG219" s="29">
        <f t="shared" si="236"/>
        <v>0</v>
      </c>
      <c r="AH219" s="29">
        <f t="shared" si="237"/>
        <v>0</v>
      </c>
      <c r="AI219" s="48" t="s">
        <v>60</v>
      </c>
      <c r="AJ219" s="55">
        <f t="shared" si="238"/>
        <v>0</v>
      </c>
      <c r="AK219" s="55">
        <f t="shared" si="239"/>
        <v>0</v>
      </c>
      <c r="AL219" s="55">
        <f t="shared" si="240"/>
        <v>0</v>
      </c>
      <c r="AN219" s="29">
        <v>15</v>
      </c>
      <c r="AO219" s="29">
        <f>G219*0.206189594346569</f>
        <v>0</v>
      </c>
      <c r="AP219" s="29">
        <f>G219*(1-0.206189594346569)</f>
        <v>0</v>
      </c>
      <c r="AQ219" s="51" t="s">
        <v>79</v>
      </c>
      <c r="AV219" s="29">
        <f t="shared" si="241"/>
        <v>0</v>
      </c>
      <c r="AW219" s="29">
        <f t="shared" si="242"/>
        <v>0</v>
      </c>
      <c r="AX219" s="29">
        <f t="shared" si="243"/>
        <v>0</v>
      </c>
      <c r="AY219" s="54" t="s">
        <v>634</v>
      </c>
      <c r="AZ219" s="54" t="s">
        <v>1535</v>
      </c>
      <c r="BA219" s="48" t="s">
        <v>1542</v>
      </c>
      <c r="BC219" s="29">
        <f t="shared" si="244"/>
        <v>0</v>
      </c>
      <c r="BD219" s="29">
        <f t="shared" si="245"/>
        <v>0</v>
      </c>
      <c r="BE219" s="29">
        <v>0</v>
      </c>
      <c r="BF219" s="29">
        <f t="shared" si="246"/>
        <v>2.3744061</v>
      </c>
      <c r="BH219" s="55">
        <f t="shared" si="247"/>
        <v>0</v>
      </c>
      <c r="BI219" s="55">
        <f t="shared" si="248"/>
        <v>0</v>
      </c>
      <c r="BJ219" s="55">
        <f t="shared" si="249"/>
        <v>0</v>
      </c>
    </row>
    <row r="220" spans="1:62" ht="12.75">
      <c r="A220" s="36" t="s">
        <v>682</v>
      </c>
      <c r="B220" s="36" t="s">
        <v>60</v>
      </c>
      <c r="C220" s="36" t="s">
        <v>259</v>
      </c>
      <c r="D220" s="36" t="s">
        <v>443</v>
      </c>
      <c r="E220" s="36" t="s">
        <v>608</v>
      </c>
      <c r="F220" s="55">
        <f>'Stavební rozpočet'!F222</f>
        <v>212.19</v>
      </c>
      <c r="G220" s="55">
        <f>'Stavební rozpočet'!G222</f>
        <v>0</v>
      </c>
      <c r="H220" s="55">
        <f t="shared" si="226"/>
        <v>0</v>
      </c>
      <c r="I220" s="55">
        <f t="shared" si="227"/>
        <v>0</v>
      </c>
      <c r="J220" s="55">
        <f t="shared" si="228"/>
        <v>0</v>
      </c>
      <c r="K220" s="55">
        <f>'Stavební rozpočet'!K222</f>
        <v>0.02888</v>
      </c>
      <c r="L220" s="55">
        <f t="shared" si="229"/>
        <v>6.1280472</v>
      </c>
      <c r="M220" s="51" t="s">
        <v>622</v>
      </c>
      <c r="Z220" s="29">
        <f t="shared" si="230"/>
        <v>0</v>
      </c>
      <c r="AB220" s="29">
        <f t="shared" si="231"/>
        <v>0</v>
      </c>
      <c r="AC220" s="29">
        <f t="shared" si="232"/>
        <v>0</v>
      </c>
      <c r="AD220" s="29">
        <f t="shared" si="233"/>
        <v>0</v>
      </c>
      <c r="AE220" s="29">
        <f t="shared" si="234"/>
        <v>0</v>
      </c>
      <c r="AF220" s="29">
        <f t="shared" si="235"/>
        <v>0</v>
      </c>
      <c r="AG220" s="29">
        <f t="shared" si="236"/>
        <v>0</v>
      </c>
      <c r="AH220" s="29">
        <f t="shared" si="237"/>
        <v>0</v>
      </c>
      <c r="AI220" s="48" t="s">
        <v>60</v>
      </c>
      <c r="AJ220" s="55">
        <f t="shared" si="238"/>
        <v>0</v>
      </c>
      <c r="AK220" s="55">
        <f t="shared" si="239"/>
        <v>0</v>
      </c>
      <c r="AL220" s="55">
        <f t="shared" si="240"/>
        <v>0</v>
      </c>
      <c r="AN220" s="29">
        <v>15</v>
      </c>
      <c r="AO220" s="29">
        <f>G220*0.324471674648514</f>
        <v>0</v>
      </c>
      <c r="AP220" s="29">
        <f>G220*(1-0.324471674648514)</f>
        <v>0</v>
      </c>
      <c r="AQ220" s="51" t="s">
        <v>79</v>
      </c>
      <c r="AV220" s="29">
        <f t="shared" si="241"/>
        <v>0</v>
      </c>
      <c r="AW220" s="29">
        <f t="shared" si="242"/>
        <v>0</v>
      </c>
      <c r="AX220" s="29">
        <f t="shared" si="243"/>
        <v>0</v>
      </c>
      <c r="AY220" s="54" t="s">
        <v>634</v>
      </c>
      <c r="AZ220" s="54" t="s">
        <v>1535</v>
      </c>
      <c r="BA220" s="48" t="s">
        <v>1542</v>
      </c>
      <c r="BC220" s="29">
        <f t="shared" si="244"/>
        <v>0</v>
      </c>
      <c r="BD220" s="29">
        <f t="shared" si="245"/>
        <v>0</v>
      </c>
      <c r="BE220" s="29">
        <v>0</v>
      </c>
      <c r="BF220" s="29">
        <f t="shared" si="246"/>
        <v>6.1280472</v>
      </c>
      <c r="BH220" s="55">
        <f t="shared" si="247"/>
        <v>0</v>
      </c>
      <c r="BI220" s="55">
        <f t="shared" si="248"/>
        <v>0</v>
      </c>
      <c r="BJ220" s="55">
        <f t="shared" si="249"/>
        <v>0</v>
      </c>
    </row>
    <row r="221" spans="1:62" ht="12.75">
      <c r="A221" s="36" t="s">
        <v>683</v>
      </c>
      <c r="B221" s="36" t="s">
        <v>60</v>
      </c>
      <c r="C221" s="36" t="s">
        <v>260</v>
      </c>
      <c r="D221" s="36" t="s">
        <v>445</v>
      </c>
      <c r="E221" s="36" t="s">
        <v>608</v>
      </c>
      <c r="F221" s="55">
        <f>'Stavební rozpočet'!F223</f>
        <v>193.72</v>
      </c>
      <c r="G221" s="55">
        <f>'Stavební rozpočet'!G223</f>
        <v>0</v>
      </c>
      <c r="H221" s="55">
        <f t="shared" si="226"/>
        <v>0</v>
      </c>
      <c r="I221" s="55">
        <f t="shared" si="227"/>
        <v>0</v>
      </c>
      <c r="J221" s="55">
        <f t="shared" si="228"/>
        <v>0</v>
      </c>
      <c r="K221" s="55">
        <f>'Stavební rozpočet'!K223</f>
        <v>0.00367</v>
      </c>
      <c r="L221" s="55">
        <f t="shared" si="229"/>
        <v>0.7109524</v>
      </c>
      <c r="M221" s="51" t="s">
        <v>622</v>
      </c>
      <c r="Z221" s="29">
        <f t="shared" si="230"/>
        <v>0</v>
      </c>
      <c r="AB221" s="29">
        <f t="shared" si="231"/>
        <v>0</v>
      </c>
      <c r="AC221" s="29">
        <f t="shared" si="232"/>
        <v>0</v>
      </c>
      <c r="AD221" s="29">
        <f t="shared" si="233"/>
        <v>0</v>
      </c>
      <c r="AE221" s="29">
        <f t="shared" si="234"/>
        <v>0</v>
      </c>
      <c r="AF221" s="29">
        <f t="shared" si="235"/>
        <v>0</v>
      </c>
      <c r="AG221" s="29">
        <f t="shared" si="236"/>
        <v>0</v>
      </c>
      <c r="AH221" s="29">
        <f t="shared" si="237"/>
        <v>0</v>
      </c>
      <c r="AI221" s="48" t="s">
        <v>60</v>
      </c>
      <c r="AJ221" s="55">
        <f t="shared" si="238"/>
        <v>0</v>
      </c>
      <c r="AK221" s="55">
        <f t="shared" si="239"/>
        <v>0</v>
      </c>
      <c r="AL221" s="55">
        <f t="shared" si="240"/>
        <v>0</v>
      </c>
      <c r="AN221" s="29">
        <v>15</v>
      </c>
      <c r="AO221" s="29">
        <f>G221*0.283412072634951</f>
        <v>0</v>
      </c>
      <c r="AP221" s="29">
        <f>G221*(1-0.283412072634951)</f>
        <v>0</v>
      </c>
      <c r="AQ221" s="51" t="s">
        <v>79</v>
      </c>
      <c r="AV221" s="29">
        <f t="shared" si="241"/>
        <v>0</v>
      </c>
      <c r="AW221" s="29">
        <f t="shared" si="242"/>
        <v>0</v>
      </c>
      <c r="AX221" s="29">
        <f t="shared" si="243"/>
        <v>0</v>
      </c>
      <c r="AY221" s="54" t="s">
        <v>634</v>
      </c>
      <c r="AZ221" s="54" t="s">
        <v>1535</v>
      </c>
      <c r="BA221" s="48" t="s">
        <v>1542</v>
      </c>
      <c r="BC221" s="29">
        <f t="shared" si="244"/>
        <v>0</v>
      </c>
      <c r="BD221" s="29">
        <f t="shared" si="245"/>
        <v>0</v>
      </c>
      <c r="BE221" s="29">
        <v>0</v>
      </c>
      <c r="BF221" s="29">
        <f t="shared" si="246"/>
        <v>0.7109524</v>
      </c>
      <c r="BH221" s="55">
        <f t="shared" si="247"/>
        <v>0</v>
      </c>
      <c r="BI221" s="55">
        <f t="shared" si="248"/>
        <v>0</v>
      </c>
      <c r="BJ221" s="55">
        <f t="shared" si="249"/>
        <v>0</v>
      </c>
    </row>
    <row r="222" spans="1:62" ht="12.75">
      <c r="A222" s="36" t="s">
        <v>684</v>
      </c>
      <c r="B222" s="36" t="s">
        <v>60</v>
      </c>
      <c r="C222" s="36" t="s">
        <v>261</v>
      </c>
      <c r="D222" s="36" t="s">
        <v>447</v>
      </c>
      <c r="E222" s="36" t="s">
        <v>609</v>
      </c>
      <c r="F222" s="55">
        <f>'Stavební rozpočet'!F224</f>
        <v>0</v>
      </c>
      <c r="G222" s="55">
        <f>'Stavební rozpočet'!G224</f>
        <v>0</v>
      </c>
      <c r="H222" s="55">
        <f t="shared" si="226"/>
        <v>0</v>
      </c>
      <c r="I222" s="55">
        <f t="shared" si="227"/>
        <v>0</v>
      </c>
      <c r="J222" s="55">
        <f t="shared" si="228"/>
        <v>0</v>
      </c>
      <c r="K222" s="55">
        <f>'Stavební rozpočet'!K224</f>
        <v>0.00215</v>
      </c>
      <c r="L222" s="55">
        <f t="shared" si="229"/>
        <v>0</v>
      </c>
      <c r="M222" s="51" t="s">
        <v>622</v>
      </c>
      <c r="Z222" s="29">
        <f t="shared" si="230"/>
        <v>0</v>
      </c>
      <c r="AB222" s="29">
        <f t="shared" si="231"/>
        <v>0</v>
      </c>
      <c r="AC222" s="29">
        <f t="shared" si="232"/>
        <v>0</v>
      </c>
      <c r="AD222" s="29">
        <f t="shared" si="233"/>
        <v>0</v>
      </c>
      <c r="AE222" s="29">
        <f t="shared" si="234"/>
        <v>0</v>
      </c>
      <c r="AF222" s="29">
        <f t="shared" si="235"/>
        <v>0</v>
      </c>
      <c r="AG222" s="29">
        <f t="shared" si="236"/>
        <v>0</v>
      </c>
      <c r="AH222" s="29">
        <f t="shared" si="237"/>
        <v>0</v>
      </c>
      <c r="AI222" s="48" t="s">
        <v>60</v>
      </c>
      <c r="AJ222" s="55">
        <f t="shared" si="238"/>
        <v>0</v>
      </c>
      <c r="AK222" s="55">
        <f t="shared" si="239"/>
        <v>0</v>
      </c>
      <c r="AL222" s="55">
        <f t="shared" si="240"/>
        <v>0</v>
      </c>
      <c r="AN222" s="29">
        <v>15</v>
      </c>
      <c r="AO222" s="29">
        <f>G222*0.312307692307692</f>
        <v>0</v>
      </c>
      <c r="AP222" s="29">
        <f>G222*(1-0.312307692307692)</f>
        <v>0</v>
      </c>
      <c r="AQ222" s="51" t="s">
        <v>79</v>
      </c>
      <c r="AV222" s="29">
        <f t="shared" si="241"/>
        <v>0</v>
      </c>
      <c r="AW222" s="29">
        <f t="shared" si="242"/>
        <v>0</v>
      </c>
      <c r="AX222" s="29">
        <f t="shared" si="243"/>
        <v>0</v>
      </c>
      <c r="AY222" s="54" t="s">
        <v>634</v>
      </c>
      <c r="AZ222" s="54" t="s">
        <v>1535</v>
      </c>
      <c r="BA222" s="48" t="s">
        <v>1542</v>
      </c>
      <c r="BC222" s="29">
        <f t="shared" si="244"/>
        <v>0</v>
      </c>
      <c r="BD222" s="29">
        <f t="shared" si="245"/>
        <v>0</v>
      </c>
      <c r="BE222" s="29">
        <v>0</v>
      </c>
      <c r="BF222" s="29">
        <f t="shared" si="246"/>
        <v>0</v>
      </c>
      <c r="BH222" s="55">
        <f t="shared" si="247"/>
        <v>0</v>
      </c>
      <c r="BI222" s="55">
        <f t="shared" si="248"/>
        <v>0</v>
      </c>
      <c r="BJ222" s="55">
        <f t="shared" si="249"/>
        <v>0</v>
      </c>
    </row>
    <row r="223" spans="1:47" ht="12.75">
      <c r="A223" s="35"/>
      <c r="B223" s="42" t="s">
        <v>60</v>
      </c>
      <c r="C223" s="42" t="s">
        <v>141</v>
      </c>
      <c r="D223" s="42" t="s">
        <v>449</v>
      </c>
      <c r="E223" s="35" t="s">
        <v>57</v>
      </c>
      <c r="F223" s="35" t="s">
        <v>57</v>
      </c>
      <c r="G223" s="35" t="s">
        <v>57</v>
      </c>
      <c r="H223" s="59">
        <f>SUM(H224:H226)</f>
        <v>0</v>
      </c>
      <c r="I223" s="59">
        <f>SUM(I224:I226)</f>
        <v>0</v>
      </c>
      <c r="J223" s="59">
        <f>SUM(J224:J226)</f>
        <v>0</v>
      </c>
      <c r="K223" s="48"/>
      <c r="L223" s="59">
        <f>SUM(L224:L226)</f>
        <v>155.004822</v>
      </c>
      <c r="M223" s="48"/>
      <c r="AI223" s="48" t="s">
        <v>60</v>
      </c>
      <c r="AS223" s="59">
        <f>SUM(AJ224:AJ226)</f>
        <v>0</v>
      </c>
      <c r="AT223" s="59">
        <f>SUM(AK224:AK226)</f>
        <v>0</v>
      </c>
      <c r="AU223" s="59">
        <f>SUM(AL224:AL226)</f>
        <v>0</v>
      </c>
    </row>
    <row r="224" spans="1:62" ht="12.75">
      <c r="A224" s="36" t="s">
        <v>685</v>
      </c>
      <c r="B224" s="36" t="s">
        <v>60</v>
      </c>
      <c r="C224" s="36" t="s">
        <v>951</v>
      </c>
      <c r="D224" s="36" t="s">
        <v>1234</v>
      </c>
      <c r="E224" s="36" t="s">
        <v>608</v>
      </c>
      <c r="F224" s="55">
        <f>'Stavební rozpočet'!F226</f>
        <v>0</v>
      </c>
      <c r="G224" s="55">
        <f>'Stavební rozpočet'!G226</f>
        <v>0</v>
      </c>
      <c r="H224" s="55">
        <f>F224*AO224</f>
        <v>0</v>
      </c>
      <c r="I224" s="55">
        <f>F224*AP224</f>
        <v>0</v>
      </c>
      <c r="J224" s="55">
        <f>F224*G224</f>
        <v>0</v>
      </c>
      <c r="K224" s="55">
        <f>'Stavební rozpočet'!K226</f>
        <v>0.79547</v>
      </c>
      <c r="L224" s="55">
        <f>F224*K224</f>
        <v>0</v>
      </c>
      <c r="M224" s="51" t="s">
        <v>622</v>
      </c>
      <c r="Z224" s="29">
        <f>IF(AQ224="5",BJ224,0)</f>
        <v>0</v>
      </c>
      <c r="AB224" s="29">
        <f>IF(AQ224="1",BH224,0)</f>
        <v>0</v>
      </c>
      <c r="AC224" s="29">
        <f>IF(AQ224="1",BI224,0)</f>
        <v>0</v>
      </c>
      <c r="AD224" s="29">
        <f>IF(AQ224="7",BH224,0)</f>
        <v>0</v>
      </c>
      <c r="AE224" s="29">
        <f>IF(AQ224="7",BI224,0)</f>
        <v>0</v>
      </c>
      <c r="AF224" s="29">
        <f>IF(AQ224="2",BH224,0)</f>
        <v>0</v>
      </c>
      <c r="AG224" s="29">
        <f>IF(AQ224="2",BI224,0)</f>
        <v>0</v>
      </c>
      <c r="AH224" s="29">
        <f>IF(AQ224="0",BJ224,0)</f>
        <v>0</v>
      </c>
      <c r="AI224" s="48" t="s">
        <v>60</v>
      </c>
      <c r="AJ224" s="55">
        <f>IF(AN224=0,J224,0)</f>
        <v>0</v>
      </c>
      <c r="AK224" s="55">
        <f>IF(AN224=15,J224,0)</f>
        <v>0</v>
      </c>
      <c r="AL224" s="55">
        <f>IF(AN224=21,J224,0)</f>
        <v>0</v>
      </c>
      <c r="AN224" s="29">
        <v>15</v>
      </c>
      <c r="AO224" s="29">
        <f>G224*0.71</f>
        <v>0</v>
      </c>
      <c r="AP224" s="29">
        <f>G224*(1-0.71)</f>
        <v>0</v>
      </c>
      <c r="AQ224" s="51" t="s">
        <v>79</v>
      </c>
      <c r="AV224" s="29">
        <f>AW224+AX224</f>
        <v>0</v>
      </c>
      <c r="AW224" s="29">
        <f>F224*AO224</f>
        <v>0</v>
      </c>
      <c r="AX224" s="29">
        <f>F224*AP224</f>
        <v>0</v>
      </c>
      <c r="AY224" s="54" t="s">
        <v>635</v>
      </c>
      <c r="AZ224" s="54" t="s">
        <v>1535</v>
      </c>
      <c r="BA224" s="48" t="s">
        <v>1542</v>
      </c>
      <c r="BC224" s="29">
        <f>AW224+AX224</f>
        <v>0</v>
      </c>
      <c r="BD224" s="29">
        <f>G224/(100-BE224)*100</f>
        <v>0</v>
      </c>
      <c r="BE224" s="29">
        <v>0</v>
      </c>
      <c r="BF224" s="29">
        <f>L224</f>
        <v>0</v>
      </c>
      <c r="BH224" s="55">
        <f>F224*AO224</f>
        <v>0</v>
      </c>
      <c r="BI224" s="55">
        <f>F224*AP224</f>
        <v>0</v>
      </c>
      <c r="BJ224" s="55">
        <f>F224*G224</f>
        <v>0</v>
      </c>
    </row>
    <row r="225" spans="1:62" ht="12.75">
      <c r="A225" s="36" t="s">
        <v>686</v>
      </c>
      <c r="B225" s="36" t="s">
        <v>60</v>
      </c>
      <c r="C225" s="36" t="s">
        <v>262</v>
      </c>
      <c r="D225" s="36" t="s">
        <v>450</v>
      </c>
      <c r="E225" s="36" t="s">
        <v>608</v>
      </c>
      <c r="F225" s="55">
        <f>'Stavební rozpočet'!F227</f>
        <v>0</v>
      </c>
      <c r="G225" s="55">
        <f>'Stavební rozpočet'!G227</f>
        <v>0</v>
      </c>
      <c r="H225" s="55">
        <f>F225*AO225</f>
        <v>0</v>
      </c>
      <c r="I225" s="55">
        <f>F225*AP225</f>
        <v>0</v>
      </c>
      <c r="J225" s="55">
        <f>F225*G225</f>
        <v>0</v>
      </c>
      <c r="K225" s="55">
        <f>'Stavební rozpočet'!K227</f>
        <v>0.1614</v>
      </c>
      <c r="L225" s="55">
        <f>F225*K225</f>
        <v>0</v>
      </c>
      <c r="M225" s="51" t="s">
        <v>622</v>
      </c>
      <c r="Z225" s="29">
        <f>IF(AQ225="5",BJ225,0)</f>
        <v>0</v>
      </c>
      <c r="AB225" s="29">
        <f>IF(AQ225="1",BH225,0)</f>
        <v>0</v>
      </c>
      <c r="AC225" s="29">
        <f>IF(AQ225="1",BI225,0)</f>
        <v>0</v>
      </c>
      <c r="AD225" s="29">
        <f>IF(AQ225="7",BH225,0)</f>
        <v>0</v>
      </c>
      <c r="AE225" s="29">
        <f>IF(AQ225="7",BI225,0)</f>
        <v>0</v>
      </c>
      <c r="AF225" s="29">
        <f>IF(AQ225="2",BH225,0)</f>
        <v>0</v>
      </c>
      <c r="AG225" s="29">
        <f>IF(AQ225="2",BI225,0)</f>
        <v>0</v>
      </c>
      <c r="AH225" s="29">
        <f>IF(AQ225="0",BJ225,0)</f>
        <v>0</v>
      </c>
      <c r="AI225" s="48" t="s">
        <v>60</v>
      </c>
      <c r="AJ225" s="55">
        <f>IF(AN225=0,J225,0)</f>
        <v>0</v>
      </c>
      <c r="AK225" s="55">
        <f>IF(AN225=15,J225,0)</f>
        <v>0</v>
      </c>
      <c r="AL225" s="55">
        <f>IF(AN225=21,J225,0)</f>
        <v>0</v>
      </c>
      <c r="AN225" s="29">
        <v>15</v>
      </c>
      <c r="AO225" s="29">
        <f>G225*0.710773240660295</f>
        <v>0</v>
      </c>
      <c r="AP225" s="29">
        <f>G225*(1-0.710773240660295)</f>
        <v>0</v>
      </c>
      <c r="AQ225" s="51" t="s">
        <v>79</v>
      </c>
      <c r="AV225" s="29">
        <f>AW225+AX225</f>
        <v>0</v>
      </c>
      <c r="AW225" s="29">
        <f>F225*AO225</f>
        <v>0</v>
      </c>
      <c r="AX225" s="29">
        <f>F225*AP225</f>
        <v>0</v>
      </c>
      <c r="AY225" s="54" t="s">
        <v>635</v>
      </c>
      <c r="AZ225" s="54" t="s">
        <v>1535</v>
      </c>
      <c r="BA225" s="48" t="s">
        <v>1542</v>
      </c>
      <c r="BC225" s="29">
        <f>AW225+AX225</f>
        <v>0</v>
      </c>
      <c r="BD225" s="29">
        <f>G225/(100-BE225)*100</f>
        <v>0</v>
      </c>
      <c r="BE225" s="29">
        <v>0</v>
      </c>
      <c r="BF225" s="29">
        <f>L225</f>
        <v>0</v>
      </c>
      <c r="BH225" s="55">
        <f>F225*AO225</f>
        <v>0</v>
      </c>
      <c r="BI225" s="55">
        <f>F225*AP225</f>
        <v>0</v>
      </c>
      <c r="BJ225" s="55">
        <f>F225*G225</f>
        <v>0</v>
      </c>
    </row>
    <row r="226" spans="1:62" ht="12.75">
      <c r="A226" s="36" t="s">
        <v>687</v>
      </c>
      <c r="B226" s="36" t="s">
        <v>60</v>
      </c>
      <c r="C226" s="36" t="s">
        <v>263</v>
      </c>
      <c r="D226" s="36" t="s">
        <v>1236</v>
      </c>
      <c r="E226" s="36" t="s">
        <v>608</v>
      </c>
      <c r="F226" s="55">
        <f>'Stavební rozpočet'!F228</f>
        <v>190.26</v>
      </c>
      <c r="G226" s="55">
        <f>'Stavební rozpočet'!G228</f>
        <v>0</v>
      </c>
      <c r="H226" s="55">
        <f>F226*AO226</f>
        <v>0</v>
      </c>
      <c r="I226" s="55">
        <f>F226*AP226</f>
        <v>0</v>
      </c>
      <c r="J226" s="55">
        <f>F226*G226</f>
        <v>0</v>
      </c>
      <c r="K226" s="55">
        <f>'Stavební rozpočet'!K228</f>
        <v>0.8147</v>
      </c>
      <c r="L226" s="55">
        <f>F226*K226</f>
        <v>155.004822</v>
      </c>
      <c r="M226" s="51" t="s">
        <v>622</v>
      </c>
      <c r="Z226" s="29">
        <f>IF(AQ226="5",BJ226,0)</f>
        <v>0</v>
      </c>
      <c r="AB226" s="29">
        <f>IF(AQ226="1",BH226,0)</f>
        <v>0</v>
      </c>
      <c r="AC226" s="29">
        <f>IF(AQ226="1",BI226,0)</f>
        <v>0</v>
      </c>
      <c r="AD226" s="29">
        <f>IF(AQ226="7",BH226,0)</f>
        <v>0</v>
      </c>
      <c r="AE226" s="29">
        <f>IF(AQ226="7",BI226,0)</f>
        <v>0</v>
      </c>
      <c r="AF226" s="29">
        <f>IF(AQ226="2",BH226,0)</f>
        <v>0</v>
      </c>
      <c r="AG226" s="29">
        <f>IF(AQ226="2",BI226,0)</f>
        <v>0</v>
      </c>
      <c r="AH226" s="29">
        <f>IF(AQ226="0",BJ226,0)</f>
        <v>0</v>
      </c>
      <c r="AI226" s="48" t="s">
        <v>60</v>
      </c>
      <c r="AJ226" s="55">
        <f>IF(AN226=0,J226,0)</f>
        <v>0</v>
      </c>
      <c r="AK226" s="55">
        <f>IF(AN226=15,J226,0)</f>
        <v>0</v>
      </c>
      <c r="AL226" s="55">
        <f>IF(AN226=21,J226,0)</f>
        <v>0</v>
      </c>
      <c r="AN226" s="29">
        <v>15</v>
      </c>
      <c r="AO226" s="29">
        <f>G226*0.710766703176342</f>
        <v>0</v>
      </c>
      <c r="AP226" s="29">
        <f>G226*(1-0.710766703176342)</f>
        <v>0</v>
      </c>
      <c r="AQ226" s="51" t="s">
        <v>79</v>
      </c>
      <c r="AV226" s="29">
        <f>AW226+AX226</f>
        <v>0</v>
      </c>
      <c r="AW226" s="29">
        <f>F226*AO226</f>
        <v>0</v>
      </c>
      <c r="AX226" s="29">
        <f>F226*AP226</f>
        <v>0</v>
      </c>
      <c r="AY226" s="54" t="s">
        <v>635</v>
      </c>
      <c r="AZ226" s="54" t="s">
        <v>1535</v>
      </c>
      <c r="BA226" s="48" t="s">
        <v>1542</v>
      </c>
      <c r="BC226" s="29">
        <f>AW226+AX226</f>
        <v>0</v>
      </c>
      <c r="BD226" s="29">
        <f>G226/(100-BE226)*100</f>
        <v>0</v>
      </c>
      <c r="BE226" s="29">
        <v>0</v>
      </c>
      <c r="BF226" s="29">
        <f>L226</f>
        <v>155.004822</v>
      </c>
      <c r="BH226" s="55">
        <f>F226*AO226</f>
        <v>0</v>
      </c>
      <c r="BI226" s="55">
        <f>F226*AP226</f>
        <v>0</v>
      </c>
      <c r="BJ226" s="55">
        <f>F226*G226</f>
        <v>0</v>
      </c>
    </row>
    <row r="227" spans="1:47" ht="12.75">
      <c r="A227" s="35"/>
      <c r="B227" s="42" t="s">
        <v>60</v>
      </c>
      <c r="C227" s="42" t="s">
        <v>142</v>
      </c>
      <c r="D227" s="42" t="s">
        <v>1237</v>
      </c>
      <c r="E227" s="35" t="s">
        <v>57</v>
      </c>
      <c r="F227" s="35" t="s">
        <v>57</v>
      </c>
      <c r="G227" s="35" t="s">
        <v>57</v>
      </c>
      <c r="H227" s="59">
        <f>SUM(H228:H228)</f>
        <v>0</v>
      </c>
      <c r="I227" s="59">
        <f>SUM(I228:I228)</f>
        <v>0</v>
      </c>
      <c r="J227" s="59">
        <f>SUM(J228:J228)</f>
        <v>0</v>
      </c>
      <c r="K227" s="48"/>
      <c r="L227" s="59">
        <f>SUM(L228:L228)</f>
        <v>0.104139</v>
      </c>
      <c r="M227" s="48"/>
      <c r="AI227" s="48" t="s">
        <v>60</v>
      </c>
      <c r="AS227" s="59">
        <f>SUM(AJ228:AJ228)</f>
        <v>0</v>
      </c>
      <c r="AT227" s="59">
        <f>SUM(AK228:AK228)</f>
        <v>0</v>
      </c>
      <c r="AU227" s="59">
        <f>SUM(AL228:AL228)</f>
        <v>0</v>
      </c>
    </row>
    <row r="228" spans="1:62" ht="12.75">
      <c r="A228" s="36" t="s">
        <v>688</v>
      </c>
      <c r="B228" s="36" t="s">
        <v>60</v>
      </c>
      <c r="C228" s="36" t="s">
        <v>952</v>
      </c>
      <c r="D228" s="36" t="s">
        <v>1238</v>
      </c>
      <c r="E228" s="36" t="s">
        <v>609</v>
      </c>
      <c r="F228" s="55">
        <f>'Stavební rozpočet'!F230</f>
        <v>18.9</v>
      </c>
      <c r="G228" s="55">
        <f>'Stavební rozpočet'!G230</f>
        <v>0</v>
      </c>
      <c r="H228" s="55">
        <f>F228*AO228</f>
        <v>0</v>
      </c>
      <c r="I228" s="55">
        <f>F228*AP228</f>
        <v>0</v>
      </c>
      <c r="J228" s="55">
        <f>F228*G228</f>
        <v>0</v>
      </c>
      <c r="K228" s="55">
        <f>'Stavební rozpočet'!K230</f>
        <v>0.00551</v>
      </c>
      <c r="L228" s="55">
        <f>F228*K228</f>
        <v>0.104139</v>
      </c>
      <c r="M228" s="51" t="s">
        <v>622</v>
      </c>
      <c r="Z228" s="29">
        <f>IF(AQ228="5",BJ228,0)</f>
        <v>0</v>
      </c>
      <c r="AB228" s="29">
        <f>IF(AQ228="1",BH228,0)</f>
        <v>0</v>
      </c>
      <c r="AC228" s="29">
        <f>IF(AQ228="1",BI228,0)</f>
        <v>0</v>
      </c>
      <c r="AD228" s="29">
        <f>IF(AQ228="7",BH228,0)</f>
        <v>0</v>
      </c>
      <c r="AE228" s="29">
        <f>IF(AQ228="7",BI228,0)</f>
        <v>0</v>
      </c>
      <c r="AF228" s="29">
        <f>IF(AQ228="2",BH228,0)</f>
        <v>0</v>
      </c>
      <c r="AG228" s="29">
        <f>IF(AQ228="2",BI228,0)</f>
        <v>0</v>
      </c>
      <c r="AH228" s="29">
        <f>IF(AQ228="0",BJ228,0)</f>
        <v>0</v>
      </c>
      <c r="AI228" s="48" t="s">
        <v>60</v>
      </c>
      <c r="AJ228" s="55">
        <f>IF(AN228=0,J228,0)</f>
        <v>0</v>
      </c>
      <c r="AK228" s="55">
        <f>IF(AN228=15,J228,0)</f>
        <v>0</v>
      </c>
      <c r="AL228" s="55">
        <f>IF(AN228=21,J228,0)</f>
        <v>0</v>
      </c>
      <c r="AN228" s="29">
        <v>15</v>
      </c>
      <c r="AO228" s="29">
        <f>G228*0.545496894409938</f>
        <v>0</v>
      </c>
      <c r="AP228" s="29">
        <f>G228*(1-0.545496894409938)</f>
        <v>0</v>
      </c>
      <c r="AQ228" s="51" t="s">
        <v>79</v>
      </c>
      <c r="AV228" s="29">
        <f>AW228+AX228</f>
        <v>0</v>
      </c>
      <c r="AW228" s="29">
        <f>F228*AO228</f>
        <v>0</v>
      </c>
      <c r="AX228" s="29">
        <f>F228*AP228</f>
        <v>0</v>
      </c>
      <c r="AY228" s="54" t="s">
        <v>1529</v>
      </c>
      <c r="AZ228" s="54" t="s">
        <v>1535</v>
      </c>
      <c r="BA228" s="48" t="s">
        <v>1542</v>
      </c>
      <c r="BC228" s="29">
        <f>AW228+AX228</f>
        <v>0</v>
      </c>
      <c r="BD228" s="29">
        <f>G228/(100-BE228)*100</f>
        <v>0</v>
      </c>
      <c r="BE228" s="29">
        <v>0</v>
      </c>
      <c r="BF228" s="29">
        <f>L228</f>
        <v>0.104139</v>
      </c>
      <c r="BH228" s="55">
        <f>F228*AO228</f>
        <v>0</v>
      </c>
      <c r="BI228" s="55">
        <f>F228*AP228</f>
        <v>0</v>
      </c>
      <c r="BJ228" s="55">
        <f>F228*G228</f>
        <v>0</v>
      </c>
    </row>
    <row r="229" spans="1:47" ht="12.75">
      <c r="A229" s="35"/>
      <c r="B229" s="42" t="s">
        <v>60</v>
      </c>
      <c r="C229" s="42" t="s">
        <v>172</v>
      </c>
      <c r="D229" s="42" t="s">
        <v>453</v>
      </c>
      <c r="E229" s="35" t="s">
        <v>57</v>
      </c>
      <c r="F229" s="35" t="s">
        <v>57</v>
      </c>
      <c r="G229" s="35" t="s">
        <v>57</v>
      </c>
      <c r="H229" s="59">
        <f>SUM(H230:H233)</f>
        <v>0</v>
      </c>
      <c r="I229" s="59">
        <f>SUM(I230:I233)</f>
        <v>0</v>
      </c>
      <c r="J229" s="59">
        <f>SUM(J230:J233)</f>
        <v>0</v>
      </c>
      <c r="K229" s="48"/>
      <c r="L229" s="59">
        <f>SUM(L230:L233)</f>
        <v>4.5068752</v>
      </c>
      <c r="M229" s="48"/>
      <c r="AI229" s="48" t="s">
        <v>60</v>
      </c>
      <c r="AS229" s="59">
        <f>SUM(AJ230:AJ233)</f>
        <v>0</v>
      </c>
      <c r="AT229" s="59">
        <f>SUM(AK230:AK233)</f>
        <v>0</v>
      </c>
      <c r="AU229" s="59">
        <f>SUM(AL230:AL233)</f>
        <v>0</v>
      </c>
    </row>
    <row r="230" spans="1:62" ht="12.75">
      <c r="A230" s="36" t="s">
        <v>689</v>
      </c>
      <c r="B230" s="36" t="s">
        <v>60</v>
      </c>
      <c r="C230" s="36" t="s">
        <v>264</v>
      </c>
      <c r="D230" s="36" t="s">
        <v>454</v>
      </c>
      <c r="E230" s="36" t="s">
        <v>608</v>
      </c>
      <c r="F230" s="55">
        <f>'Stavební rozpočet'!F232</f>
        <v>185</v>
      </c>
      <c r="G230" s="55">
        <f>'Stavební rozpočet'!G232</f>
        <v>0</v>
      </c>
      <c r="H230" s="55">
        <f>F230*AO230</f>
        <v>0</v>
      </c>
      <c r="I230" s="55">
        <f>F230*AP230</f>
        <v>0</v>
      </c>
      <c r="J230" s="55">
        <f>F230*G230</f>
        <v>0</v>
      </c>
      <c r="K230" s="55">
        <f>'Stavební rozpočet'!K232</f>
        <v>0.00158</v>
      </c>
      <c r="L230" s="55">
        <f>F230*K230</f>
        <v>0.2923</v>
      </c>
      <c r="M230" s="51" t="s">
        <v>622</v>
      </c>
      <c r="Z230" s="29">
        <f>IF(AQ230="5",BJ230,0)</f>
        <v>0</v>
      </c>
      <c r="AB230" s="29">
        <f>IF(AQ230="1",BH230,0)</f>
        <v>0</v>
      </c>
      <c r="AC230" s="29">
        <f>IF(AQ230="1",BI230,0)</f>
        <v>0</v>
      </c>
      <c r="AD230" s="29">
        <f>IF(AQ230="7",BH230,0)</f>
        <v>0</v>
      </c>
      <c r="AE230" s="29">
        <f>IF(AQ230="7",BI230,0)</f>
        <v>0</v>
      </c>
      <c r="AF230" s="29">
        <f>IF(AQ230="2",BH230,0)</f>
        <v>0</v>
      </c>
      <c r="AG230" s="29">
        <f>IF(AQ230="2",BI230,0)</f>
        <v>0</v>
      </c>
      <c r="AH230" s="29">
        <f>IF(AQ230="0",BJ230,0)</f>
        <v>0</v>
      </c>
      <c r="AI230" s="48" t="s">
        <v>60</v>
      </c>
      <c r="AJ230" s="55">
        <f>IF(AN230=0,J230,0)</f>
        <v>0</v>
      </c>
      <c r="AK230" s="55">
        <f>IF(AN230=15,J230,0)</f>
        <v>0</v>
      </c>
      <c r="AL230" s="55">
        <f>IF(AN230=21,J230,0)</f>
        <v>0</v>
      </c>
      <c r="AN230" s="29">
        <v>15</v>
      </c>
      <c r="AO230" s="29">
        <f>G230*0.4197621900636</f>
        <v>0</v>
      </c>
      <c r="AP230" s="29">
        <f>G230*(1-0.4197621900636)</f>
        <v>0</v>
      </c>
      <c r="AQ230" s="51" t="s">
        <v>79</v>
      </c>
      <c r="AV230" s="29">
        <f>AW230+AX230</f>
        <v>0</v>
      </c>
      <c r="AW230" s="29">
        <f>F230*AO230</f>
        <v>0</v>
      </c>
      <c r="AX230" s="29">
        <f>F230*AP230</f>
        <v>0</v>
      </c>
      <c r="AY230" s="54" t="s">
        <v>636</v>
      </c>
      <c r="AZ230" s="54" t="s">
        <v>1536</v>
      </c>
      <c r="BA230" s="48" t="s">
        <v>1542</v>
      </c>
      <c r="BC230" s="29">
        <f>AW230+AX230</f>
        <v>0</v>
      </c>
      <c r="BD230" s="29">
        <f>G230/(100-BE230)*100</f>
        <v>0</v>
      </c>
      <c r="BE230" s="29">
        <v>0</v>
      </c>
      <c r="BF230" s="29">
        <f>L230</f>
        <v>0.2923</v>
      </c>
      <c r="BH230" s="55">
        <f>F230*AO230</f>
        <v>0</v>
      </c>
      <c r="BI230" s="55">
        <f>F230*AP230</f>
        <v>0</v>
      </c>
      <c r="BJ230" s="55">
        <f>F230*G230</f>
        <v>0</v>
      </c>
    </row>
    <row r="231" spans="1:62" ht="12.75">
      <c r="A231" s="36" t="s">
        <v>690</v>
      </c>
      <c r="B231" s="36" t="s">
        <v>60</v>
      </c>
      <c r="C231" s="36" t="s">
        <v>265</v>
      </c>
      <c r="D231" s="36" t="s">
        <v>455</v>
      </c>
      <c r="E231" s="36" t="s">
        <v>610</v>
      </c>
      <c r="F231" s="55">
        <f>'Stavební rozpočet'!F233</f>
        <v>555.28</v>
      </c>
      <c r="G231" s="55">
        <f>'Stavební rozpočet'!G233</f>
        <v>0</v>
      </c>
      <c r="H231" s="55">
        <f>F231*AO231</f>
        <v>0</v>
      </c>
      <c r="I231" s="55">
        <f>F231*AP231</f>
        <v>0</v>
      </c>
      <c r="J231" s="55">
        <f>F231*G231</f>
        <v>0</v>
      </c>
      <c r="K231" s="55">
        <f>'Stavební rozpočet'!K233</f>
        <v>0.00735</v>
      </c>
      <c r="L231" s="55">
        <f>F231*K231</f>
        <v>4.081308</v>
      </c>
      <c r="M231" s="51" t="s">
        <v>622</v>
      </c>
      <c r="Z231" s="29">
        <f>IF(AQ231="5",BJ231,0)</f>
        <v>0</v>
      </c>
      <c r="AB231" s="29">
        <f>IF(AQ231="1",BH231,0)</f>
        <v>0</v>
      </c>
      <c r="AC231" s="29">
        <f>IF(AQ231="1",BI231,0)</f>
        <v>0</v>
      </c>
      <c r="AD231" s="29">
        <f>IF(AQ231="7",BH231,0)</f>
        <v>0</v>
      </c>
      <c r="AE231" s="29">
        <f>IF(AQ231="7",BI231,0)</f>
        <v>0</v>
      </c>
      <c r="AF231" s="29">
        <f>IF(AQ231="2",BH231,0)</f>
        <v>0</v>
      </c>
      <c r="AG231" s="29">
        <f>IF(AQ231="2",BI231,0)</f>
        <v>0</v>
      </c>
      <c r="AH231" s="29">
        <f>IF(AQ231="0",BJ231,0)</f>
        <v>0</v>
      </c>
      <c r="AI231" s="48" t="s">
        <v>60</v>
      </c>
      <c r="AJ231" s="55">
        <f>IF(AN231=0,J231,0)</f>
        <v>0</v>
      </c>
      <c r="AK231" s="55">
        <f>IF(AN231=15,J231,0)</f>
        <v>0</v>
      </c>
      <c r="AL231" s="55">
        <f>IF(AN231=21,J231,0)</f>
        <v>0</v>
      </c>
      <c r="AN231" s="29">
        <v>15</v>
      </c>
      <c r="AO231" s="29">
        <f>G231*0.00169491458639457</f>
        <v>0</v>
      </c>
      <c r="AP231" s="29">
        <f>G231*(1-0.00169491458639457)</f>
        <v>0</v>
      </c>
      <c r="AQ231" s="51" t="s">
        <v>79</v>
      </c>
      <c r="AV231" s="29">
        <f>AW231+AX231</f>
        <v>0</v>
      </c>
      <c r="AW231" s="29">
        <f>F231*AO231</f>
        <v>0</v>
      </c>
      <c r="AX231" s="29">
        <f>F231*AP231</f>
        <v>0</v>
      </c>
      <c r="AY231" s="54" t="s">
        <v>636</v>
      </c>
      <c r="AZ231" s="54" t="s">
        <v>1536</v>
      </c>
      <c r="BA231" s="48" t="s">
        <v>1542</v>
      </c>
      <c r="BC231" s="29">
        <f>AW231+AX231</f>
        <v>0</v>
      </c>
      <c r="BD231" s="29">
        <f>G231/(100-BE231)*100</f>
        <v>0</v>
      </c>
      <c r="BE231" s="29">
        <v>0</v>
      </c>
      <c r="BF231" s="29">
        <f>L231</f>
        <v>4.081308</v>
      </c>
      <c r="BH231" s="55">
        <f>F231*AO231</f>
        <v>0</v>
      </c>
      <c r="BI231" s="55">
        <f>F231*AP231</f>
        <v>0</v>
      </c>
      <c r="BJ231" s="55">
        <f>F231*G231</f>
        <v>0</v>
      </c>
    </row>
    <row r="232" spans="1:62" ht="12.75">
      <c r="A232" s="36" t="s">
        <v>691</v>
      </c>
      <c r="B232" s="36" t="s">
        <v>60</v>
      </c>
      <c r="C232" s="36" t="s">
        <v>266</v>
      </c>
      <c r="D232" s="36" t="s">
        <v>456</v>
      </c>
      <c r="E232" s="36" t="s">
        <v>610</v>
      </c>
      <c r="F232" s="55">
        <f>'Stavební rozpočet'!F234</f>
        <v>1110.56</v>
      </c>
      <c r="G232" s="55">
        <f>'Stavební rozpočet'!G234</f>
        <v>0</v>
      </c>
      <c r="H232" s="55">
        <f>F232*AO232</f>
        <v>0</v>
      </c>
      <c r="I232" s="55">
        <f>F232*AP232</f>
        <v>0</v>
      </c>
      <c r="J232" s="55">
        <f>F232*G232</f>
        <v>0</v>
      </c>
      <c r="K232" s="55">
        <f>'Stavební rozpočet'!K234</f>
        <v>0.00012</v>
      </c>
      <c r="L232" s="55">
        <f>F232*K232</f>
        <v>0.1332672</v>
      </c>
      <c r="M232" s="51" t="s">
        <v>622</v>
      </c>
      <c r="Z232" s="29">
        <f>IF(AQ232="5",BJ232,0)</f>
        <v>0</v>
      </c>
      <c r="AB232" s="29">
        <f>IF(AQ232="1",BH232,0)</f>
        <v>0</v>
      </c>
      <c r="AC232" s="29">
        <f>IF(AQ232="1",BI232,0)</f>
        <v>0</v>
      </c>
      <c r="AD232" s="29">
        <f>IF(AQ232="7",BH232,0)</f>
        <v>0</v>
      </c>
      <c r="AE232" s="29">
        <f>IF(AQ232="7",BI232,0)</f>
        <v>0</v>
      </c>
      <c r="AF232" s="29">
        <f>IF(AQ232="2",BH232,0)</f>
        <v>0</v>
      </c>
      <c r="AG232" s="29">
        <f>IF(AQ232="2",BI232,0)</f>
        <v>0</v>
      </c>
      <c r="AH232" s="29">
        <f>IF(AQ232="0",BJ232,0)</f>
        <v>0</v>
      </c>
      <c r="AI232" s="48" t="s">
        <v>60</v>
      </c>
      <c r="AJ232" s="55">
        <f>IF(AN232=0,J232,0)</f>
        <v>0</v>
      </c>
      <c r="AK232" s="55">
        <f>IF(AN232=15,J232,0)</f>
        <v>0</v>
      </c>
      <c r="AL232" s="55">
        <f>IF(AN232=21,J232,0)</f>
        <v>0</v>
      </c>
      <c r="AN232" s="29">
        <v>15</v>
      </c>
      <c r="AO232" s="29">
        <f>G232*0.929787387342826</f>
        <v>0</v>
      </c>
      <c r="AP232" s="29">
        <f>G232*(1-0.929787387342826)</f>
        <v>0</v>
      </c>
      <c r="AQ232" s="51" t="s">
        <v>79</v>
      </c>
      <c r="AV232" s="29">
        <f>AW232+AX232</f>
        <v>0</v>
      </c>
      <c r="AW232" s="29">
        <f>F232*AO232</f>
        <v>0</v>
      </c>
      <c r="AX232" s="29">
        <f>F232*AP232</f>
        <v>0</v>
      </c>
      <c r="AY232" s="54" t="s">
        <v>636</v>
      </c>
      <c r="AZ232" s="54" t="s">
        <v>1536</v>
      </c>
      <c r="BA232" s="48" t="s">
        <v>1542</v>
      </c>
      <c r="BC232" s="29">
        <f>AW232+AX232</f>
        <v>0</v>
      </c>
      <c r="BD232" s="29">
        <f>G232/(100-BE232)*100</f>
        <v>0</v>
      </c>
      <c r="BE232" s="29">
        <v>0</v>
      </c>
      <c r="BF232" s="29">
        <f>L232</f>
        <v>0.1332672</v>
      </c>
      <c r="BH232" s="55">
        <f>F232*AO232</f>
        <v>0</v>
      </c>
      <c r="BI232" s="55">
        <f>F232*AP232</f>
        <v>0</v>
      </c>
      <c r="BJ232" s="55">
        <f>F232*G232</f>
        <v>0</v>
      </c>
    </row>
    <row r="233" spans="1:62" ht="12.75">
      <c r="A233" s="36" t="s">
        <v>692</v>
      </c>
      <c r="B233" s="36" t="s">
        <v>60</v>
      </c>
      <c r="C233" s="36" t="s">
        <v>267</v>
      </c>
      <c r="D233" s="36" t="s">
        <v>457</v>
      </c>
      <c r="E233" s="36" t="s">
        <v>610</v>
      </c>
      <c r="F233" s="55">
        <f>'Stavební rozpočet'!F235</f>
        <v>555.28</v>
      </c>
      <c r="G233" s="55">
        <f>'Stavební rozpočet'!G235</f>
        <v>0</v>
      </c>
      <c r="H233" s="55">
        <f>F233*AO233</f>
        <v>0</v>
      </c>
      <c r="I233" s="55">
        <f>F233*AP233</f>
        <v>0</v>
      </c>
      <c r="J233" s="55">
        <f>F233*G233</f>
        <v>0</v>
      </c>
      <c r="K233" s="55">
        <f>'Stavební rozpočet'!K235</f>
        <v>0</v>
      </c>
      <c r="L233" s="55">
        <f>F233*K233</f>
        <v>0</v>
      </c>
      <c r="M233" s="51" t="s">
        <v>622</v>
      </c>
      <c r="Z233" s="29">
        <f>IF(AQ233="5",BJ233,0)</f>
        <v>0</v>
      </c>
      <c r="AB233" s="29">
        <f>IF(AQ233="1",BH233,0)</f>
        <v>0</v>
      </c>
      <c r="AC233" s="29">
        <f>IF(AQ233="1",BI233,0)</f>
        <v>0</v>
      </c>
      <c r="AD233" s="29">
        <f>IF(AQ233="7",BH233,0)</f>
        <v>0</v>
      </c>
      <c r="AE233" s="29">
        <f>IF(AQ233="7",BI233,0)</f>
        <v>0</v>
      </c>
      <c r="AF233" s="29">
        <f>IF(AQ233="2",BH233,0)</f>
        <v>0</v>
      </c>
      <c r="AG233" s="29">
        <f>IF(AQ233="2",BI233,0)</f>
        <v>0</v>
      </c>
      <c r="AH233" s="29">
        <f>IF(AQ233="0",BJ233,0)</f>
        <v>0</v>
      </c>
      <c r="AI233" s="48" t="s">
        <v>60</v>
      </c>
      <c r="AJ233" s="55">
        <f>IF(AN233=0,J233,0)</f>
        <v>0</v>
      </c>
      <c r="AK233" s="55">
        <f>IF(AN233=15,J233,0)</f>
        <v>0</v>
      </c>
      <c r="AL233" s="55">
        <f>IF(AN233=21,J233,0)</f>
        <v>0</v>
      </c>
      <c r="AN233" s="29">
        <v>15</v>
      </c>
      <c r="AO233" s="29">
        <f>G233*0</f>
        <v>0</v>
      </c>
      <c r="AP233" s="29">
        <f>G233*(1-0)</f>
        <v>0</v>
      </c>
      <c r="AQ233" s="51" t="s">
        <v>79</v>
      </c>
      <c r="AV233" s="29">
        <f>AW233+AX233</f>
        <v>0</v>
      </c>
      <c r="AW233" s="29">
        <f>F233*AO233</f>
        <v>0</v>
      </c>
      <c r="AX233" s="29">
        <f>F233*AP233</f>
        <v>0</v>
      </c>
      <c r="AY233" s="54" t="s">
        <v>636</v>
      </c>
      <c r="AZ233" s="54" t="s">
        <v>1536</v>
      </c>
      <c r="BA233" s="48" t="s">
        <v>1542</v>
      </c>
      <c r="BC233" s="29">
        <f>AW233+AX233</f>
        <v>0</v>
      </c>
      <c r="BD233" s="29">
        <f>G233/(100-BE233)*100</f>
        <v>0</v>
      </c>
      <c r="BE233" s="29">
        <v>0</v>
      </c>
      <c r="BF233" s="29">
        <f>L233</f>
        <v>0</v>
      </c>
      <c r="BH233" s="55">
        <f>F233*AO233</f>
        <v>0</v>
      </c>
      <c r="BI233" s="55">
        <f>F233*AP233</f>
        <v>0</v>
      </c>
      <c r="BJ233" s="55">
        <f>F233*G233</f>
        <v>0</v>
      </c>
    </row>
    <row r="234" spans="1:47" ht="12.75">
      <c r="A234" s="35"/>
      <c r="B234" s="42" t="s">
        <v>60</v>
      </c>
      <c r="C234" s="42" t="s">
        <v>173</v>
      </c>
      <c r="D234" s="42" t="s">
        <v>458</v>
      </c>
      <c r="E234" s="35" t="s">
        <v>57</v>
      </c>
      <c r="F234" s="35" t="s">
        <v>57</v>
      </c>
      <c r="G234" s="35" t="s">
        <v>57</v>
      </c>
      <c r="H234" s="59">
        <f>SUM(H235:H238)</f>
        <v>0</v>
      </c>
      <c r="I234" s="59">
        <f>SUM(I235:I238)</f>
        <v>0</v>
      </c>
      <c r="J234" s="59">
        <f>SUM(J235:J238)</f>
        <v>0</v>
      </c>
      <c r="K234" s="48"/>
      <c r="L234" s="59">
        <f>SUM(L235:L238)</f>
        <v>0.0281104</v>
      </c>
      <c r="M234" s="48"/>
      <c r="AI234" s="48" t="s">
        <v>60</v>
      </c>
      <c r="AS234" s="59">
        <f>SUM(AJ235:AJ238)</f>
        <v>0</v>
      </c>
      <c r="AT234" s="59">
        <f>SUM(AK235:AK238)</f>
        <v>0</v>
      </c>
      <c r="AU234" s="59">
        <f>SUM(AL235:AL238)</f>
        <v>0</v>
      </c>
    </row>
    <row r="235" spans="1:62" ht="12.75">
      <c r="A235" s="36" t="s">
        <v>693</v>
      </c>
      <c r="B235" s="36" t="s">
        <v>60</v>
      </c>
      <c r="C235" s="36" t="s">
        <v>268</v>
      </c>
      <c r="D235" s="36" t="s">
        <v>459</v>
      </c>
      <c r="E235" s="36" t="s">
        <v>608</v>
      </c>
      <c r="F235" s="55">
        <f>'Stavební rozpočet'!F237</f>
        <v>190.26</v>
      </c>
      <c r="G235" s="55">
        <f>'Stavební rozpočet'!G237</f>
        <v>0</v>
      </c>
      <c r="H235" s="55">
        <f>F235*AO235</f>
        <v>0</v>
      </c>
      <c r="I235" s="55">
        <f>F235*AP235</f>
        <v>0</v>
      </c>
      <c r="J235" s="55">
        <f>F235*G235</f>
        <v>0</v>
      </c>
      <c r="K235" s="55">
        <f>'Stavební rozpočet'!K237</f>
        <v>4E-05</v>
      </c>
      <c r="L235" s="55">
        <f>F235*K235</f>
        <v>0.007610400000000001</v>
      </c>
      <c r="M235" s="51" t="s">
        <v>622</v>
      </c>
      <c r="Z235" s="29">
        <f>IF(AQ235="5",BJ235,0)</f>
        <v>0</v>
      </c>
      <c r="AB235" s="29">
        <f>IF(AQ235="1",BH235,0)</f>
        <v>0</v>
      </c>
      <c r="AC235" s="29">
        <f>IF(AQ235="1",BI235,0)</f>
        <v>0</v>
      </c>
      <c r="AD235" s="29">
        <f>IF(AQ235="7",BH235,0)</f>
        <v>0</v>
      </c>
      <c r="AE235" s="29">
        <f>IF(AQ235="7",BI235,0)</f>
        <v>0</v>
      </c>
      <c r="AF235" s="29">
        <f>IF(AQ235="2",BH235,0)</f>
        <v>0</v>
      </c>
      <c r="AG235" s="29">
        <f>IF(AQ235="2",BI235,0)</f>
        <v>0</v>
      </c>
      <c r="AH235" s="29">
        <f>IF(AQ235="0",BJ235,0)</f>
        <v>0</v>
      </c>
      <c r="AI235" s="48" t="s">
        <v>60</v>
      </c>
      <c r="AJ235" s="55">
        <f>IF(AN235=0,J235,0)</f>
        <v>0</v>
      </c>
      <c r="AK235" s="55">
        <f>IF(AN235=15,J235,0)</f>
        <v>0</v>
      </c>
      <c r="AL235" s="55">
        <f>IF(AN235=21,J235,0)</f>
        <v>0</v>
      </c>
      <c r="AN235" s="29">
        <v>15</v>
      </c>
      <c r="AO235" s="29">
        <f>G235*0.0165317919075144</f>
        <v>0</v>
      </c>
      <c r="AP235" s="29">
        <f>G235*(1-0.0165317919075144)</f>
        <v>0</v>
      </c>
      <c r="AQ235" s="51" t="s">
        <v>79</v>
      </c>
      <c r="AV235" s="29">
        <f>AW235+AX235</f>
        <v>0</v>
      </c>
      <c r="AW235" s="29">
        <f>F235*AO235</f>
        <v>0</v>
      </c>
      <c r="AX235" s="29">
        <f>F235*AP235</f>
        <v>0</v>
      </c>
      <c r="AY235" s="54" t="s">
        <v>637</v>
      </c>
      <c r="AZ235" s="54" t="s">
        <v>1536</v>
      </c>
      <c r="BA235" s="48" t="s">
        <v>1542</v>
      </c>
      <c r="BC235" s="29">
        <f>AW235+AX235</f>
        <v>0</v>
      </c>
      <c r="BD235" s="29">
        <f>G235/(100-BE235)*100</f>
        <v>0</v>
      </c>
      <c r="BE235" s="29">
        <v>0</v>
      </c>
      <c r="BF235" s="29">
        <f>L235</f>
        <v>0.007610400000000001</v>
      </c>
      <c r="BH235" s="55">
        <f>F235*AO235</f>
        <v>0</v>
      </c>
      <c r="BI235" s="55">
        <f>F235*AP235</f>
        <v>0</v>
      </c>
      <c r="BJ235" s="55">
        <f>F235*G235</f>
        <v>0</v>
      </c>
    </row>
    <row r="236" spans="1:62" ht="12.75">
      <c r="A236" s="36" t="s">
        <v>694</v>
      </c>
      <c r="B236" s="36" t="s">
        <v>60</v>
      </c>
      <c r="C236" s="36" t="s">
        <v>269</v>
      </c>
      <c r="D236" s="36" t="s">
        <v>460</v>
      </c>
      <c r="E236" s="36" t="s">
        <v>606</v>
      </c>
      <c r="F236" s="55">
        <f>'Stavební rozpočet'!F238</f>
        <v>2</v>
      </c>
      <c r="G236" s="55">
        <f>'Stavební rozpočet'!G238</f>
        <v>0</v>
      </c>
      <c r="H236" s="55">
        <f>F236*AO236</f>
        <v>0</v>
      </c>
      <c r="I236" s="55">
        <f>F236*AP236</f>
        <v>0</v>
      </c>
      <c r="J236" s="55">
        <f>F236*G236</f>
        <v>0</v>
      </c>
      <c r="K236" s="55">
        <f>'Stavební rozpočet'!K238</f>
        <v>0.0065</v>
      </c>
      <c r="L236" s="55">
        <f>F236*K236</f>
        <v>0.013</v>
      </c>
      <c r="M236" s="51" t="s">
        <v>622</v>
      </c>
      <c r="Z236" s="29">
        <f>IF(AQ236="5",BJ236,0)</f>
        <v>0</v>
      </c>
      <c r="AB236" s="29">
        <f>IF(AQ236="1",BH236,0)</f>
        <v>0</v>
      </c>
      <c r="AC236" s="29">
        <f>IF(AQ236="1",BI236,0)</f>
        <v>0</v>
      </c>
      <c r="AD236" s="29">
        <f>IF(AQ236="7",BH236,0)</f>
        <v>0</v>
      </c>
      <c r="AE236" s="29">
        <f>IF(AQ236="7",BI236,0)</f>
        <v>0</v>
      </c>
      <c r="AF236" s="29">
        <f>IF(AQ236="2",BH236,0)</f>
        <v>0</v>
      </c>
      <c r="AG236" s="29">
        <f>IF(AQ236="2",BI236,0)</f>
        <v>0</v>
      </c>
      <c r="AH236" s="29">
        <f>IF(AQ236="0",BJ236,0)</f>
        <v>0</v>
      </c>
      <c r="AI236" s="48" t="s">
        <v>60</v>
      </c>
      <c r="AJ236" s="55">
        <f>IF(AN236=0,J236,0)</f>
        <v>0</v>
      </c>
      <c r="AK236" s="55">
        <f>IF(AN236=15,J236,0)</f>
        <v>0</v>
      </c>
      <c r="AL236" s="55">
        <f>IF(AN236=21,J236,0)</f>
        <v>0</v>
      </c>
      <c r="AN236" s="29">
        <v>15</v>
      </c>
      <c r="AO236" s="29">
        <f>G236*0.196715846994536</f>
        <v>0</v>
      </c>
      <c r="AP236" s="29">
        <f>G236*(1-0.196715846994536)</f>
        <v>0</v>
      </c>
      <c r="AQ236" s="51" t="s">
        <v>79</v>
      </c>
      <c r="AV236" s="29">
        <f>AW236+AX236</f>
        <v>0</v>
      </c>
      <c r="AW236" s="29">
        <f>F236*AO236</f>
        <v>0</v>
      </c>
      <c r="AX236" s="29">
        <f>F236*AP236</f>
        <v>0</v>
      </c>
      <c r="AY236" s="54" t="s">
        <v>637</v>
      </c>
      <c r="AZ236" s="54" t="s">
        <v>1536</v>
      </c>
      <c r="BA236" s="48" t="s">
        <v>1542</v>
      </c>
      <c r="BC236" s="29">
        <f>AW236+AX236</f>
        <v>0</v>
      </c>
      <c r="BD236" s="29">
        <f>G236/(100-BE236)*100</f>
        <v>0</v>
      </c>
      <c r="BE236" s="29">
        <v>0</v>
      </c>
      <c r="BF236" s="29">
        <f>L236</f>
        <v>0.013</v>
      </c>
      <c r="BH236" s="55">
        <f>F236*AO236</f>
        <v>0</v>
      </c>
      <c r="BI236" s="55">
        <f>F236*AP236</f>
        <v>0</v>
      </c>
      <c r="BJ236" s="55">
        <f>F236*G236</f>
        <v>0</v>
      </c>
    </row>
    <row r="237" spans="1:62" ht="12.75">
      <c r="A237" s="36" t="s">
        <v>695</v>
      </c>
      <c r="B237" s="36" t="s">
        <v>60</v>
      </c>
      <c r="C237" s="36" t="s">
        <v>270</v>
      </c>
      <c r="D237" s="36" t="s">
        <v>461</v>
      </c>
      <c r="E237" s="36" t="s">
        <v>606</v>
      </c>
      <c r="F237" s="55">
        <f>'Stavební rozpočet'!F239</f>
        <v>15</v>
      </c>
      <c r="G237" s="55">
        <f>'Stavební rozpočet'!G239</f>
        <v>0</v>
      </c>
      <c r="H237" s="55">
        <f>F237*AO237</f>
        <v>0</v>
      </c>
      <c r="I237" s="55">
        <f>F237*AP237</f>
        <v>0</v>
      </c>
      <c r="J237" s="55">
        <f>F237*G237</f>
        <v>0</v>
      </c>
      <c r="K237" s="55">
        <f>'Stavební rozpočet'!K239</f>
        <v>0.0005</v>
      </c>
      <c r="L237" s="55">
        <f>F237*K237</f>
        <v>0.0075</v>
      </c>
      <c r="M237" s="51" t="s">
        <v>622</v>
      </c>
      <c r="Z237" s="29">
        <f>IF(AQ237="5",BJ237,0)</f>
        <v>0</v>
      </c>
      <c r="AB237" s="29">
        <f>IF(AQ237="1",BH237,0)</f>
        <v>0</v>
      </c>
      <c r="AC237" s="29">
        <f>IF(AQ237="1",BI237,0)</f>
        <v>0</v>
      </c>
      <c r="AD237" s="29">
        <f>IF(AQ237="7",BH237,0)</f>
        <v>0</v>
      </c>
      <c r="AE237" s="29">
        <f>IF(AQ237="7",BI237,0)</f>
        <v>0</v>
      </c>
      <c r="AF237" s="29">
        <f>IF(AQ237="2",BH237,0)</f>
        <v>0</v>
      </c>
      <c r="AG237" s="29">
        <f>IF(AQ237="2",BI237,0)</f>
        <v>0</v>
      </c>
      <c r="AH237" s="29">
        <f>IF(AQ237="0",BJ237,0)</f>
        <v>0</v>
      </c>
      <c r="AI237" s="48" t="s">
        <v>60</v>
      </c>
      <c r="AJ237" s="55">
        <f>IF(AN237=0,J237,0)</f>
        <v>0</v>
      </c>
      <c r="AK237" s="55">
        <f>IF(AN237=15,J237,0)</f>
        <v>0</v>
      </c>
      <c r="AL237" s="55">
        <f>IF(AN237=21,J237,0)</f>
        <v>0</v>
      </c>
      <c r="AN237" s="29">
        <v>15</v>
      </c>
      <c r="AO237" s="29">
        <f>G237*0.196713333333333</f>
        <v>0</v>
      </c>
      <c r="AP237" s="29">
        <f>G237*(1-0.196713333333333)</f>
        <v>0</v>
      </c>
      <c r="AQ237" s="51" t="s">
        <v>79</v>
      </c>
      <c r="AV237" s="29">
        <f>AW237+AX237</f>
        <v>0</v>
      </c>
      <c r="AW237" s="29">
        <f>F237*AO237</f>
        <v>0</v>
      </c>
      <c r="AX237" s="29">
        <f>F237*AP237</f>
        <v>0</v>
      </c>
      <c r="AY237" s="54" t="s">
        <v>637</v>
      </c>
      <c r="AZ237" s="54" t="s">
        <v>1536</v>
      </c>
      <c r="BA237" s="48" t="s">
        <v>1542</v>
      </c>
      <c r="BC237" s="29">
        <f>AW237+AX237</f>
        <v>0</v>
      </c>
      <c r="BD237" s="29">
        <f>G237/(100-BE237)*100</f>
        <v>0</v>
      </c>
      <c r="BE237" s="29">
        <v>0</v>
      </c>
      <c r="BF237" s="29">
        <f>L237</f>
        <v>0.0075</v>
      </c>
      <c r="BH237" s="55">
        <f>F237*AO237</f>
        <v>0</v>
      </c>
      <c r="BI237" s="55">
        <f>F237*AP237</f>
        <v>0</v>
      </c>
      <c r="BJ237" s="55">
        <f>F237*G237</f>
        <v>0</v>
      </c>
    </row>
    <row r="238" spans="1:62" ht="12.75">
      <c r="A238" s="36" t="s">
        <v>696</v>
      </c>
      <c r="B238" s="36" t="s">
        <v>60</v>
      </c>
      <c r="C238" s="36" t="s">
        <v>271</v>
      </c>
      <c r="D238" s="36" t="s">
        <v>462</v>
      </c>
      <c r="E238" s="36" t="s">
        <v>611</v>
      </c>
      <c r="F238" s="55">
        <f>'Stavební rozpočet'!F240</f>
        <v>15</v>
      </c>
      <c r="G238" s="55">
        <f>'Stavební rozpočet'!G240</f>
        <v>0</v>
      </c>
      <c r="H238" s="55">
        <f>F238*AO238</f>
        <v>0</v>
      </c>
      <c r="I238" s="55">
        <f>F238*AP238</f>
        <v>0</v>
      </c>
      <c r="J238" s="55">
        <f>F238*G238</f>
        <v>0</v>
      </c>
      <c r="K238" s="55">
        <f>'Stavební rozpočet'!K240</f>
        <v>0</v>
      </c>
      <c r="L238" s="55">
        <f>F238*K238</f>
        <v>0</v>
      </c>
      <c r="M238" s="51" t="s">
        <v>622</v>
      </c>
      <c r="Z238" s="29">
        <f>IF(AQ238="5",BJ238,0)</f>
        <v>0</v>
      </c>
      <c r="AB238" s="29">
        <f>IF(AQ238="1",BH238,0)</f>
        <v>0</v>
      </c>
      <c r="AC238" s="29">
        <f>IF(AQ238="1",BI238,0)</f>
        <v>0</v>
      </c>
      <c r="AD238" s="29">
        <f>IF(AQ238="7",BH238,0)</f>
        <v>0</v>
      </c>
      <c r="AE238" s="29">
        <f>IF(AQ238="7",BI238,0)</f>
        <v>0</v>
      </c>
      <c r="AF238" s="29">
        <f>IF(AQ238="2",BH238,0)</f>
        <v>0</v>
      </c>
      <c r="AG238" s="29">
        <f>IF(AQ238="2",BI238,0)</f>
        <v>0</v>
      </c>
      <c r="AH238" s="29">
        <f>IF(AQ238="0",BJ238,0)</f>
        <v>0</v>
      </c>
      <c r="AI238" s="48" t="s">
        <v>60</v>
      </c>
      <c r="AJ238" s="55">
        <f>IF(AN238=0,J238,0)</f>
        <v>0</v>
      </c>
      <c r="AK238" s="55">
        <f>IF(AN238=15,J238,0)</f>
        <v>0</v>
      </c>
      <c r="AL238" s="55">
        <f>IF(AN238=21,J238,0)</f>
        <v>0</v>
      </c>
      <c r="AN238" s="29">
        <v>15</v>
      </c>
      <c r="AO238" s="29">
        <f>G238*0.469344827586207</f>
        <v>0</v>
      </c>
      <c r="AP238" s="29">
        <f>G238*(1-0.469344827586207)</f>
        <v>0</v>
      </c>
      <c r="AQ238" s="51" t="s">
        <v>79</v>
      </c>
      <c r="AV238" s="29">
        <f>AW238+AX238</f>
        <v>0</v>
      </c>
      <c r="AW238" s="29">
        <f>F238*AO238</f>
        <v>0</v>
      </c>
      <c r="AX238" s="29">
        <f>F238*AP238</f>
        <v>0</v>
      </c>
      <c r="AY238" s="54" t="s">
        <v>637</v>
      </c>
      <c r="AZ238" s="54" t="s">
        <v>1536</v>
      </c>
      <c r="BA238" s="48" t="s">
        <v>1542</v>
      </c>
      <c r="BC238" s="29">
        <f>AW238+AX238</f>
        <v>0</v>
      </c>
      <c r="BD238" s="29">
        <f>G238/(100-BE238)*100</f>
        <v>0</v>
      </c>
      <c r="BE238" s="29">
        <v>0</v>
      </c>
      <c r="BF238" s="29">
        <f>L238</f>
        <v>0</v>
      </c>
      <c r="BH238" s="55">
        <f>F238*AO238</f>
        <v>0</v>
      </c>
      <c r="BI238" s="55">
        <f>F238*AP238</f>
        <v>0</v>
      </c>
      <c r="BJ238" s="55">
        <f>F238*G238</f>
        <v>0</v>
      </c>
    </row>
    <row r="239" spans="1:47" ht="12.75">
      <c r="A239" s="35"/>
      <c r="B239" s="42" t="s">
        <v>60</v>
      </c>
      <c r="C239" s="42" t="s">
        <v>174</v>
      </c>
      <c r="D239" s="42" t="s">
        <v>463</v>
      </c>
      <c r="E239" s="35" t="s">
        <v>57</v>
      </c>
      <c r="F239" s="35" t="s">
        <v>57</v>
      </c>
      <c r="G239" s="35" t="s">
        <v>57</v>
      </c>
      <c r="H239" s="59">
        <f>SUM(H240:H247)</f>
        <v>0</v>
      </c>
      <c r="I239" s="59">
        <f>SUM(I240:I247)</f>
        <v>0</v>
      </c>
      <c r="J239" s="59">
        <f>SUM(J240:J247)</f>
        <v>0</v>
      </c>
      <c r="K239" s="48"/>
      <c r="L239" s="59">
        <f>SUM(L240:L247)</f>
        <v>131.8863294</v>
      </c>
      <c r="M239" s="48"/>
      <c r="AI239" s="48" t="s">
        <v>60</v>
      </c>
      <c r="AS239" s="59">
        <f>SUM(AJ240:AJ247)</f>
        <v>0</v>
      </c>
      <c r="AT239" s="59">
        <f>SUM(AK240:AK247)</f>
        <v>0</v>
      </c>
      <c r="AU239" s="59">
        <f>SUM(AL240:AL247)</f>
        <v>0</v>
      </c>
    </row>
    <row r="240" spans="1:62" ht="12.75">
      <c r="A240" s="36" t="s">
        <v>697</v>
      </c>
      <c r="B240" s="36" t="s">
        <v>60</v>
      </c>
      <c r="C240" s="36" t="s">
        <v>272</v>
      </c>
      <c r="D240" s="36" t="s">
        <v>464</v>
      </c>
      <c r="E240" s="36" t="s">
        <v>608</v>
      </c>
      <c r="F240" s="55">
        <f>'Stavební rozpočet'!F242</f>
        <v>0</v>
      </c>
      <c r="G240" s="55">
        <f>'Stavební rozpočet'!G242</f>
        <v>0</v>
      </c>
      <c r="H240" s="55">
        <f aca="true" t="shared" si="250" ref="H240:H247">F240*AO240</f>
        <v>0</v>
      </c>
      <c r="I240" s="55">
        <f aca="true" t="shared" si="251" ref="I240:I247">F240*AP240</f>
        <v>0</v>
      </c>
      <c r="J240" s="55">
        <f aca="true" t="shared" si="252" ref="J240:J247">F240*G240</f>
        <v>0</v>
      </c>
      <c r="K240" s="55">
        <f>'Stavební rozpočet'!K242</f>
        <v>0.11367</v>
      </c>
      <c r="L240" s="55">
        <f aca="true" t="shared" si="253" ref="L240:L247">F240*K240</f>
        <v>0</v>
      </c>
      <c r="M240" s="51" t="s">
        <v>622</v>
      </c>
      <c r="Z240" s="29">
        <f aca="true" t="shared" si="254" ref="Z240:Z247">IF(AQ240="5",BJ240,0)</f>
        <v>0</v>
      </c>
      <c r="AB240" s="29">
        <f aca="true" t="shared" si="255" ref="AB240:AB247">IF(AQ240="1",BH240,0)</f>
        <v>0</v>
      </c>
      <c r="AC240" s="29">
        <f aca="true" t="shared" si="256" ref="AC240:AC247">IF(AQ240="1",BI240,0)</f>
        <v>0</v>
      </c>
      <c r="AD240" s="29">
        <f aca="true" t="shared" si="257" ref="AD240:AD247">IF(AQ240="7",BH240,0)</f>
        <v>0</v>
      </c>
      <c r="AE240" s="29">
        <f aca="true" t="shared" si="258" ref="AE240:AE247">IF(AQ240="7",BI240,0)</f>
        <v>0</v>
      </c>
      <c r="AF240" s="29">
        <f aca="true" t="shared" si="259" ref="AF240:AF247">IF(AQ240="2",BH240,0)</f>
        <v>0</v>
      </c>
      <c r="AG240" s="29">
        <f aca="true" t="shared" si="260" ref="AG240:AG247">IF(AQ240="2",BI240,0)</f>
        <v>0</v>
      </c>
      <c r="AH240" s="29">
        <f aca="true" t="shared" si="261" ref="AH240:AH247">IF(AQ240="0",BJ240,0)</f>
        <v>0</v>
      </c>
      <c r="AI240" s="48" t="s">
        <v>60</v>
      </c>
      <c r="AJ240" s="55">
        <f aca="true" t="shared" si="262" ref="AJ240:AJ247">IF(AN240=0,J240,0)</f>
        <v>0</v>
      </c>
      <c r="AK240" s="55">
        <f aca="true" t="shared" si="263" ref="AK240:AK247">IF(AN240=15,J240,0)</f>
        <v>0</v>
      </c>
      <c r="AL240" s="55">
        <f aca="true" t="shared" si="264" ref="AL240:AL247">IF(AN240=21,J240,0)</f>
        <v>0</v>
      </c>
      <c r="AN240" s="29">
        <v>15</v>
      </c>
      <c r="AO240" s="29">
        <f>G240*0.227587813746602</f>
        <v>0</v>
      </c>
      <c r="AP240" s="29">
        <f>G240*(1-0.227587813746602)</f>
        <v>0</v>
      </c>
      <c r="AQ240" s="51" t="s">
        <v>79</v>
      </c>
      <c r="AV240" s="29">
        <f aca="true" t="shared" si="265" ref="AV240:AV247">AW240+AX240</f>
        <v>0</v>
      </c>
      <c r="AW240" s="29">
        <f aca="true" t="shared" si="266" ref="AW240:AW247">F240*AO240</f>
        <v>0</v>
      </c>
      <c r="AX240" s="29">
        <f aca="true" t="shared" si="267" ref="AX240:AX247">F240*AP240</f>
        <v>0</v>
      </c>
      <c r="AY240" s="54" t="s">
        <v>638</v>
      </c>
      <c r="AZ240" s="54" t="s">
        <v>1536</v>
      </c>
      <c r="BA240" s="48" t="s">
        <v>1542</v>
      </c>
      <c r="BC240" s="29">
        <f aca="true" t="shared" si="268" ref="BC240:BC247">AW240+AX240</f>
        <v>0</v>
      </c>
      <c r="BD240" s="29">
        <f aca="true" t="shared" si="269" ref="BD240:BD247">G240/(100-BE240)*100</f>
        <v>0</v>
      </c>
      <c r="BE240" s="29">
        <v>0</v>
      </c>
      <c r="BF240" s="29">
        <f aca="true" t="shared" si="270" ref="BF240:BF247">L240</f>
        <v>0</v>
      </c>
      <c r="BH240" s="55">
        <f aca="true" t="shared" si="271" ref="BH240:BH247">F240*AO240</f>
        <v>0</v>
      </c>
      <c r="BI240" s="55">
        <f aca="true" t="shared" si="272" ref="BI240:BI247">F240*AP240</f>
        <v>0</v>
      </c>
      <c r="BJ240" s="55">
        <f aca="true" t="shared" si="273" ref="BJ240:BJ247">F240*G240</f>
        <v>0</v>
      </c>
    </row>
    <row r="241" spans="1:62" ht="12.75">
      <c r="A241" s="36" t="s">
        <v>315</v>
      </c>
      <c r="B241" s="36" t="s">
        <v>60</v>
      </c>
      <c r="C241" s="36" t="s">
        <v>273</v>
      </c>
      <c r="D241" s="36" t="s">
        <v>465</v>
      </c>
      <c r="E241" s="36" t="s">
        <v>608</v>
      </c>
      <c r="F241" s="55">
        <f>'Stavební rozpočet'!F243</f>
        <v>27</v>
      </c>
      <c r="G241" s="55">
        <f>'Stavební rozpočet'!G243</f>
        <v>0</v>
      </c>
      <c r="H241" s="55">
        <f t="shared" si="250"/>
        <v>0</v>
      </c>
      <c r="I241" s="55">
        <f t="shared" si="251"/>
        <v>0</v>
      </c>
      <c r="J241" s="55">
        <f t="shared" si="252"/>
        <v>0</v>
      </c>
      <c r="K241" s="55">
        <f>'Stavební rozpočet'!K243</f>
        <v>0.11767</v>
      </c>
      <c r="L241" s="55">
        <f t="shared" si="253"/>
        <v>3.1770899999999997</v>
      </c>
      <c r="M241" s="51" t="s">
        <v>622</v>
      </c>
      <c r="Z241" s="29">
        <f t="shared" si="254"/>
        <v>0</v>
      </c>
      <c r="AB241" s="29">
        <f t="shared" si="255"/>
        <v>0</v>
      </c>
      <c r="AC241" s="29">
        <f t="shared" si="256"/>
        <v>0</v>
      </c>
      <c r="AD241" s="29">
        <f t="shared" si="257"/>
        <v>0</v>
      </c>
      <c r="AE241" s="29">
        <f t="shared" si="258"/>
        <v>0</v>
      </c>
      <c r="AF241" s="29">
        <f t="shared" si="259"/>
        <v>0</v>
      </c>
      <c r="AG241" s="29">
        <f t="shared" si="260"/>
        <v>0</v>
      </c>
      <c r="AH241" s="29">
        <f t="shared" si="261"/>
        <v>0</v>
      </c>
      <c r="AI241" s="48" t="s">
        <v>60</v>
      </c>
      <c r="AJ241" s="55">
        <f t="shared" si="262"/>
        <v>0</v>
      </c>
      <c r="AK241" s="55">
        <f t="shared" si="263"/>
        <v>0</v>
      </c>
      <c r="AL241" s="55">
        <f t="shared" si="264"/>
        <v>0</v>
      </c>
      <c r="AN241" s="29">
        <v>15</v>
      </c>
      <c r="AO241" s="29">
        <f>G241*0.191790661488444</f>
        <v>0</v>
      </c>
      <c r="AP241" s="29">
        <f>G241*(1-0.191790661488444)</f>
        <v>0</v>
      </c>
      <c r="AQ241" s="51" t="s">
        <v>79</v>
      </c>
      <c r="AV241" s="29">
        <f t="shared" si="265"/>
        <v>0</v>
      </c>
      <c r="AW241" s="29">
        <f t="shared" si="266"/>
        <v>0</v>
      </c>
      <c r="AX241" s="29">
        <f t="shared" si="267"/>
        <v>0</v>
      </c>
      <c r="AY241" s="54" t="s">
        <v>638</v>
      </c>
      <c r="AZ241" s="54" t="s">
        <v>1536</v>
      </c>
      <c r="BA241" s="48" t="s">
        <v>1542</v>
      </c>
      <c r="BC241" s="29">
        <f t="shared" si="268"/>
        <v>0</v>
      </c>
      <c r="BD241" s="29">
        <f t="shared" si="269"/>
        <v>0</v>
      </c>
      <c r="BE241" s="29">
        <v>0</v>
      </c>
      <c r="BF241" s="29">
        <f t="shared" si="270"/>
        <v>3.1770899999999997</v>
      </c>
      <c r="BH241" s="55">
        <f t="shared" si="271"/>
        <v>0</v>
      </c>
      <c r="BI241" s="55">
        <f t="shared" si="272"/>
        <v>0</v>
      </c>
      <c r="BJ241" s="55">
        <f t="shared" si="273"/>
        <v>0</v>
      </c>
    </row>
    <row r="242" spans="1:62" ht="12.75">
      <c r="A242" s="36" t="s">
        <v>316</v>
      </c>
      <c r="B242" s="36" t="s">
        <v>60</v>
      </c>
      <c r="C242" s="36" t="s">
        <v>953</v>
      </c>
      <c r="D242" s="36" t="s">
        <v>1240</v>
      </c>
      <c r="E242" s="36" t="s">
        <v>610</v>
      </c>
      <c r="F242" s="55">
        <f>'Stavební rozpočet'!F244</f>
        <v>34.2</v>
      </c>
      <c r="G242" s="55">
        <f>'Stavební rozpočet'!G244</f>
        <v>0</v>
      </c>
      <c r="H242" s="55">
        <f t="shared" si="250"/>
        <v>0</v>
      </c>
      <c r="I242" s="55">
        <f t="shared" si="251"/>
        <v>0</v>
      </c>
      <c r="J242" s="55">
        <f t="shared" si="252"/>
        <v>0</v>
      </c>
      <c r="K242" s="55">
        <f>'Stavební rozpočet'!K244</f>
        <v>2.2</v>
      </c>
      <c r="L242" s="55">
        <f t="shared" si="253"/>
        <v>75.24000000000001</v>
      </c>
      <c r="M242" s="51" t="s">
        <v>622</v>
      </c>
      <c r="Z242" s="29">
        <f t="shared" si="254"/>
        <v>0</v>
      </c>
      <c r="AB242" s="29">
        <f t="shared" si="255"/>
        <v>0</v>
      </c>
      <c r="AC242" s="29">
        <f t="shared" si="256"/>
        <v>0</v>
      </c>
      <c r="AD242" s="29">
        <f t="shared" si="257"/>
        <v>0</v>
      </c>
      <c r="AE242" s="29">
        <f t="shared" si="258"/>
        <v>0</v>
      </c>
      <c r="AF242" s="29">
        <f t="shared" si="259"/>
        <v>0</v>
      </c>
      <c r="AG242" s="29">
        <f t="shared" si="260"/>
        <v>0</v>
      </c>
      <c r="AH242" s="29">
        <f t="shared" si="261"/>
        <v>0</v>
      </c>
      <c r="AI242" s="48" t="s">
        <v>60</v>
      </c>
      <c r="AJ242" s="55">
        <f t="shared" si="262"/>
        <v>0</v>
      </c>
      <c r="AK242" s="55">
        <f t="shared" si="263"/>
        <v>0</v>
      </c>
      <c r="AL242" s="55">
        <f t="shared" si="264"/>
        <v>0</v>
      </c>
      <c r="AN242" s="29">
        <v>15</v>
      </c>
      <c r="AO242" s="29">
        <f>G242*0</f>
        <v>0</v>
      </c>
      <c r="AP242" s="29">
        <f>G242*(1-0)</f>
        <v>0</v>
      </c>
      <c r="AQ242" s="51" t="s">
        <v>79</v>
      </c>
      <c r="AV242" s="29">
        <f t="shared" si="265"/>
        <v>0</v>
      </c>
      <c r="AW242" s="29">
        <f t="shared" si="266"/>
        <v>0</v>
      </c>
      <c r="AX242" s="29">
        <f t="shared" si="267"/>
        <v>0</v>
      </c>
      <c r="AY242" s="54" t="s">
        <v>638</v>
      </c>
      <c r="AZ242" s="54" t="s">
        <v>1536</v>
      </c>
      <c r="BA242" s="48" t="s">
        <v>1542</v>
      </c>
      <c r="BC242" s="29">
        <f t="shared" si="268"/>
        <v>0</v>
      </c>
      <c r="BD242" s="29">
        <f t="shared" si="269"/>
        <v>0</v>
      </c>
      <c r="BE242" s="29">
        <v>0</v>
      </c>
      <c r="BF242" s="29">
        <f t="shared" si="270"/>
        <v>75.24000000000001</v>
      </c>
      <c r="BH242" s="55">
        <f t="shared" si="271"/>
        <v>0</v>
      </c>
      <c r="BI242" s="55">
        <f t="shared" si="272"/>
        <v>0</v>
      </c>
      <c r="BJ242" s="55">
        <f t="shared" si="273"/>
        <v>0</v>
      </c>
    </row>
    <row r="243" spans="1:62" ht="12.75">
      <c r="A243" s="36" t="s">
        <v>698</v>
      </c>
      <c r="B243" s="36" t="s">
        <v>60</v>
      </c>
      <c r="C243" s="36" t="s">
        <v>954</v>
      </c>
      <c r="D243" s="36" t="s">
        <v>1242</v>
      </c>
      <c r="E243" s="36" t="s">
        <v>610</v>
      </c>
      <c r="F243" s="55">
        <f>'Stavební rozpočet'!F245</f>
        <v>23.94</v>
      </c>
      <c r="G243" s="55">
        <f>'Stavební rozpočet'!G245</f>
        <v>0</v>
      </c>
      <c r="H243" s="55">
        <f t="shared" si="250"/>
        <v>0</v>
      </c>
      <c r="I243" s="55">
        <f t="shared" si="251"/>
        <v>0</v>
      </c>
      <c r="J243" s="55">
        <f t="shared" si="252"/>
        <v>0</v>
      </c>
      <c r="K243" s="55">
        <f>'Stavební rozpočet'!K245</f>
        <v>2.2</v>
      </c>
      <c r="L243" s="55">
        <f t="shared" si="253"/>
        <v>52.668000000000006</v>
      </c>
      <c r="M243" s="51" t="s">
        <v>622</v>
      </c>
      <c r="Z243" s="29">
        <f t="shared" si="254"/>
        <v>0</v>
      </c>
      <c r="AB243" s="29">
        <f t="shared" si="255"/>
        <v>0</v>
      </c>
      <c r="AC243" s="29">
        <f t="shared" si="256"/>
        <v>0</v>
      </c>
      <c r="AD243" s="29">
        <f t="shared" si="257"/>
        <v>0</v>
      </c>
      <c r="AE243" s="29">
        <f t="shared" si="258"/>
        <v>0</v>
      </c>
      <c r="AF243" s="29">
        <f t="shared" si="259"/>
        <v>0</v>
      </c>
      <c r="AG243" s="29">
        <f t="shared" si="260"/>
        <v>0</v>
      </c>
      <c r="AH243" s="29">
        <f t="shared" si="261"/>
        <v>0</v>
      </c>
      <c r="AI243" s="48" t="s">
        <v>60</v>
      </c>
      <c r="AJ243" s="55">
        <f t="shared" si="262"/>
        <v>0</v>
      </c>
      <c r="AK243" s="55">
        <f t="shared" si="263"/>
        <v>0</v>
      </c>
      <c r="AL243" s="55">
        <f t="shared" si="264"/>
        <v>0</v>
      </c>
      <c r="AN243" s="29">
        <v>15</v>
      </c>
      <c r="AO243" s="29">
        <f>G243*0</f>
        <v>0</v>
      </c>
      <c r="AP243" s="29">
        <f>G243*(1-0)</f>
        <v>0</v>
      </c>
      <c r="AQ243" s="51" t="s">
        <v>79</v>
      </c>
      <c r="AV243" s="29">
        <f t="shared" si="265"/>
        <v>0</v>
      </c>
      <c r="AW243" s="29">
        <f t="shared" si="266"/>
        <v>0</v>
      </c>
      <c r="AX243" s="29">
        <f t="shared" si="267"/>
        <v>0</v>
      </c>
      <c r="AY243" s="54" t="s">
        <v>638</v>
      </c>
      <c r="AZ243" s="54" t="s">
        <v>1536</v>
      </c>
      <c r="BA243" s="48" t="s">
        <v>1542</v>
      </c>
      <c r="BC243" s="29">
        <f t="shared" si="268"/>
        <v>0</v>
      </c>
      <c r="BD243" s="29">
        <f t="shared" si="269"/>
        <v>0</v>
      </c>
      <c r="BE243" s="29">
        <v>0</v>
      </c>
      <c r="BF243" s="29">
        <f t="shared" si="270"/>
        <v>52.668000000000006</v>
      </c>
      <c r="BH243" s="55">
        <f t="shared" si="271"/>
        <v>0</v>
      </c>
      <c r="BI243" s="55">
        <f t="shared" si="272"/>
        <v>0</v>
      </c>
      <c r="BJ243" s="55">
        <f t="shared" si="273"/>
        <v>0</v>
      </c>
    </row>
    <row r="244" spans="1:62" ht="12.75">
      <c r="A244" s="36" t="s">
        <v>699</v>
      </c>
      <c r="B244" s="36" t="s">
        <v>60</v>
      </c>
      <c r="C244" s="36" t="s">
        <v>955</v>
      </c>
      <c r="D244" s="36" t="s">
        <v>1244</v>
      </c>
      <c r="E244" s="36" t="s">
        <v>610</v>
      </c>
      <c r="F244" s="55">
        <f>'Stavební rozpočet'!F246</f>
        <v>34.2</v>
      </c>
      <c r="G244" s="55">
        <f>'Stavební rozpočet'!G246</f>
        <v>0</v>
      </c>
      <c r="H244" s="55">
        <f t="shared" si="250"/>
        <v>0</v>
      </c>
      <c r="I244" s="55">
        <f t="shared" si="251"/>
        <v>0</v>
      </c>
      <c r="J244" s="55">
        <f t="shared" si="252"/>
        <v>0</v>
      </c>
      <c r="K244" s="55">
        <f>'Stavební rozpočet'!K246</f>
        <v>0</v>
      </c>
      <c r="L244" s="55">
        <f t="shared" si="253"/>
        <v>0</v>
      </c>
      <c r="M244" s="51" t="s">
        <v>622</v>
      </c>
      <c r="Z244" s="29">
        <f t="shared" si="254"/>
        <v>0</v>
      </c>
      <c r="AB244" s="29">
        <f t="shared" si="255"/>
        <v>0</v>
      </c>
      <c r="AC244" s="29">
        <f t="shared" si="256"/>
        <v>0</v>
      </c>
      <c r="AD244" s="29">
        <f t="shared" si="257"/>
        <v>0</v>
      </c>
      <c r="AE244" s="29">
        <f t="shared" si="258"/>
        <v>0</v>
      </c>
      <c r="AF244" s="29">
        <f t="shared" si="259"/>
        <v>0</v>
      </c>
      <c r="AG244" s="29">
        <f t="shared" si="260"/>
        <v>0</v>
      </c>
      <c r="AH244" s="29">
        <f t="shared" si="261"/>
        <v>0</v>
      </c>
      <c r="AI244" s="48" t="s">
        <v>60</v>
      </c>
      <c r="AJ244" s="55">
        <f t="shared" si="262"/>
        <v>0</v>
      </c>
      <c r="AK244" s="55">
        <f t="shared" si="263"/>
        <v>0</v>
      </c>
      <c r="AL244" s="55">
        <f t="shared" si="264"/>
        <v>0</v>
      </c>
      <c r="AN244" s="29">
        <v>15</v>
      </c>
      <c r="AO244" s="29">
        <f>G244*0</f>
        <v>0</v>
      </c>
      <c r="AP244" s="29">
        <f>G244*(1-0)</f>
        <v>0</v>
      </c>
      <c r="AQ244" s="51" t="s">
        <v>79</v>
      </c>
      <c r="AV244" s="29">
        <f t="shared" si="265"/>
        <v>0</v>
      </c>
      <c r="AW244" s="29">
        <f t="shared" si="266"/>
        <v>0</v>
      </c>
      <c r="AX244" s="29">
        <f t="shared" si="267"/>
        <v>0</v>
      </c>
      <c r="AY244" s="54" t="s">
        <v>638</v>
      </c>
      <c r="AZ244" s="54" t="s">
        <v>1536</v>
      </c>
      <c r="BA244" s="48" t="s">
        <v>1542</v>
      </c>
      <c r="BC244" s="29">
        <f t="shared" si="268"/>
        <v>0</v>
      </c>
      <c r="BD244" s="29">
        <f t="shared" si="269"/>
        <v>0</v>
      </c>
      <c r="BE244" s="29">
        <v>0</v>
      </c>
      <c r="BF244" s="29">
        <f t="shared" si="270"/>
        <v>0</v>
      </c>
      <c r="BH244" s="55">
        <f t="shared" si="271"/>
        <v>0</v>
      </c>
      <c r="BI244" s="55">
        <f t="shared" si="272"/>
        <v>0</v>
      </c>
      <c r="BJ244" s="55">
        <f t="shared" si="273"/>
        <v>0</v>
      </c>
    </row>
    <row r="245" spans="1:62" ht="12.75">
      <c r="A245" s="36" t="s">
        <v>700</v>
      </c>
      <c r="B245" s="36" t="s">
        <v>60</v>
      </c>
      <c r="C245" s="36" t="s">
        <v>276</v>
      </c>
      <c r="D245" s="36" t="s">
        <v>468</v>
      </c>
      <c r="E245" s="36" t="s">
        <v>608</v>
      </c>
      <c r="F245" s="55">
        <f>'Stavební rozpočet'!F247</f>
        <v>2.91</v>
      </c>
      <c r="G245" s="55">
        <f>'Stavební rozpočet'!G247</f>
        <v>0</v>
      </c>
      <c r="H245" s="55">
        <f t="shared" si="250"/>
        <v>0</v>
      </c>
      <c r="I245" s="55">
        <f t="shared" si="251"/>
        <v>0</v>
      </c>
      <c r="J245" s="55">
        <f t="shared" si="252"/>
        <v>0</v>
      </c>
      <c r="K245" s="55">
        <f>'Stavební rozpočet'!K247</f>
        <v>0.27534</v>
      </c>
      <c r="L245" s="55">
        <f t="shared" si="253"/>
        <v>0.8012393999999999</v>
      </c>
      <c r="M245" s="51" t="s">
        <v>622</v>
      </c>
      <c r="Z245" s="29">
        <f t="shared" si="254"/>
        <v>0</v>
      </c>
      <c r="AB245" s="29">
        <f t="shared" si="255"/>
        <v>0</v>
      </c>
      <c r="AC245" s="29">
        <f t="shared" si="256"/>
        <v>0</v>
      </c>
      <c r="AD245" s="29">
        <f t="shared" si="257"/>
        <v>0</v>
      </c>
      <c r="AE245" s="29">
        <f t="shared" si="258"/>
        <v>0</v>
      </c>
      <c r="AF245" s="29">
        <f t="shared" si="259"/>
        <v>0</v>
      </c>
      <c r="AG245" s="29">
        <f t="shared" si="260"/>
        <v>0</v>
      </c>
      <c r="AH245" s="29">
        <f t="shared" si="261"/>
        <v>0</v>
      </c>
      <c r="AI245" s="48" t="s">
        <v>60</v>
      </c>
      <c r="AJ245" s="55">
        <f t="shared" si="262"/>
        <v>0</v>
      </c>
      <c r="AK245" s="55">
        <f t="shared" si="263"/>
        <v>0</v>
      </c>
      <c r="AL245" s="55">
        <f t="shared" si="264"/>
        <v>0</v>
      </c>
      <c r="AN245" s="29">
        <v>15</v>
      </c>
      <c r="AO245" s="29">
        <f>G245*0.0308315165372753</f>
        <v>0</v>
      </c>
      <c r="AP245" s="29">
        <f>G245*(1-0.0308315165372753)</f>
        <v>0</v>
      </c>
      <c r="AQ245" s="51" t="s">
        <v>79</v>
      </c>
      <c r="AV245" s="29">
        <f t="shared" si="265"/>
        <v>0</v>
      </c>
      <c r="AW245" s="29">
        <f t="shared" si="266"/>
        <v>0</v>
      </c>
      <c r="AX245" s="29">
        <f t="shared" si="267"/>
        <v>0</v>
      </c>
      <c r="AY245" s="54" t="s">
        <v>638</v>
      </c>
      <c r="AZ245" s="54" t="s">
        <v>1536</v>
      </c>
      <c r="BA245" s="48" t="s">
        <v>1542</v>
      </c>
      <c r="BC245" s="29">
        <f t="shared" si="268"/>
        <v>0</v>
      </c>
      <c r="BD245" s="29">
        <f t="shared" si="269"/>
        <v>0</v>
      </c>
      <c r="BE245" s="29">
        <v>0</v>
      </c>
      <c r="BF245" s="29">
        <f t="shared" si="270"/>
        <v>0.8012393999999999</v>
      </c>
      <c r="BH245" s="55">
        <f t="shared" si="271"/>
        <v>0</v>
      </c>
      <c r="BI245" s="55">
        <f t="shared" si="272"/>
        <v>0</v>
      </c>
      <c r="BJ245" s="55">
        <f t="shared" si="273"/>
        <v>0</v>
      </c>
    </row>
    <row r="246" spans="1:62" ht="12.75">
      <c r="A246" s="36" t="s">
        <v>701</v>
      </c>
      <c r="B246" s="36" t="s">
        <v>60</v>
      </c>
      <c r="C246" s="36" t="s">
        <v>956</v>
      </c>
      <c r="D246" s="36" t="s">
        <v>1246</v>
      </c>
      <c r="E246" s="36" t="s">
        <v>606</v>
      </c>
      <c r="F246" s="55">
        <f>'Stavební rozpočet'!F248</f>
        <v>7</v>
      </c>
      <c r="G246" s="55">
        <f>'Stavební rozpočet'!G248</f>
        <v>0</v>
      </c>
      <c r="H246" s="55">
        <f t="shared" si="250"/>
        <v>0</v>
      </c>
      <c r="I246" s="55">
        <f t="shared" si="251"/>
        <v>0</v>
      </c>
      <c r="J246" s="55">
        <f t="shared" si="252"/>
        <v>0</v>
      </c>
      <c r="K246" s="55">
        <f>'Stavební rozpočet'!K248</f>
        <v>0</v>
      </c>
      <c r="L246" s="55">
        <f t="shared" si="253"/>
        <v>0</v>
      </c>
      <c r="M246" s="51" t="s">
        <v>622</v>
      </c>
      <c r="Z246" s="29">
        <f t="shared" si="254"/>
        <v>0</v>
      </c>
      <c r="AB246" s="29">
        <f t="shared" si="255"/>
        <v>0</v>
      </c>
      <c r="AC246" s="29">
        <f t="shared" si="256"/>
        <v>0</v>
      </c>
      <c r="AD246" s="29">
        <f t="shared" si="257"/>
        <v>0</v>
      </c>
      <c r="AE246" s="29">
        <f t="shared" si="258"/>
        <v>0</v>
      </c>
      <c r="AF246" s="29">
        <f t="shared" si="259"/>
        <v>0</v>
      </c>
      <c r="AG246" s="29">
        <f t="shared" si="260"/>
        <v>0</v>
      </c>
      <c r="AH246" s="29">
        <f t="shared" si="261"/>
        <v>0</v>
      </c>
      <c r="AI246" s="48" t="s">
        <v>60</v>
      </c>
      <c r="AJ246" s="55">
        <f t="shared" si="262"/>
        <v>0</v>
      </c>
      <c r="AK246" s="55">
        <f t="shared" si="263"/>
        <v>0</v>
      </c>
      <c r="AL246" s="55">
        <f t="shared" si="264"/>
        <v>0</v>
      </c>
      <c r="AN246" s="29">
        <v>15</v>
      </c>
      <c r="AO246" s="29">
        <f>G246*0</f>
        <v>0</v>
      </c>
      <c r="AP246" s="29">
        <f>G246*(1-0)</f>
        <v>0</v>
      </c>
      <c r="AQ246" s="51" t="s">
        <v>79</v>
      </c>
      <c r="AV246" s="29">
        <f t="shared" si="265"/>
        <v>0</v>
      </c>
      <c r="AW246" s="29">
        <f t="shared" si="266"/>
        <v>0</v>
      </c>
      <c r="AX246" s="29">
        <f t="shared" si="267"/>
        <v>0</v>
      </c>
      <c r="AY246" s="54" t="s">
        <v>638</v>
      </c>
      <c r="AZ246" s="54" t="s">
        <v>1536</v>
      </c>
      <c r="BA246" s="48" t="s">
        <v>1542</v>
      </c>
      <c r="BC246" s="29">
        <f t="shared" si="268"/>
        <v>0</v>
      </c>
      <c r="BD246" s="29">
        <f t="shared" si="269"/>
        <v>0</v>
      </c>
      <c r="BE246" s="29">
        <v>0</v>
      </c>
      <c r="BF246" s="29">
        <f t="shared" si="270"/>
        <v>0</v>
      </c>
      <c r="BH246" s="55">
        <f t="shared" si="271"/>
        <v>0</v>
      </c>
      <c r="BI246" s="55">
        <f t="shared" si="272"/>
        <v>0</v>
      </c>
      <c r="BJ246" s="55">
        <f t="shared" si="273"/>
        <v>0</v>
      </c>
    </row>
    <row r="247" spans="1:62" ht="12.75">
      <c r="A247" s="36" t="s">
        <v>702</v>
      </c>
      <c r="B247" s="36" t="s">
        <v>60</v>
      </c>
      <c r="C247" s="36" t="s">
        <v>957</v>
      </c>
      <c r="D247" s="36" t="s">
        <v>1247</v>
      </c>
      <c r="E247" s="36" t="s">
        <v>609</v>
      </c>
      <c r="F247" s="55">
        <f>'Stavební rozpočet'!F249</f>
        <v>0</v>
      </c>
      <c r="G247" s="55">
        <f>'Stavební rozpočet'!G249</f>
        <v>0</v>
      </c>
      <c r="H247" s="55">
        <f t="shared" si="250"/>
        <v>0</v>
      </c>
      <c r="I247" s="55">
        <f t="shared" si="251"/>
        <v>0</v>
      </c>
      <c r="J247" s="55">
        <f t="shared" si="252"/>
        <v>0</v>
      </c>
      <c r="K247" s="55">
        <f>'Stavební rozpočet'!K249</f>
        <v>0</v>
      </c>
      <c r="L247" s="55">
        <f t="shared" si="253"/>
        <v>0</v>
      </c>
      <c r="M247" s="51" t="s">
        <v>622</v>
      </c>
      <c r="Z247" s="29">
        <f t="shared" si="254"/>
        <v>0</v>
      </c>
      <c r="AB247" s="29">
        <f t="shared" si="255"/>
        <v>0</v>
      </c>
      <c r="AC247" s="29">
        <f t="shared" si="256"/>
        <v>0</v>
      </c>
      <c r="AD247" s="29">
        <f t="shared" si="257"/>
        <v>0</v>
      </c>
      <c r="AE247" s="29">
        <f t="shared" si="258"/>
        <v>0</v>
      </c>
      <c r="AF247" s="29">
        <f t="shared" si="259"/>
        <v>0</v>
      </c>
      <c r="AG247" s="29">
        <f t="shared" si="260"/>
        <v>0</v>
      </c>
      <c r="AH247" s="29">
        <f t="shared" si="261"/>
        <v>0</v>
      </c>
      <c r="AI247" s="48" t="s">
        <v>60</v>
      </c>
      <c r="AJ247" s="55">
        <f t="shared" si="262"/>
        <v>0</v>
      </c>
      <c r="AK247" s="55">
        <f t="shared" si="263"/>
        <v>0</v>
      </c>
      <c r="AL247" s="55">
        <f t="shared" si="264"/>
        <v>0</v>
      </c>
      <c r="AN247" s="29">
        <v>15</v>
      </c>
      <c r="AO247" s="29">
        <f>G247*0.105417142857143</f>
        <v>0</v>
      </c>
      <c r="AP247" s="29">
        <f>G247*(1-0.105417142857143)</f>
        <v>0</v>
      </c>
      <c r="AQ247" s="51" t="s">
        <v>79</v>
      </c>
      <c r="AV247" s="29">
        <f t="shared" si="265"/>
        <v>0</v>
      </c>
      <c r="AW247" s="29">
        <f t="shared" si="266"/>
        <v>0</v>
      </c>
      <c r="AX247" s="29">
        <f t="shared" si="267"/>
        <v>0</v>
      </c>
      <c r="AY247" s="54" t="s">
        <v>638</v>
      </c>
      <c r="AZ247" s="54" t="s">
        <v>1536</v>
      </c>
      <c r="BA247" s="48" t="s">
        <v>1542</v>
      </c>
      <c r="BC247" s="29">
        <f t="shared" si="268"/>
        <v>0</v>
      </c>
      <c r="BD247" s="29">
        <f t="shared" si="269"/>
        <v>0</v>
      </c>
      <c r="BE247" s="29">
        <v>0</v>
      </c>
      <c r="BF247" s="29">
        <f t="shared" si="270"/>
        <v>0</v>
      </c>
      <c r="BH247" s="55">
        <f t="shared" si="271"/>
        <v>0</v>
      </c>
      <c r="BI247" s="55">
        <f t="shared" si="272"/>
        <v>0</v>
      </c>
      <c r="BJ247" s="55">
        <f t="shared" si="273"/>
        <v>0</v>
      </c>
    </row>
    <row r="248" spans="1:47" ht="12.75">
      <c r="A248" s="35"/>
      <c r="B248" s="42" t="s">
        <v>60</v>
      </c>
      <c r="C248" s="42" t="s">
        <v>280</v>
      </c>
      <c r="D248" s="42" t="s">
        <v>473</v>
      </c>
      <c r="E248" s="35" t="s">
        <v>57</v>
      </c>
      <c r="F248" s="35" t="s">
        <v>57</v>
      </c>
      <c r="G248" s="35" t="s">
        <v>57</v>
      </c>
      <c r="H248" s="59">
        <f>SUM(H249:H254)</f>
        <v>0</v>
      </c>
      <c r="I248" s="59">
        <f>SUM(I249:I254)</f>
        <v>0</v>
      </c>
      <c r="J248" s="59">
        <f>SUM(J249:J254)</f>
        <v>0</v>
      </c>
      <c r="K248" s="48"/>
      <c r="L248" s="59">
        <f>SUM(L249:L254)</f>
        <v>0</v>
      </c>
      <c r="M248" s="48"/>
      <c r="AI248" s="48" t="s">
        <v>60</v>
      </c>
      <c r="AS248" s="59">
        <f>SUM(AJ249:AJ254)</f>
        <v>0</v>
      </c>
      <c r="AT248" s="59">
        <f>SUM(AK249:AK254)</f>
        <v>0</v>
      </c>
      <c r="AU248" s="59">
        <f>SUM(AL249:AL254)</f>
        <v>0</v>
      </c>
    </row>
    <row r="249" spans="1:62" ht="12.75">
      <c r="A249" s="36" t="s">
        <v>703</v>
      </c>
      <c r="B249" s="36" t="s">
        <v>60</v>
      </c>
      <c r="C249" s="36" t="s">
        <v>281</v>
      </c>
      <c r="D249" s="36" t="s">
        <v>474</v>
      </c>
      <c r="E249" s="36" t="s">
        <v>612</v>
      </c>
      <c r="F249" s="55">
        <f>'Stavební rozpočet'!F251</f>
        <v>131.89</v>
      </c>
      <c r="G249" s="55">
        <f>'Stavební rozpočet'!G251</f>
        <v>0</v>
      </c>
      <c r="H249" s="55">
        <f aca="true" t="shared" si="274" ref="H249:H254">F249*AO249</f>
        <v>0</v>
      </c>
      <c r="I249" s="55">
        <f aca="true" t="shared" si="275" ref="I249:I254">F249*AP249</f>
        <v>0</v>
      </c>
      <c r="J249" s="55">
        <f aca="true" t="shared" si="276" ref="J249:J254">F249*G249</f>
        <v>0</v>
      </c>
      <c r="K249" s="55">
        <f>'Stavební rozpočet'!K251</f>
        <v>0</v>
      </c>
      <c r="L249" s="55">
        <f aca="true" t="shared" si="277" ref="L249:L254">F249*K249</f>
        <v>0</v>
      </c>
      <c r="M249" s="51" t="s">
        <v>622</v>
      </c>
      <c r="Z249" s="29">
        <f aca="true" t="shared" si="278" ref="Z249:Z254">IF(AQ249="5",BJ249,0)</f>
        <v>0</v>
      </c>
      <c r="AB249" s="29">
        <f aca="true" t="shared" si="279" ref="AB249:AB254">IF(AQ249="1",BH249,0)</f>
        <v>0</v>
      </c>
      <c r="AC249" s="29">
        <f aca="true" t="shared" si="280" ref="AC249:AC254">IF(AQ249="1",BI249,0)</f>
        <v>0</v>
      </c>
      <c r="AD249" s="29">
        <f aca="true" t="shared" si="281" ref="AD249:AD254">IF(AQ249="7",BH249,0)</f>
        <v>0</v>
      </c>
      <c r="AE249" s="29">
        <f aca="true" t="shared" si="282" ref="AE249:AE254">IF(AQ249="7",BI249,0)</f>
        <v>0</v>
      </c>
      <c r="AF249" s="29">
        <f aca="true" t="shared" si="283" ref="AF249:AF254">IF(AQ249="2",BH249,0)</f>
        <v>0</v>
      </c>
      <c r="AG249" s="29">
        <f aca="true" t="shared" si="284" ref="AG249:AG254">IF(AQ249="2",BI249,0)</f>
        <v>0</v>
      </c>
      <c r="AH249" s="29">
        <f aca="true" t="shared" si="285" ref="AH249:AH254">IF(AQ249="0",BJ249,0)</f>
        <v>0</v>
      </c>
      <c r="AI249" s="48" t="s">
        <v>60</v>
      </c>
      <c r="AJ249" s="55">
        <f aca="true" t="shared" si="286" ref="AJ249:AJ254">IF(AN249=0,J249,0)</f>
        <v>0</v>
      </c>
      <c r="AK249" s="55">
        <f aca="true" t="shared" si="287" ref="AK249:AK254">IF(AN249=15,J249,0)</f>
        <v>0</v>
      </c>
      <c r="AL249" s="55">
        <f aca="true" t="shared" si="288" ref="AL249:AL254">IF(AN249=21,J249,0)</f>
        <v>0</v>
      </c>
      <c r="AN249" s="29">
        <v>15</v>
      </c>
      <c r="AO249" s="29">
        <f aca="true" t="shared" si="289" ref="AO249:AO254">G249*0</f>
        <v>0</v>
      </c>
      <c r="AP249" s="29">
        <f aca="true" t="shared" si="290" ref="AP249:AP254">G249*(1-0)</f>
        <v>0</v>
      </c>
      <c r="AQ249" s="51" t="s">
        <v>83</v>
      </c>
      <c r="AV249" s="29">
        <f aca="true" t="shared" si="291" ref="AV249:AV254">AW249+AX249</f>
        <v>0</v>
      </c>
      <c r="AW249" s="29">
        <f aca="true" t="shared" si="292" ref="AW249:AW254">F249*AO249</f>
        <v>0</v>
      </c>
      <c r="AX249" s="29">
        <f aca="true" t="shared" si="293" ref="AX249:AX254">F249*AP249</f>
        <v>0</v>
      </c>
      <c r="AY249" s="54" t="s">
        <v>640</v>
      </c>
      <c r="AZ249" s="54" t="s">
        <v>1536</v>
      </c>
      <c r="BA249" s="48" t="s">
        <v>1542</v>
      </c>
      <c r="BC249" s="29">
        <f aca="true" t="shared" si="294" ref="BC249:BC254">AW249+AX249</f>
        <v>0</v>
      </c>
      <c r="BD249" s="29">
        <f aca="true" t="shared" si="295" ref="BD249:BD254">G249/(100-BE249)*100</f>
        <v>0</v>
      </c>
      <c r="BE249" s="29">
        <v>0</v>
      </c>
      <c r="BF249" s="29">
        <f aca="true" t="shared" si="296" ref="BF249:BF254">L249</f>
        <v>0</v>
      </c>
      <c r="BH249" s="55">
        <f aca="true" t="shared" si="297" ref="BH249:BH254">F249*AO249</f>
        <v>0</v>
      </c>
      <c r="BI249" s="55">
        <f aca="true" t="shared" si="298" ref="BI249:BI254">F249*AP249</f>
        <v>0</v>
      </c>
      <c r="BJ249" s="55">
        <f aca="true" t="shared" si="299" ref="BJ249:BJ254">F249*G249</f>
        <v>0</v>
      </c>
    </row>
    <row r="250" spans="1:62" ht="12.75">
      <c r="A250" s="36" t="s">
        <v>704</v>
      </c>
      <c r="B250" s="36" t="s">
        <v>60</v>
      </c>
      <c r="C250" s="36" t="s">
        <v>282</v>
      </c>
      <c r="D250" s="36" t="s">
        <v>475</v>
      </c>
      <c r="E250" s="36" t="s">
        <v>612</v>
      </c>
      <c r="F250" s="55">
        <f>'Stavební rozpočet'!F252</f>
        <v>1318.9</v>
      </c>
      <c r="G250" s="55">
        <f>'Stavební rozpočet'!G252</f>
        <v>0</v>
      </c>
      <c r="H250" s="55">
        <f t="shared" si="274"/>
        <v>0</v>
      </c>
      <c r="I250" s="55">
        <f t="shared" si="275"/>
        <v>0</v>
      </c>
      <c r="J250" s="55">
        <f t="shared" si="276"/>
        <v>0</v>
      </c>
      <c r="K250" s="55">
        <f>'Stavební rozpočet'!K252</f>
        <v>0</v>
      </c>
      <c r="L250" s="55">
        <f t="shared" si="277"/>
        <v>0</v>
      </c>
      <c r="M250" s="51" t="s">
        <v>622</v>
      </c>
      <c r="Z250" s="29">
        <f t="shared" si="278"/>
        <v>0</v>
      </c>
      <c r="AB250" s="29">
        <f t="shared" si="279"/>
        <v>0</v>
      </c>
      <c r="AC250" s="29">
        <f t="shared" si="280"/>
        <v>0</v>
      </c>
      <c r="AD250" s="29">
        <f t="shared" si="281"/>
        <v>0</v>
      </c>
      <c r="AE250" s="29">
        <f t="shared" si="282"/>
        <v>0</v>
      </c>
      <c r="AF250" s="29">
        <f t="shared" si="283"/>
        <v>0</v>
      </c>
      <c r="AG250" s="29">
        <f t="shared" si="284"/>
        <v>0</v>
      </c>
      <c r="AH250" s="29">
        <f t="shared" si="285"/>
        <v>0</v>
      </c>
      <c r="AI250" s="48" t="s">
        <v>60</v>
      </c>
      <c r="AJ250" s="55">
        <f t="shared" si="286"/>
        <v>0</v>
      </c>
      <c r="AK250" s="55">
        <f t="shared" si="287"/>
        <v>0</v>
      </c>
      <c r="AL250" s="55">
        <f t="shared" si="288"/>
        <v>0</v>
      </c>
      <c r="AN250" s="29">
        <v>15</v>
      </c>
      <c r="AO250" s="29">
        <f t="shared" si="289"/>
        <v>0</v>
      </c>
      <c r="AP250" s="29">
        <f t="shared" si="290"/>
        <v>0</v>
      </c>
      <c r="AQ250" s="51" t="s">
        <v>83</v>
      </c>
      <c r="AV250" s="29">
        <f t="shared" si="291"/>
        <v>0</v>
      </c>
      <c r="AW250" s="29">
        <f t="shared" si="292"/>
        <v>0</v>
      </c>
      <c r="AX250" s="29">
        <f t="shared" si="293"/>
        <v>0</v>
      </c>
      <c r="AY250" s="54" t="s">
        <v>640</v>
      </c>
      <c r="AZ250" s="54" t="s">
        <v>1536</v>
      </c>
      <c r="BA250" s="48" t="s">
        <v>1542</v>
      </c>
      <c r="BC250" s="29">
        <f t="shared" si="294"/>
        <v>0</v>
      </c>
      <c r="BD250" s="29">
        <f t="shared" si="295"/>
        <v>0</v>
      </c>
      <c r="BE250" s="29">
        <v>0</v>
      </c>
      <c r="BF250" s="29">
        <f t="shared" si="296"/>
        <v>0</v>
      </c>
      <c r="BH250" s="55">
        <f t="shared" si="297"/>
        <v>0</v>
      </c>
      <c r="BI250" s="55">
        <f t="shared" si="298"/>
        <v>0</v>
      </c>
      <c r="BJ250" s="55">
        <f t="shared" si="299"/>
        <v>0</v>
      </c>
    </row>
    <row r="251" spans="1:62" ht="12.75">
      <c r="A251" s="36" t="s">
        <v>705</v>
      </c>
      <c r="B251" s="36" t="s">
        <v>60</v>
      </c>
      <c r="C251" s="36" t="s">
        <v>283</v>
      </c>
      <c r="D251" s="36" t="s">
        <v>476</v>
      </c>
      <c r="E251" s="36" t="s">
        <v>612</v>
      </c>
      <c r="F251" s="55">
        <f>'Stavební rozpočet'!F253</f>
        <v>131.89</v>
      </c>
      <c r="G251" s="55">
        <f>'Stavební rozpočet'!G253</f>
        <v>0</v>
      </c>
      <c r="H251" s="55">
        <f t="shared" si="274"/>
        <v>0</v>
      </c>
      <c r="I251" s="55">
        <f t="shared" si="275"/>
        <v>0</v>
      </c>
      <c r="J251" s="55">
        <f t="shared" si="276"/>
        <v>0</v>
      </c>
      <c r="K251" s="55">
        <f>'Stavební rozpočet'!K253</f>
        <v>0</v>
      </c>
      <c r="L251" s="55">
        <f t="shared" si="277"/>
        <v>0</v>
      </c>
      <c r="M251" s="51" t="s">
        <v>622</v>
      </c>
      <c r="Z251" s="29">
        <f t="shared" si="278"/>
        <v>0</v>
      </c>
      <c r="AB251" s="29">
        <f t="shared" si="279"/>
        <v>0</v>
      </c>
      <c r="AC251" s="29">
        <f t="shared" si="280"/>
        <v>0</v>
      </c>
      <c r="AD251" s="29">
        <f t="shared" si="281"/>
        <v>0</v>
      </c>
      <c r="AE251" s="29">
        <f t="shared" si="282"/>
        <v>0</v>
      </c>
      <c r="AF251" s="29">
        <f t="shared" si="283"/>
        <v>0</v>
      </c>
      <c r="AG251" s="29">
        <f t="shared" si="284"/>
        <v>0</v>
      </c>
      <c r="AH251" s="29">
        <f t="shared" si="285"/>
        <v>0</v>
      </c>
      <c r="AI251" s="48" t="s">
        <v>60</v>
      </c>
      <c r="AJ251" s="55">
        <f t="shared" si="286"/>
        <v>0</v>
      </c>
      <c r="AK251" s="55">
        <f t="shared" si="287"/>
        <v>0</v>
      </c>
      <c r="AL251" s="55">
        <f t="shared" si="288"/>
        <v>0</v>
      </c>
      <c r="AN251" s="29">
        <v>15</v>
      </c>
      <c r="AO251" s="29">
        <f t="shared" si="289"/>
        <v>0</v>
      </c>
      <c r="AP251" s="29">
        <f t="shared" si="290"/>
        <v>0</v>
      </c>
      <c r="AQ251" s="51" t="s">
        <v>83</v>
      </c>
      <c r="AV251" s="29">
        <f t="shared" si="291"/>
        <v>0</v>
      </c>
      <c r="AW251" s="29">
        <f t="shared" si="292"/>
        <v>0</v>
      </c>
      <c r="AX251" s="29">
        <f t="shared" si="293"/>
        <v>0</v>
      </c>
      <c r="AY251" s="54" t="s">
        <v>640</v>
      </c>
      <c r="AZ251" s="54" t="s">
        <v>1536</v>
      </c>
      <c r="BA251" s="48" t="s">
        <v>1542</v>
      </c>
      <c r="BC251" s="29">
        <f t="shared" si="294"/>
        <v>0</v>
      </c>
      <c r="BD251" s="29">
        <f t="shared" si="295"/>
        <v>0</v>
      </c>
      <c r="BE251" s="29">
        <v>0</v>
      </c>
      <c r="BF251" s="29">
        <f t="shared" si="296"/>
        <v>0</v>
      </c>
      <c r="BH251" s="55">
        <f t="shared" si="297"/>
        <v>0</v>
      </c>
      <c r="BI251" s="55">
        <f t="shared" si="298"/>
        <v>0</v>
      </c>
      <c r="BJ251" s="55">
        <f t="shared" si="299"/>
        <v>0</v>
      </c>
    </row>
    <row r="252" spans="1:62" ht="12.75">
      <c r="A252" s="36" t="s">
        <v>706</v>
      </c>
      <c r="B252" s="36" t="s">
        <v>60</v>
      </c>
      <c r="C252" s="36" t="s">
        <v>284</v>
      </c>
      <c r="D252" s="36" t="s">
        <v>477</v>
      </c>
      <c r="E252" s="36" t="s">
        <v>612</v>
      </c>
      <c r="F252" s="55">
        <f>'Stavební rozpočet'!F254</f>
        <v>527.56</v>
      </c>
      <c r="G252" s="55">
        <f>'Stavební rozpočet'!G254</f>
        <v>0</v>
      </c>
      <c r="H252" s="55">
        <f t="shared" si="274"/>
        <v>0</v>
      </c>
      <c r="I252" s="55">
        <f t="shared" si="275"/>
        <v>0</v>
      </c>
      <c r="J252" s="55">
        <f t="shared" si="276"/>
        <v>0</v>
      </c>
      <c r="K252" s="55">
        <f>'Stavební rozpočet'!K254</f>
        <v>0</v>
      </c>
      <c r="L252" s="55">
        <f t="shared" si="277"/>
        <v>0</v>
      </c>
      <c r="M252" s="51" t="s">
        <v>622</v>
      </c>
      <c r="Z252" s="29">
        <f t="shared" si="278"/>
        <v>0</v>
      </c>
      <c r="AB252" s="29">
        <f t="shared" si="279"/>
        <v>0</v>
      </c>
      <c r="AC252" s="29">
        <f t="shared" si="280"/>
        <v>0</v>
      </c>
      <c r="AD252" s="29">
        <f t="shared" si="281"/>
        <v>0</v>
      </c>
      <c r="AE252" s="29">
        <f t="shared" si="282"/>
        <v>0</v>
      </c>
      <c r="AF252" s="29">
        <f t="shared" si="283"/>
        <v>0</v>
      </c>
      <c r="AG252" s="29">
        <f t="shared" si="284"/>
        <v>0</v>
      </c>
      <c r="AH252" s="29">
        <f t="shared" si="285"/>
        <v>0</v>
      </c>
      <c r="AI252" s="48" t="s">
        <v>60</v>
      </c>
      <c r="AJ252" s="55">
        <f t="shared" si="286"/>
        <v>0</v>
      </c>
      <c r="AK252" s="55">
        <f t="shared" si="287"/>
        <v>0</v>
      </c>
      <c r="AL252" s="55">
        <f t="shared" si="288"/>
        <v>0</v>
      </c>
      <c r="AN252" s="29">
        <v>15</v>
      </c>
      <c r="AO252" s="29">
        <f t="shared" si="289"/>
        <v>0</v>
      </c>
      <c r="AP252" s="29">
        <f t="shared" si="290"/>
        <v>0</v>
      </c>
      <c r="AQ252" s="51" t="s">
        <v>83</v>
      </c>
      <c r="AV252" s="29">
        <f t="shared" si="291"/>
        <v>0</v>
      </c>
      <c r="AW252" s="29">
        <f t="shared" si="292"/>
        <v>0</v>
      </c>
      <c r="AX252" s="29">
        <f t="shared" si="293"/>
        <v>0</v>
      </c>
      <c r="AY252" s="54" t="s">
        <v>640</v>
      </c>
      <c r="AZ252" s="54" t="s">
        <v>1536</v>
      </c>
      <c r="BA252" s="48" t="s">
        <v>1542</v>
      </c>
      <c r="BC252" s="29">
        <f t="shared" si="294"/>
        <v>0</v>
      </c>
      <c r="BD252" s="29">
        <f t="shared" si="295"/>
        <v>0</v>
      </c>
      <c r="BE252" s="29">
        <v>0</v>
      </c>
      <c r="BF252" s="29">
        <f t="shared" si="296"/>
        <v>0</v>
      </c>
      <c r="BH252" s="55">
        <f t="shared" si="297"/>
        <v>0</v>
      </c>
      <c r="BI252" s="55">
        <f t="shared" si="298"/>
        <v>0</v>
      </c>
      <c r="BJ252" s="55">
        <f t="shared" si="299"/>
        <v>0</v>
      </c>
    </row>
    <row r="253" spans="1:62" ht="12.75">
      <c r="A253" s="36" t="s">
        <v>707</v>
      </c>
      <c r="B253" s="36" t="s">
        <v>60</v>
      </c>
      <c r="C253" s="36" t="s">
        <v>285</v>
      </c>
      <c r="D253" s="36" t="s">
        <v>478</v>
      </c>
      <c r="E253" s="36" t="s">
        <v>612</v>
      </c>
      <c r="F253" s="55">
        <f>'Stavební rozpočet'!F255</f>
        <v>131.89</v>
      </c>
      <c r="G253" s="55">
        <f>'Stavební rozpočet'!G255</f>
        <v>0</v>
      </c>
      <c r="H253" s="55">
        <f t="shared" si="274"/>
        <v>0</v>
      </c>
      <c r="I253" s="55">
        <f t="shared" si="275"/>
        <v>0</v>
      </c>
      <c r="J253" s="55">
        <f t="shared" si="276"/>
        <v>0</v>
      </c>
      <c r="K253" s="55">
        <f>'Stavební rozpočet'!K255</f>
        <v>0</v>
      </c>
      <c r="L253" s="55">
        <f t="shared" si="277"/>
        <v>0</v>
      </c>
      <c r="M253" s="51" t="s">
        <v>622</v>
      </c>
      <c r="Z253" s="29">
        <f t="shared" si="278"/>
        <v>0</v>
      </c>
      <c r="AB253" s="29">
        <f t="shared" si="279"/>
        <v>0</v>
      </c>
      <c r="AC253" s="29">
        <f t="shared" si="280"/>
        <v>0</v>
      </c>
      <c r="AD253" s="29">
        <f t="shared" si="281"/>
        <v>0</v>
      </c>
      <c r="AE253" s="29">
        <f t="shared" si="282"/>
        <v>0</v>
      </c>
      <c r="AF253" s="29">
        <f t="shared" si="283"/>
        <v>0</v>
      </c>
      <c r="AG253" s="29">
        <f t="shared" si="284"/>
        <v>0</v>
      </c>
      <c r="AH253" s="29">
        <f t="shared" si="285"/>
        <v>0</v>
      </c>
      <c r="AI253" s="48" t="s">
        <v>60</v>
      </c>
      <c r="AJ253" s="55">
        <f t="shared" si="286"/>
        <v>0</v>
      </c>
      <c r="AK253" s="55">
        <f t="shared" si="287"/>
        <v>0</v>
      </c>
      <c r="AL253" s="55">
        <f t="shared" si="288"/>
        <v>0</v>
      </c>
      <c r="AN253" s="29">
        <v>15</v>
      </c>
      <c r="AO253" s="29">
        <f t="shared" si="289"/>
        <v>0</v>
      </c>
      <c r="AP253" s="29">
        <f t="shared" si="290"/>
        <v>0</v>
      </c>
      <c r="AQ253" s="51" t="s">
        <v>83</v>
      </c>
      <c r="AV253" s="29">
        <f t="shared" si="291"/>
        <v>0</v>
      </c>
      <c r="AW253" s="29">
        <f t="shared" si="292"/>
        <v>0</v>
      </c>
      <c r="AX253" s="29">
        <f t="shared" si="293"/>
        <v>0</v>
      </c>
      <c r="AY253" s="54" t="s">
        <v>640</v>
      </c>
      <c r="AZ253" s="54" t="s">
        <v>1536</v>
      </c>
      <c r="BA253" s="48" t="s">
        <v>1542</v>
      </c>
      <c r="BC253" s="29">
        <f t="shared" si="294"/>
        <v>0</v>
      </c>
      <c r="BD253" s="29">
        <f t="shared" si="295"/>
        <v>0</v>
      </c>
      <c r="BE253" s="29">
        <v>0</v>
      </c>
      <c r="BF253" s="29">
        <f t="shared" si="296"/>
        <v>0</v>
      </c>
      <c r="BH253" s="55">
        <f t="shared" si="297"/>
        <v>0</v>
      </c>
      <c r="BI253" s="55">
        <f t="shared" si="298"/>
        <v>0</v>
      </c>
      <c r="BJ253" s="55">
        <f t="shared" si="299"/>
        <v>0</v>
      </c>
    </row>
    <row r="254" spans="1:62" ht="12.75">
      <c r="A254" s="36" t="s">
        <v>708</v>
      </c>
      <c r="B254" s="36" t="s">
        <v>60</v>
      </c>
      <c r="C254" s="36" t="s">
        <v>286</v>
      </c>
      <c r="D254" s="36" t="s">
        <v>479</v>
      </c>
      <c r="E254" s="36" t="s">
        <v>612</v>
      </c>
      <c r="F254" s="55">
        <f>'Stavební rozpočet'!F256</f>
        <v>131.89</v>
      </c>
      <c r="G254" s="55">
        <f>'Stavební rozpočet'!G256</f>
        <v>0</v>
      </c>
      <c r="H254" s="55">
        <f t="shared" si="274"/>
        <v>0</v>
      </c>
      <c r="I254" s="55">
        <f t="shared" si="275"/>
        <v>0</v>
      </c>
      <c r="J254" s="55">
        <f t="shared" si="276"/>
        <v>0</v>
      </c>
      <c r="K254" s="55">
        <f>'Stavební rozpočet'!K256</f>
        <v>0</v>
      </c>
      <c r="L254" s="55">
        <f t="shared" si="277"/>
        <v>0</v>
      </c>
      <c r="M254" s="51" t="s">
        <v>622</v>
      </c>
      <c r="Z254" s="29">
        <f t="shared" si="278"/>
        <v>0</v>
      </c>
      <c r="AB254" s="29">
        <f t="shared" si="279"/>
        <v>0</v>
      </c>
      <c r="AC254" s="29">
        <f t="shared" si="280"/>
        <v>0</v>
      </c>
      <c r="AD254" s="29">
        <f t="shared" si="281"/>
        <v>0</v>
      </c>
      <c r="AE254" s="29">
        <f t="shared" si="282"/>
        <v>0</v>
      </c>
      <c r="AF254" s="29">
        <f t="shared" si="283"/>
        <v>0</v>
      </c>
      <c r="AG254" s="29">
        <f t="shared" si="284"/>
        <v>0</v>
      </c>
      <c r="AH254" s="29">
        <f t="shared" si="285"/>
        <v>0</v>
      </c>
      <c r="AI254" s="48" t="s">
        <v>60</v>
      </c>
      <c r="AJ254" s="55">
        <f t="shared" si="286"/>
        <v>0</v>
      </c>
      <c r="AK254" s="55">
        <f t="shared" si="287"/>
        <v>0</v>
      </c>
      <c r="AL254" s="55">
        <f t="shared" si="288"/>
        <v>0</v>
      </c>
      <c r="AN254" s="29">
        <v>15</v>
      </c>
      <c r="AO254" s="29">
        <f t="shared" si="289"/>
        <v>0</v>
      </c>
      <c r="AP254" s="29">
        <f t="shared" si="290"/>
        <v>0</v>
      </c>
      <c r="AQ254" s="51" t="s">
        <v>83</v>
      </c>
      <c r="AV254" s="29">
        <f t="shared" si="291"/>
        <v>0</v>
      </c>
      <c r="AW254" s="29">
        <f t="shared" si="292"/>
        <v>0</v>
      </c>
      <c r="AX254" s="29">
        <f t="shared" si="293"/>
        <v>0</v>
      </c>
      <c r="AY254" s="54" t="s">
        <v>640</v>
      </c>
      <c r="AZ254" s="54" t="s">
        <v>1536</v>
      </c>
      <c r="BA254" s="48" t="s">
        <v>1542</v>
      </c>
      <c r="BC254" s="29">
        <f t="shared" si="294"/>
        <v>0</v>
      </c>
      <c r="BD254" s="29">
        <f t="shared" si="295"/>
        <v>0</v>
      </c>
      <c r="BE254" s="29">
        <v>0</v>
      </c>
      <c r="BF254" s="29">
        <f t="shared" si="296"/>
        <v>0</v>
      </c>
      <c r="BH254" s="55">
        <f t="shared" si="297"/>
        <v>0</v>
      </c>
      <c r="BI254" s="55">
        <f t="shared" si="298"/>
        <v>0</v>
      </c>
      <c r="BJ254" s="55">
        <f t="shared" si="299"/>
        <v>0</v>
      </c>
    </row>
    <row r="255" spans="1:47" ht="12.75">
      <c r="A255" s="35"/>
      <c r="B255" s="42" t="s">
        <v>60</v>
      </c>
      <c r="C255" s="42" t="s">
        <v>288</v>
      </c>
      <c r="D255" s="42" t="s">
        <v>481</v>
      </c>
      <c r="E255" s="35" t="s">
        <v>57</v>
      </c>
      <c r="F255" s="35" t="s">
        <v>57</v>
      </c>
      <c r="G255" s="35" t="s">
        <v>57</v>
      </c>
      <c r="H255" s="59">
        <f>SUM(H256:H256)</f>
        <v>0</v>
      </c>
      <c r="I255" s="59">
        <f>SUM(I256:I256)</f>
        <v>0</v>
      </c>
      <c r="J255" s="59">
        <f>SUM(J256:J256)</f>
        <v>0</v>
      </c>
      <c r="K255" s="48"/>
      <c r="L255" s="59">
        <f>SUM(L256:L256)</f>
        <v>0</v>
      </c>
      <c r="M255" s="48"/>
      <c r="AI255" s="48" t="s">
        <v>60</v>
      </c>
      <c r="AS255" s="59">
        <f>SUM(AJ256:AJ256)</f>
        <v>0</v>
      </c>
      <c r="AT255" s="59">
        <f>SUM(AK256:AK256)</f>
        <v>0</v>
      </c>
      <c r="AU255" s="59">
        <f>SUM(AL256:AL256)</f>
        <v>0</v>
      </c>
    </row>
    <row r="256" spans="1:62" ht="12.75">
      <c r="A256" s="36" t="s">
        <v>709</v>
      </c>
      <c r="B256" s="36" t="s">
        <v>60</v>
      </c>
      <c r="C256" s="36" t="s">
        <v>289</v>
      </c>
      <c r="D256" s="36" t="s">
        <v>482</v>
      </c>
      <c r="E256" s="36" t="s">
        <v>612</v>
      </c>
      <c r="F256" s="55">
        <f>'Stavební rozpočet'!F258</f>
        <v>204.49</v>
      </c>
      <c r="G256" s="55">
        <f>'Stavební rozpočet'!G258</f>
        <v>0</v>
      </c>
      <c r="H256" s="55">
        <f>F256*AO256</f>
        <v>0</v>
      </c>
      <c r="I256" s="55">
        <f>F256*AP256</f>
        <v>0</v>
      </c>
      <c r="J256" s="55">
        <f>F256*G256</f>
        <v>0</v>
      </c>
      <c r="K256" s="55">
        <f>'Stavební rozpočet'!K258</f>
        <v>0</v>
      </c>
      <c r="L256" s="55">
        <f>F256*K256</f>
        <v>0</v>
      </c>
      <c r="M256" s="51" t="s">
        <v>622</v>
      </c>
      <c r="Z256" s="29">
        <f>IF(AQ256="5",BJ256,0)</f>
        <v>0</v>
      </c>
      <c r="AB256" s="29">
        <f>IF(AQ256="1",BH256,0)</f>
        <v>0</v>
      </c>
      <c r="AC256" s="29">
        <f>IF(AQ256="1",BI256,0)</f>
        <v>0</v>
      </c>
      <c r="AD256" s="29">
        <f>IF(AQ256="7",BH256,0)</f>
        <v>0</v>
      </c>
      <c r="AE256" s="29">
        <f>IF(AQ256="7",BI256,0)</f>
        <v>0</v>
      </c>
      <c r="AF256" s="29">
        <f>IF(AQ256="2",BH256,0)</f>
        <v>0</v>
      </c>
      <c r="AG256" s="29">
        <f>IF(AQ256="2",BI256,0)</f>
        <v>0</v>
      </c>
      <c r="AH256" s="29">
        <f>IF(AQ256="0",BJ256,0)</f>
        <v>0</v>
      </c>
      <c r="AI256" s="48" t="s">
        <v>60</v>
      </c>
      <c r="AJ256" s="55">
        <f>IF(AN256=0,J256,0)</f>
        <v>0</v>
      </c>
      <c r="AK256" s="55">
        <f>IF(AN256=15,J256,0)</f>
        <v>0</v>
      </c>
      <c r="AL256" s="55">
        <f>IF(AN256=21,J256,0)</f>
        <v>0</v>
      </c>
      <c r="AN256" s="29">
        <v>15</v>
      </c>
      <c r="AO256" s="29">
        <f>G256*0</f>
        <v>0</v>
      </c>
      <c r="AP256" s="29">
        <f>G256*(1-0)</f>
        <v>0</v>
      </c>
      <c r="AQ256" s="51" t="s">
        <v>83</v>
      </c>
      <c r="AV256" s="29">
        <f>AW256+AX256</f>
        <v>0</v>
      </c>
      <c r="AW256" s="29">
        <f>F256*AO256</f>
        <v>0</v>
      </c>
      <c r="AX256" s="29">
        <f>F256*AP256</f>
        <v>0</v>
      </c>
      <c r="AY256" s="54" t="s">
        <v>641</v>
      </c>
      <c r="AZ256" s="54" t="s">
        <v>1536</v>
      </c>
      <c r="BA256" s="48" t="s">
        <v>1542</v>
      </c>
      <c r="BC256" s="29">
        <f>AW256+AX256</f>
        <v>0</v>
      </c>
      <c r="BD256" s="29">
        <f>G256/(100-BE256)*100</f>
        <v>0</v>
      </c>
      <c r="BE256" s="29">
        <v>0</v>
      </c>
      <c r="BF256" s="29">
        <f>L256</f>
        <v>0</v>
      </c>
      <c r="BH256" s="55">
        <f>F256*AO256</f>
        <v>0</v>
      </c>
      <c r="BI256" s="55">
        <f>F256*AP256</f>
        <v>0</v>
      </c>
      <c r="BJ256" s="55">
        <f>F256*G256</f>
        <v>0</v>
      </c>
    </row>
    <row r="257" spans="1:47" ht="12.75">
      <c r="A257" s="35"/>
      <c r="B257" s="42" t="s">
        <v>60</v>
      </c>
      <c r="C257" s="42" t="s">
        <v>290</v>
      </c>
      <c r="D257" s="42" t="s">
        <v>483</v>
      </c>
      <c r="E257" s="35" t="s">
        <v>57</v>
      </c>
      <c r="F257" s="35" t="s">
        <v>57</v>
      </c>
      <c r="G257" s="35" t="s">
        <v>57</v>
      </c>
      <c r="H257" s="59">
        <f>SUM(H258:H316)</f>
        <v>0</v>
      </c>
      <c r="I257" s="59">
        <f>SUM(I258:I316)</f>
        <v>0</v>
      </c>
      <c r="J257" s="59">
        <f>SUM(J258:J316)</f>
        <v>0</v>
      </c>
      <c r="K257" s="48"/>
      <c r="L257" s="59">
        <f>SUM(L258:L316)</f>
        <v>0</v>
      </c>
      <c r="M257" s="48"/>
      <c r="AI257" s="48" t="s">
        <v>60</v>
      </c>
      <c r="AS257" s="59">
        <f>SUM(AJ258:AJ316)</f>
        <v>0</v>
      </c>
      <c r="AT257" s="59">
        <f>SUM(AK258:AK316)</f>
        <v>0</v>
      </c>
      <c r="AU257" s="59">
        <f>SUM(AL258:AL316)</f>
        <v>0</v>
      </c>
    </row>
    <row r="258" spans="1:62" ht="12.75">
      <c r="A258" s="36" t="s">
        <v>710</v>
      </c>
      <c r="B258" s="36" t="s">
        <v>60</v>
      </c>
      <c r="C258" s="36" t="s">
        <v>291</v>
      </c>
      <c r="D258" s="36" t="s">
        <v>1248</v>
      </c>
      <c r="E258" s="36" t="s">
        <v>609</v>
      </c>
      <c r="F258" s="55">
        <f>'Stavební rozpočet'!F260</f>
        <v>87.8</v>
      </c>
      <c r="G258" s="55">
        <f>'Stavební rozpočet'!G260</f>
        <v>0</v>
      </c>
      <c r="H258" s="55">
        <f aca="true" t="shared" si="300" ref="H258:H289">F258*AO258</f>
        <v>0</v>
      </c>
      <c r="I258" s="55">
        <f aca="true" t="shared" si="301" ref="I258:I289">F258*AP258</f>
        <v>0</v>
      </c>
      <c r="J258" s="55">
        <f aca="true" t="shared" si="302" ref="J258:J289">F258*G258</f>
        <v>0</v>
      </c>
      <c r="K258" s="55">
        <f>'Stavební rozpočet'!K260</f>
        <v>0</v>
      </c>
      <c r="L258" s="55">
        <f aca="true" t="shared" si="303" ref="L258:L289">F258*K258</f>
        <v>0</v>
      </c>
      <c r="M258" s="51" t="s">
        <v>622</v>
      </c>
      <c r="Z258" s="29">
        <f aca="true" t="shared" si="304" ref="Z258:Z289">IF(AQ258="5",BJ258,0)</f>
        <v>0</v>
      </c>
      <c r="AB258" s="29">
        <f aca="true" t="shared" si="305" ref="AB258:AB289">IF(AQ258="1",BH258,0)</f>
        <v>0</v>
      </c>
      <c r="AC258" s="29">
        <f aca="true" t="shared" si="306" ref="AC258:AC289">IF(AQ258="1",BI258,0)</f>
        <v>0</v>
      </c>
      <c r="AD258" s="29">
        <f aca="true" t="shared" si="307" ref="AD258:AD289">IF(AQ258="7",BH258,0)</f>
        <v>0</v>
      </c>
      <c r="AE258" s="29">
        <f aca="true" t="shared" si="308" ref="AE258:AE289">IF(AQ258="7",BI258,0)</f>
        <v>0</v>
      </c>
      <c r="AF258" s="29">
        <f aca="true" t="shared" si="309" ref="AF258:AF289">IF(AQ258="2",BH258,0)</f>
        <v>0</v>
      </c>
      <c r="AG258" s="29">
        <f aca="true" t="shared" si="310" ref="AG258:AG289">IF(AQ258="2",BI258,0)</f>
        <v>0</v>
      </c>
      <c r="AH258" s="29">
        <f aca="true" t="shared" si="311" ref="AH258:AH289">IF(AQ258="0",BJ258,0)</f>
        <v>0</v>
      </c>
      <c r="AI258" s="48" t="s">
        <v>60</v>
      </c>
      <c r="AJ258" s="55">
        <f aca="true" t="shared" si="312" ref="AJ258:AJ289">IF(AN258=0,J258,0)</f>
        <v>0</v>
      </c>
      <c r="AK258" s="55">
        <f aca="true" t="shared" si="313" ref="AK258:AK289">IF(AN258=15,J258,0)</f>
        <v>0</v>
      </c>
      <c r="AL258" s="55">
        <f aca="true" t="shared" si="314" ref="AL258:AL289">IF(AN258=21,J258,0)</f>
        <v>0</v>
      </c>
      <c r="AN258" s="29">
        <v>15</v>
      </c>
      <c r="AO258" s="29">
        <f aca="true" t="shared" si="315" ref="AO258:AO289">G258*0</f>
        <v>0</v>
      </c>
      <c r="AP258" s="29">
        <f aca="true" t="shared" si="316" ref="AP258:AP289">G258*(1-0)</f>
        <v>0</v>
      </c>
      <c r="AQ258" s="51" t="s">
        <v>85</v>
      </c>
      <c r="AV258" s="29">
        <f aca="true" t="shared" si="317" ref="AV258:AV289">AW258+AX258</f>
        <v>0</v>
      </c>
      <c r="AW258" s="29">
        <f aca="true" t="shared" si="318" ref="AW258:AW289">F258*AO258</f>
        <v>0</v>
      </c>
      <c r="AX258" s="29">
        <f aca="true" t="shared" si="319" ref="AX258:AX289">F258*AP258</f>
        <v>0</v>
      </c>
      <c r="AY258" s="54" t="s">
        <v>642</v>
      </c>
      <c r="AZ258" s="54" t="s">
        <v>1537</v>
      </c>
      <c r="BA258" s="48" t="s">
        <v>1542</v>
      </c>
      <c r="BC258" s="29">
        <f aca="true" t="shared" si="320" ref="BC258:BC289">AW258+AX258</f>
        <v>0</v>
      </c>
      <c r="BD258" s="29">
        <f aca="true" t="shared" si="321" ref="BD258:BD289">G258/(100-BE258)*100</f>
        <v>0</v>
      </c>
      <c r="BE258" s="29">
        <v>0</v>
      </c>
      <c r="BF258" s="29">
        <f aca="true" t="shared" si="322" ref="BF258:BF289">L258</f>
        <v>0</v>
      </c>
      <c r="BH258" s="55">
        <f aca="true" t="shared" si="323" ref="BH258:BH289">F258*AO258</f>
        <v>0</v>
      </c>
      <c r="BI258" s="55">
        <f aca="true" t="shared" si="324" ref="BI258:BI289">F258*AP258</f>
        <v>0</v>
      </c>
      <c r="BJ258" s="55">
        <f aca="true" t="shared" si="325" ref="BJ258:BJ289">F258*G258</f>
        <v>0</v>
      </c>
    </row>
    <row r="259" spans="1:62" ht="12.75">
      <c r="A259" s="36" t="s">
        <v>711</v>
      </c>
      <c r="B259" s="36" t="s">
        <v>60</v>
      </c>
      <c r="C259" s="36" t="s">
        <v>292</v>
      </c>
      <c r="D259" s="36" t="s">
        <v>1249</v>
      </c>
      <c r="E259" s="36" t="s">
        <v>609</v>
      </c>
      <c r="F259" s="55">
        <f>'Stavební rozpočet'!F261</f>
        <v>43.5</v>
      </c>
      <c r="G259" s="55">
        <f>'Stavební rozpočet'!G261</f>
        <v>0</v>
      </c>
      <c r="H259" s="55">
        <f t="shared" si="300"/>
        <v>0</v>
      </c>
      <c r="I259" s="55">
        <f t="shared" si="301"/>
        <v>0</v>
      </c>
      <c r="J259" s="55">
        <f t="shared" si="302"/>
        <v>0</v>
      </c>
      <c r="K259" s="55">
        <f>'Stavební rozpočet'!K261</f>
        <v>0</v>
      </c>
      <c r="L259" s="55">
        <f t="shared" si="303"/>
        <v>0</v>
      </c>
      <c r="M259" s="51" t="s">
        <v>622</v>
      </c>
      <c r="Z259" s="29">
        <f t="shared" si="304"/>
        <v>0</v>
      </c>
      <c r="AB259" s="29">
        <f t="shared" si="305"/>
        <v>0</v>
      </c>
      <c r="AC259" s="29">
        <f t="shared" si="306"/>
        <v>0</v>
      </c>
      <c r="AD259" s="29">
        <f t="shared" si="307"/>
        <v>0</v>
      </c>
      <c r="AE259" s="29">
        <f t="shared" si="308"/>
        <v>0</v>
      </c>
      <c r="AF259" s="29">
        <f t="shared" si="309"/>
        <v>0</v>
      </c>
      <c r="AG259" s="29">
        <f t="shared" si="310"/>
        <v>0</v>
      </c>
      <c r="AH259" s="29">
        <f t="shared" si="311"/>
        <v>0</v>
      </c>
      <c r="AI259" s="48" t="s">
        <v>60</v>
      </c>
      <c r="AJ259" s="55">
        <f t="shared" si="312"/>
        <v>0</v>
      </c>
      <c r="AK259" s="55">
        <f t="shared" si="313"/>
        <v>0</v>
      </c>
      <c r="AL259" s="55">
        <f t="shared" si="314"/>
        <v>0</v>
      </c>
      <c r="AN259" s="29">
        <v>15</v>
      </c>
      <c r="AO259" s="29">
        <f t="shared" si="315"/>
        <v>0</v>
      </c>
      <c r="AP259" s="29">
        <f t="shared" si="316"/>
        <v>0</v>
      </c>
      <c r="AQ259" s="51" t="s">
        <v>85</v>
      </c>
      <c r="AV259" s="29">
        <f t="shared" si="317"/>
        <v>0</v>
      </c>
      <c r="AW259" s="29">
        <f t="shared" si="318"/>
        <v>0</v>
      </c>
      <c r="AX259" s="29">
        <f t="shared" si="319"/>
        <v>0</v>
      </c>
      <c r="AY259" s="54" t="s">
        <v>642</v>
      </c>
      <c r="AZ259" s="54" t="s">
        <v>1537</v>
      </c>
      <c r="BA259" s="48" t="s">
        <v>1542</v>
      </c>
      <c r="BC259" s="29">
        <f t="shared" si="320"/>
        <v>0</v>
      </c>
      <c r="BD259" s="29">
        <f t="shared" si="321"/>
        <v>0</v>
      </c>
      <c r="BE259" s="29">
        <v>0</v>
      </c>
      <c r="BF259" s="29">
        <f t="shared" si="322"/>
        <v>0</v>
      </c>
      <c r="BH259" s="55">
        <f t="shared" si="323"/>
        <v>0</v>
      </c>
      <c r="BI259" s="55">
        <f t="shared" si="324"/>
        <v>0</v>
      </c>
      <c r="BJ259" s="55">
        <f t="shared" si="325"/>
        <v>0</v>
      </c>
    </row>
    <row r="260" spans="1:62" ht="12.75">
      <c r="A260" s="36" t="s">
        <v>712</v>
      </c>
      <c r="B260" s="36" t="s">
        <v>60</v>
      </c>
      <c r="C260" s="36" t="s">
        <v>293</v>
      </c>
      <c r="D260" s="36" t="s">
        <v>1250</v>
      </c>
      <c r="E260" s="36" t="s">
        <v>609</v>
      </c>
      <c r="F260" s="55">
        <f>'Stavební rozpočet'!F262</f>
        <v>5.2</v>
      </c>
      <c r="G260" s="55">
        <f>'Stavební rozpočet'!G262</f>
        <v>0</v>
      </c>
      <c r="H260" s="55">
        <f t="shared" si="300"/>
        <v>0</v>
      </c>
      <c r="I260" s="55">
        <f t="shared" si="301"/>
        <v>0</v>
      </c>
      <c r="J260" s="55">
        <f t="shared" si="302"/>
        <v>0</v>
      </c>
      <c r="K260" s="55">
        <f>'Stavební rozpočet'!K262</f>
        <v>0</v>
      </c>
      <c r="L260" s="55">
        <f t="shared" si="303"/>
        <v>0</v>
      </c>
      <c r="M260" s="51" t="s">
        <v>622</v>
      </c>
      <c r="Z260" s="29">
        <f t="shared" si="304"/>
        <v>0</v>
      </c>
      <c r="AB260" s="29">
        <f t="shared" si="305"/>
        <v>0</v>
      </c>
      <c r="AC260" s="29">
        <f t="shared" si="306"/>
        <v>0</v>
      </c>
      <c r="AD260" s="29">
        <f t="shared" si="307"/>
        <v>0</v>
      </c>
      <c r="AE260" s="29">
        <f t="shared" si="308"/>
        <v>0</v>
      </c>
      <c r="AF260" s="29">
        <f t="shared" si="309"/>
        <v>0</v>
      </c>
      <c r="AG260" s="29">
        <f t="shared" si="310"/>
        <v>0</v>
      </c>
      <c r="AH260" s="29">
        <f t="shared" si="311"/>
        <v>0</v>
      </c>
      <c r="AI260" s="48" t="s">
        <v>60</v>
      </c>
      <c r="AJ260" s="55">
        <f t="shared" si="312"/>
        <v>0</v>
      </c>
      <c r="AK260" s="55">
        <f t="shared" si="313"/>
        <v>0</v>
      </c>
      <c r="AL260" s="55">
        <f t="shared" si="314"/>
        <v>0</v>
      </c>
      <c r="AN260" s="29">
        <v>15</v>
      </c>
      <c r="AO260" s="29">
        <f t="shared" si="315"/>
        <v>0</v>
      </c>
      <c r="AP260" s="29">
        <f t="shared" si="316"/>
        <v>0</v>
      </c>
      <c r="AQ260" s="51" t="s">
        <v>85</v>
      </c>
      <c r="AV260" s="29">
        <f t="shared" si="317"/>
        <v>0</v>
      </c>
      <c r="AW260" s="29">
        <f t="shared" si="318"/>
        <v>0</v>
      </c>
      <c r="AX260" s="29">
        <f t="shared" si="319"/>
        <v>0</v>
      </c>
      <c r="AY260" s="54" t="s">
        <v>642</v>
      </c>
      <c r="AZ260" s="54" t="s">
        <v>1537</v>
      </c>
      <c r="BA260" s="48" t="s">
        <v>1542</v>
      </c>
      <c r="BC260" s="29">
        <f t="shared" si="320"/>
        <v>0</v>
      </c>
      <c r="BD260" s="29">
        <f t="shared" si="321"/>
        <v>0</v>
      </c>
      <c r="BE260" s="29">
        <v>0</v>
      </c>
      <c r="BF260" s="29">
        <f t="shared" si="322"/>
        <v>0</v>
      </c>
      <c r="BH260" s="55">
        <f t="shared" si="323"/>
        <v>0</v>
      </c>
      <c r="BI260" s="55">
        <f t="shared" si="324"/>
        <v>0</v>
      </c>
      <c r="BJ260" s="55">
        <f t="shared" si="325"/>
        <v>0</v>
      </c>
    </row>
    <row r="261" spans="1:62" ht="12.75">
      <c r="A261" s="36" t="s">
        <v>713</v>
      </c>
      <c r="B261" s="36" t="s">
        <v>60</v>
      </c>
      <c r="C261" s="36" t="s">
        <v>958</v>
      </c>
      <c r="D261" s="36" t="s">
        <v>1251</v>
      </c>
      <c r="E261" s="36" t="s">
        <v>609</v>
      </c>
      <c r="F261" s="55">
        <f>'Stavební rozpočet'!F263</f>
        <v>25.7</v>
      </c>
      <c r="G261" s="55">
        <f>'Stavební rozpočet'!G263</f>
        <v>0</v>
      </c>
      <c r="H261" s="55">
        <f t="shared" si="300"/>
        <v>0</v>
      </c>
      <c r="I261" s="55">
        <f t="shared" si="301"/>
        <v>0</v>
      </c>
      <c r="J261" s="55">
        <f t="shared" si="302"/>
        <v>0</v>
      </c>
      <c r="K261" s="55">
        <f>'Stavební rozpočet'!K263</f>
        <v>0</v>
      </c>
      <c r="L261" s="55">
        <f t="shared" si="303"/>
        <v>0</v>
      </c>
      <c r="M261" s="51" t="s">
        <v>622</v>
      </c>
      <c r="Z261" s="29">
        <f t="shared" si="304"/>
        <v>0</v>
      </c>
      <c r="AB261" s="29">
        <f t="shared" si="305"/>
        <v>0</v>
      </c>
      <c r="AC261" s="29">
        <f t="shared" si="306"/>
        <v>0</v>
      </c>
      <c r="AD261" s="29">
        <f t="shared" si="307"/>
        <v>0</v>
      </c>
      <c r="AE261" s="29">
        <f t="shared" si="308"/>
        <v>0</v>
      </c>
      <c r="AF261" s="29">
        <f t="shared" si="309"/>
        <v>0</v>
      </c>
      <c r="AG261" s="29">
        <f t="shared" si="310"/>
        <v>0</v>
      </c>
      <c r="AH261" s="29">
        <f t="shared" si="311"/>
        <v>0</v>
      </c>
      <c r="AI261" s="48" t="s">
        <v>60</v>
      </c>
      <c r="AJ261" s="55">
        <f t="shared" si="312"/>
        <v>0</v>
      </c>
      <c r="AK261" s="55">
        <f t="shared" si="313"/>
        <v>0</v>
      </c>
      <c r="AL261" s="55">
        <f t="shared" si="314"/>
        <v>0</v>
      </c>
      <c r="AN261" s="29">
        <v>15</v>
      </c>
      <c r="AO261" s="29">
        <f t="shared" si="315"/>
        <v>0</v>
      </c>
      <c r="AP261" s="29">
        <f t="shared" si="316"/>
        <v>0</v>
      </c>
      <c r="AQ261" s="51" t="s">
        <v>85</v>
      </c>
      <c r="AV261" s="29">
        <f t="shared" si="317"/>
        <v>0</v>
      </c>
      <c r="AW261" s="29">
        <f t="shared" si="318"/>
        <v>0</v>
      </c>
      <c r="AX261" s="29">
        <f t="shared" si="319"/>
        <v>0</v>
      </c>
      <c r="AY261" s="54" t="s">
        <v>642</v>
      </c>
      <c r="AZ261" s="54" t="s">
        <v>1537</v>
      </c>
      <c r="BA261" s="48" t="s">
        <v>1542</v>
      </c>
      <c r="BC261" s="29">
        <f t="shared" si="320"/>
        <v>0</v>
      </c>
      <c r="BD261" s="29">
        <f t="shared" si="321"/>
        <v>0</v>
      </c>
      <c r="BE261" s="29">
        <v>0</v>
      </c>
      <c r="BF261" s="29">
        <f t="shared" si="322"/>
        <v>0</v>
      </c>
      <c r="BH261" s="55">
        <f t="shared" si="323"/>
        <v>0</v>
      </c>
      <c r="BI261" s="55">
        <f t="shared" si="324"/>
        <v>0</v>
      </c>
      <c r="BJ261" s="55">
        <f t="shared" si="325"/>
        <v>0</v>
      </c>
    </row>
    <row r="262" spans="1:62" ht="12.75">
      <c r="A262" s="36" t="s">
        <v>714</v>
      </c>
      <c r="B262" s="36" t="s">
        <v>60</v>
      </c>
      <c r="C262" s="36" t="s">
        <v>959</v>
      </c>
      <c r="D262" s="36" t="s">
        <v>1252</v>
      </c>
      <c r="E262" s="36" t="s">
        <v>609</v>
      </c>
      <c r="F262" s="55">
        <f>'Stavební rozpočet'!F264</f>
        <v>30.7</v>
      </c>
      <c r="G262" s="55">
        <f>'Stavební rozpočet'!G264</f>
        <v>0</v>
      </c>
      <c r="H262" s="55">
        <f t="shared" si="300"/>
        <v>0</v>
      </c>
      <c r="I262" s="55">
        <f t="shared" si="301"/>
        <v>0</v>
      </c>
      <c r="J262" s="55">
        <f t="shared" si="302"/>
        <v>0</v>
      </c>
      <c r="K262" s="55">
        <f>'Stavební rozpočet'!K264</f>
        <v>0</v>
      </c>
      <c r="L262" s="55">
        <f t="shared" si="303"/>
        <v>0</v>
      </c>
      <c r="M262" s="51" t="s">
        <v>622</v>
      </c>
      <c r="Z262" s="29">
        <f t="shared" si="304"/>
        <v>0</v>
      </c>
      <c r="AB262" s="29">
        <f t="shared" si="305"/>
        <v>0</v>
      </c>
      <c r="AC262" s="29">
        <f t="shared" si="306"/>
        <v>0</v>
      </c>
      <c r="AD262" s="29">
        <f t="shared" si="307"/>
        <v>0</v>
      </c>
      <c r="AE262" s="29">
        <f t="shared" si="308"/>
        <v>0</v>
      </c>
      <c r="AF262" s="29">
        <f t="shared" si="309"/>
        <v>0</v>
      </c>
      <c r="AG262" s="29">
        <f t="shared" si="310"/>
        <v>0</v>
      </c>
      <c r="AH262" s="29">
        <f t="shared" si="311"/>
        <v>0</v>
      </c>
      <c r="AI262" s="48" t="s">
        <v>60</v>
      </c>
      <c r="AJ262" s="55">
        <f t="shared" si="312"/>
        <v>0</v>
      </c>
      <c r="AK262" s="55">
        <f t="shared" si="313"/>
        <v>0</v>
      </c>
      <c r="AL262" s="55">
        <f t="shared" si="314"/>
        <v>0</v>
      </c>
      <c r="AN262" s="29">
        <v>15</v>
      </c>
      <c r="AO262" s="29">
        <f t="shared" si="315"/>
        <v>0</v>
      </c>
      <c r="AP262" s="29">
        <f t="shared" si="316"/>
        <v>0</v>
      </c>
      <c r="AQ262" s="51" t="s">
        <v>85</v>
      </c>
      <c r="AV262" s="29">
        <f t="shared" si="317"/>
        <v>0</v>
      </c>
      <c r="AW262" s="29">
        <f t="shared" si="318"/>
        <v>0</v>
      </c>
      <c r="AX262" s="29">
        <f t="shared" si="319"/>
        <v>0</v>
      </c>
      <c r="AY262" s="54" t="s">
        <v>642</v>
      </c>
      <c r="AZ262" s="54" t="s">
        <v>1537</v>
      </c>
      <c r="BA262" s="48" t="s">
        <v>1542</v>
      </c>
      <c r="BC262" s="29">
        <f t="shared" si="320"/>
        <v>0</v>
      </c>
      <c r="BD262" s="29">
        <f t="shared" si="321"/>
        <v>0</v>
      </c>
      <c r="BE262" s="29">
        <v>0</v>
      </c>
      <c r="BF262" s="29">
        <f t="shared" si="322"/>
        <v>0</v>
      </c>
      <c r="BH262" s="55">
        <f t="shared" si="323"/>
        <v>0</v>
      </c>
      <c r="BI262" s="55">
        <f t="shared" si="324"/>
        <v>0</v>
      </c>
      <c r="BJ262" s="55">
        <f t="shared" si="325"/>
        <v>0</v>
      </c>
    </row>
    <row r="263" spans="1:62" ht="12.75">
      <c r="A263" s="36" t="s">
        <v>715</v>
      </c>
      <c r="B263" s="36" t="s">
        <v>60</v>
      </c>
      <c r="C263" s="36" t="s">
        <v>960</v>
      </c>
      <c r="D263" s="36" t="s">
        <v>1253</v>
      </c>
      <c r="E263" s="36" t="s">
        <v>609</v>
      </c>
      <c r="F263" s="55">
        <f>'Stavební rozpočet'!F265</f>
        <v>15.3</v>
      </c>
      <c r="G263" s="55">
        <f>'Stavební rozpočet'!G265</f>
        <v>0</v>
      </c>
      <c r="H263" s="55">
        <f t="shared" si="300"/>
        <v>0</v>
      </c>
      <c r="I263" s="55">
        <f t="shared" si="301"/>
        <v>0</v>
      </c>
      <c r="J263" s="55">
        <f t="shared" si="302"/>
        <v>0</v>
      </c>
      <c r="K263" s="55">
        <f>'Stavební rozpočet'!K265</f>
        <v>0</v>
      </c>
      <c r="L263" s="55">
        <f t="shared" si="303"/>
        <v>0</v>
      </c>
      <c r="M263" s="51" t="s">
        <v>622</v>
      </c>
      <c r="Z263" s="29">
        <f t="shared" si="304"/>
        <v>0</v>
      </c>
      <c r="AB263" s="29">
        <f t="shared" si="305"/>
        <v>0</v>
      </c>
      <c r="AC263" s="29">
        <f t="shared" si="306"/>
        <v>0</v>
      </c>
      <c r="AD263" s="29">
        <f t="shared" si="307"/>
        <v>0</v>
      </c>
      <c r="AE263" s="29">
        <f t="shared" si="308"/>
        <v>0</v>
      </c>
      <c r="AF263" s="29">
        <f t="shared" si="309"/>
        <v>0</v>
      </c>
      <c r="AG263" s="29">
        <f t="shared" si="310"/>
        <v>0</v>
      </c>
      <c r="AH263" s="29">
        <f t="shared" si="311"/>
        <v>0</v>
      </c>
      <c r="AI263" s="48" t="s">
        <v>60</v>
      </c>
      <c r="AJ263" s="55">
        <f t="shared" si="312"/>
        <v>0</v>
      </c>
      <c r="AK263" s="55">
        <f t="shared" si="313"/>
        <v>0</v>
      </c>
      <c r="AL263" s="55">
        <f t="shared" si="314"/>
        <v>0</v>
      </c>
      <c r="AN263" s="29">
        <v>15</v>
      </c>
      <c r="AO263" s="29">
        <f t="shared" si="315"/>
        <v>0</v>
      </c>
      <c r="AP263" s="29">
        <f t="shared" si="316"/>
        <v>0</v>
      </c>
      <c r="AQ263" s="51" t="s">
        <v>85</v>
      </c>
      <c r="AV263" s="29">
        <f t="shared" si="317"/>
        <v>0</v>
      </c>
      <c r="AW263" s="29">
        <f t="shared" si="318"/>
        <v>0</v>
      </c>
      <c r="AX263" s="29">
        <f t="shared" si="319"/>
        <v>0</v>
      </c>
      <c r="AY263" s="54" t="s">
        <v>642</v>
      </c>
      <c r="AZ263" s="54" t="s">
        <v>1537</v>
      </c>
      <c r="BA263" s="48" t="s">
        <v>1542</v>
      </c>
      <c r="BC263" s="29">
        <f t="shared" si="320"/>
        <v>0</v>
      </c>
      <c r="BD263" s="29">
        <f t="shared" si="321"/>
        <v>0</v>
      </c>
      <c r="BE263" s="29">
        <v>0</v>
      </c>
      <c r="BF263" s="29">
        <f t="shared" si="322"/>
        <v>0</v>
      </c>
      <c r="BH263" s="55">
        <f t="shared" si="323"/>
        <v>0</v>
      </c>
      <c r="BI263" s="55">
        <f t="shared" si="324"/>
        <v>0</v>
      </c>
      <c r="BJ263" s="55">
        <f t="shared" si="325"/>
        <v>0</v>
      </c>
    </row>
    <row r="264" spans="1:62" ht="12.75">
      <c r="A264" s="36" t="s">
        <v>716</v>
      </c>
      <c r="B264" s="36" t="s">
        <v>60</v>
      </c>
      <c r="C264" s="36" t="s">
        <v>294</v>
      </c>
      <c r="D264" s="36" t="s">
        <v>1254</v>
      </c>
      <c r="E264" s="36" t="s">
        <v>609</v>
      </c>
      <c r="F264" s="55">
        <f>'Stavební rozpočet'!F266</f>
        <v>13.4</v>
      </c>
      <c r="G264" s="55">
        <f>'Stavební rozpočet'!G266</f>
        <v>0</v>
      </c>
      <c r="H264" s="55">
        <f t="shared" si="300"/>
        <v>0</v>
      </c>
      <c r="I264" s="55">
        <f t="shared" si="301"/>
        <v>0</v>
      </c>
      <c r="J264" s="55">
        <f t="shared" si="302"/>
        <v>0</v>
      </c>
      <c r="K264" s="55">
        <f>'Stavební rozpočet'!K266</f>
        <v>0</v>
      </c>
      <c r="L264" s="55">
        <f t="shared" si="303"/>
        <v>0</v>
      </c>
      <c r="M264" s="51" t="s">
        <v>622</v>
      </c>
      <c r="Z264" s="29">
        <f t="shared" si="304"/>
        <v>0</v>
      </c>
      <c r="AB264" s="29">
        <f t="shared" si="305"/>
        <v>0</v>
      </c>
      <c r="AC264" s="29">
        <f t="shared" si="306"/>
        <v>0</v>
      </c>
      <c r="AD264" s="29">
        <f t="shared" si="307"/>
        <v>0</v>
      </c>
      <c r="AE264" s="29">
        <f t="shared" si="308"/>
        <v>0</v>
      </c>
      <c r="AF264" s="29">
        <f t="shared" si="309"/>
        <v>0</v>
      </c>
      <c r="AG264" s="29">
        <f t="shared" si="310"/>
        <v>0</v>
      </c>
      <c r="AH264" s="29">
        <f t="shared" si="311"/>
        <v>0</v>
      </c>
      <c r="AI264" s="48" t="s">
        <v>60</v>
      </c>
      <c r="AJ264" s="55">
        <f t="shared" si="312"/>
        <v>0</v>
      </c>
      <c r="AK264" s="55">
        <f t="shared" si="313"/>
        <v>0</v>
      </c>
      <c r="AL264" s="55">
        <f t="shared" si="314"/>
        <v>0</v>
      </c>
      <c r="AN264" s="29">
        <v>15</v>
      </c>
      <c r="AO264" s="29">
        <f t="shared" si="315"/>
        <v>0</v>
      </c>
      <c r="AP264" s="29">
        <f t="shared" si="316"/>
        <v>0</v>
      </c>
      <c r="AQ264" s="51" t="s">
        <v>85</v>
      </c>
      <c r="AV264" s="29">
        <f t="shared" si="317"/>
        <v>0</v>
      </c>
      <c r="AW264" s="29">
        <f t="shared" si="318"/>
        <v>0</v>
      </c>
      <c r="AX264" s="29">
        <f t="shared" si="319"/>
        <v>0</v>
      </c>
      <c r="AY264" s="54" t="s">
        <v>642</v>
      </c>
      <c r="AZ264" s="54" t="s">
        <v>1537</v>
      </c>
      <c r="BA264" s="48" t="s">
        <v>1542</v>
      </c>
      <c r="BC264" s="29">
        <f t="shared" si="320"/>
        <v>0</v>
      </c>
      <c r="BD264" s="29">
        <f t="shared" si="321"/>
        <v>0</v>
      </c>
      <c r="BE264" s="29">
        <v>0</v>
      </c>
      <c r="BF264" s="29">
        <f t="shared" si="322"/>
        <v>0</v>
      </c>
      <c r="BH264" s="55">
        <f t="shared" si="323"/>
        <v>0</v>
      </c>
      <c r="BI264" s="55">
        <f t="shared" si="324"/>
        <v>0</v>
      </c>
      <c r="BJ264" s="55">
        <f t="shared" si="325"/>
        <v>0</v>
      </c>
    </row>
    <row r="265" spans="1:62" ht="12.75">
      <c r="A265" s="36" t="s">
        <v>717</v>
      </c>
      <c r="B265" s="36" t="s">
        <v>60</v>
      </c>
      <c r="C265" s="36" t="s">
        <v>295</v>
      </c>
      <c r="D265" s="36" t="s">
        <v>1255</v>
      </c>
      <c r="E265" s="36" t="s">
        <v>609</v>
      </c>
      <c r="F265" s="55">
        <f>'Stavební rozpočet'!F267</f>
        <v>13.2</v>
      </c>
      <c r="G265" s="55">
        <f>'Stavební rozpočet'!G267</f>
        <v>0</v>
      </c>
      <c r="H265" s="55">
        <f t="shared" si="300"/>
        <v>0</v>
      </c>
      <c r="I265" s="55">
        <f t="shared" si="301"/>
        <v>0</v>
      </c>
      <c r="J265" s="55">
        <f t="shared" si="302"/>
        <v>0</v>
      </c>
      <c r="K265" s="55">
        <f>'Stavební rozpočet'!K267</f>
        <v>0</v>
      </c>
      <c r="L265" s="55">
        <f t="shared" si="303"/>
        <v>0</v>
      </c>
      <c r="M265" s="51" t="s">
        <v>622</v>
      </c>
      <c r="Z265" s="29">
        <f t="shared" si="304"/>
        <v>0</v>
      </c>
      <c r="AB265" s="29">
        <f t="shared" si="305"/>
        <v>0</v>
      </c>
      <c r="AC265" s="29">
        <f t="shared" si="306"/>
        <v>0</v>
      </c>
      <c r="AD265" s="29">
        <f t="shared" si="307"/>
        <v>0</v>
      </c>
      <c r="AE265" s="29">
        <f t="shared" si="308"/>
        <v>0</v>
      </c>
      <c r="AF265" s="29">
        <f t="shared" si="309"/>
        <v>0</v>
      </c>
      <c r="AG265" s="29">
        <f t="shared" si="310"/>
        <v>0</v>
      </c>
      <c r="AH265" s="29">
        <f t="shared" si="311"/>
        <v>0</v>
      </c>
      <c r="AI265" s="48" t="s">
        <v>60</v>
      </c>
      <c r="AJ265" s="55">
        <f t="shared" si="312"/>
        <v>0</v>
      </c>
      <c r="AK265" s="55">
        <f t="shared" si="313"/>
        <v>0</v>
      </c>
      <c r="AL265" s="55">
        <f t="shared" si="314"/>
        <v>0</v>
      </c>
      <c r="AN265" s="29">
        <v>15</v>
      </c>
      <c r="AO265" s="29">
        <f t="shared" si="315"/>
        <v>0</v>
      </c>
      <c r="AP265" s="29">
        <f t="shared" si="316"/>
        <v>0</v>
      </c>
      <c r="AQ265" s="51" t="s">
        <v>85</v>
      </c>
      <c r="AV265" s="29">
        <f t="shared" si="317"/>
        <v>0</v>
      </c>
      <c r="AW265" s="29">
        <f t="shared" si="318"/>
        <v>0</v>
      </c>
      <c r="AX265" s="29">
        <f t="shared" si="319"/>
        <v>0</v>
      </c>
      <c r="AY265" s="54" t="s">
        <v>642</v>
      </c>
      <c r="AZ265" s="54" t="s">
        <v>1537</v>
      </c>
      <c r="BA265" s="48" t="s">
        <v>1542</v>
      </c>
      <c r="BC265" s="29">
        <f t="shared" si="320"/>
        <v>0</v>
      </c>
      <c r="BD265" s="29">
        <f t="shared" si="321"/>
        <v>0</v>
      </c>
      <c r="BE265" s="29">
        <v>0</v>
      </c>
      <c r="BF265" s="29">
        <f t="shared" si="322"/>
        <v>0</v>
      </c>
      <c r="BH265" s="55">
        <f t="shared" si="323"/>
        <v>0</v>
      </c>
      <c r="BI265" s="55">
        <f t="shared" si="324"/>
        <v>0</v>
      </c>
      <c r="BJ265" s="55">
        <f t="shared" si="325"/>
        <v>0</v>
      </c>
    </row>
    <row r="266" spans="1:62" ht="12.75">
      <c r="A266" s="36" t="s">
        <v>718</v>
      </c>
      <c r="B266" s="36" t="s">
        <v>60</v>
      </c>
      <c r="C266" s="36" t="s">
        <v>296</v>
      </c>
      <c r="D266" s="36" t="s">
        <v>1256</v>
      </c>
      <c r="E266" s="36" t="s">
        <v>609</v>
      </c>
      <c r="F266" s="55">
        <f>'Stavební rozpočet'!F268</f>
        <v>33.4</v>
      </c>
      <c r="G266" s="55">
        <f>'Stavební rozpočet'!G268</f>
        <v>0</v>
      </c>
      <c r="H266" s="55">
        <f t="shared" si="300"/>
        <v>0</v>
      </c>
      <c r="I266" s="55">
        <f t="shared" si="301"/>
        <v>0</v>
      </c>
      <c r="J266" s="55">
        <f t="shared" si="302"/>
        <v>0</v>
      </c>
      <c r="K266" s="55">
        <f>'Stavební rozpočet'!K268</f>
        <v>0</v>
      </c>
      <c r="L266" s="55">
        <f t="shared" si="303"/>
        <v>0</v>
      </c>
      <c r="M266" s="51" t="s">
        <v>622</v>
      </c>
      <c r="Z266" s="29">
        <f t="shared" si="304"/>
        <v>0</v>
      </c>
      <c r="AB266" s="29">
        <f t="shared" si="305"/>
        <v>0</v>
      </c>
      <c r="AC266" s="29">
        <f t="shared" si="306"/>
        <v>0</v>
      </c>
      <c r="AD266" s="29">
        <f t="shared" si="307"/>
        <v>0</v>
      </c>
      <c r="AE266" s="29">
        <f t="shared" si="308"/>
        <v>0</v>
      </c>
      <c r="AF266" s="29">
        <f t="shared" si="309"/>
        <v>0</v>
      </c>
      <c r="AG266" s="29">
        <f t="shared" si="310"/>
        <v>0</v>
      </c>
      <c r="AH266" s="29">
        <f t="shared" si="311"/>
        <v>0</v>
      </c>
      <c r="AI266" s="48" t="s">
        <v>60</v>
      </c>
      <c r="AJ266" s="55">
        <f t="shared" si="312"/>
        <v>0</v>
      </c>
      <c r="AK266" s="55">
        <f t="shared" si="313"/>
        <v>0</v>
      </c>
      <c r="AL266" s="55">
        <f t="shared" si="314"/>
        <v>0</v>
      </c>
      <c r="AN266" s="29">
        <v>15</v>
      </c>
      <c r="AO266" s="29">
        <f t="shared" si="315"/>
        <v>0</v>
      </c>
      <c r="AP266" s="29">
        <f t="shared" si="316"/>
        <v>0</v>
      </c>
      <c r="AQ266" s="51" t="s">
        <v>85</v>
      </c>
      <c r="AV266" s="29">
        <f t="shared" si="317"/>
        <v>0</v>
      </c>
      <c r="AW266" s="29">
        <f t="shared" si="318"/>
        <v>0</v>
      </c>
      <c r="AX266" s="29">
        <f t="shared" si="319"/>
        <v>0</v>
      </c>
      <c r="AY266" s="54" t="s">
        <v>642</v>
      </c>
      <c r="AZ266" s="54" t="s">
        <v>1537</v>
      </c>
      <c r="BA266" s="48" t="s">
        <v>1542</v>
      </c>
      <c r="BC266" s="29">
        <f t="shared" si="320"/>
        <v>0</v>
      </c>
      <c r="BD266" s="29">
        <f t="shared" si="321"/>
        <v>0</v>
      </c>
      <c r="BE266" s="29">
        <v>0</v>
      </c>
      <c r="BF266" s="29">
        <f t="shared" si="322"/>
        <v>0</v>
      </c>
      <c r="BH266" s="55">
        <f t="shared" si="323"/>
        <v>0</v>
      </c>
      <c r="BI266" s="55">
        <f t="shared" si="324"/>
        <v>0</v>
      </c>
      <c r="BJ266" s="55">
        <f t="shared" si="325"/>
        <v>0</v>
      </c>
    </row>
    <row r="267" spans="1:62" ht="12.75">
      <c r="A267" s="36" t="s">
        <v>719</v>
      </c>
      <c r="B267" s="36" t="s">
        <v>60</v>
      </c>
      <c r="C267" s="36" t="s">
        <v>297</v>
      </c>
      <c r="D267" s="36" t="s">
        <v>1257</v>
      </c>
      <c r="E267" s="36" t="s">
        <v>609</v>
      </c>
      <c r="F267" s="55">
        <f>'Stavební rozpočet'!F269</f>
        <v>18.7</v>
      </c>
      <c r="G267" s="55">
        <f>'Stavební rozpočet'!G269</f>
        <v>0</v>
      </c>
      <c r="H267" s="55">
        <f t="shared" si="300"/>
        <v>0</v>
      </c>
      <c r="I267" s="55">
        <f t="shared" si="301"/>
        <v>0</v>
      </c>
      <c r="J267" s="55">
        <f t="shared" si="302"/>
        <v>0</v>
      </c>
      <c r="K267" s="55">
        <f>'Stavební rozpočet'!K269</f>
        <v>0</v>
      </c>
      <c r="L267" s="55">
        <f t="shared" si="303"/>
        <v>0</v>
      </c>
      <c r="M267" s="51" t="s">
        <v>622</v>
      </c>
      <c r="Z267" s="29">
        <f t="shared" si="304"/>
        <v>0</v>
      </c>
      <c r="AB267" s="29">
        <f t="shared" si="305"/>
        <v>0</v>
      </c>
      <c r="AC267" s="29">
        <f t="shared" si="306"/>
        <v>0</v>
      </c>
      <c r="AD267" s="29">
        <f t="shared" si="307"/>
        <v>0</v>
      </c>
      <c r="AE267" s="29">
        <f t="shared" si="308"/>
        <v>0</v>
      </c>
      <c r="AF267" s="29">
        <f t="shared" si="309"/>
        <v>0</v>
      </c>
      <c r="AG267" s="29">
        <f t="shared" si="310"/>
        <v>0</v>
      </c>
      <c r="AH267" s="29">
        <f t="shared" si="311"/>
        <v>0</v>
      </c>
      <c r="AI267" s="48" t="s">
        <v>60</v>
      </c>
      <c r="AJ267" s="55">
        <f t="shared" si="312"/>
        <v>0</v>
      </c>
      <c r="AK267" s="55">
        <f t="shared" si="313"/>
        <v>0</v>
      </c>
      <c r="AL267" s="55">
        <f t="shared" si="314"/>
        <v>0</v>
      </c>
      <c r="AN267" s="29">
        <v>15</v>
      </c>
      <c r="AO267" s="29">
        <f t="shared" si="315"/>
        <v>0</v>
      </c>
      <c r="AP267" s="29">
        <f t="shared" si="316"/>
        <v>0</v>
      </c>
      <c r="AQ267" s="51" t="s">
        <v>85</v>
      </c>
      <c r="AV267" s="29">
        <f t="shared" si="317"/>
        <v>0</v>
      </c>
      <c r="AW267" s="29">
        <f t="shared" si="318"/>
        <v>0</v>
      </c>
      <c r="AX267" s="29">
        <f t="shared" si="319"/>
        <v>0</v>
      </c>
      <c r="AY267" s="54" t="s">
        <v>642</v>
      </c>
      <c r="AZ267" s="54" t="s">
        <v>1537</v>
      </c>
      <c r="BA267" s="48" t="s">
        <v>1542</v>
      </c>
      <c r="BC267" s="29">
        <f t="shared" si="320"/>
        <v>0</v>
      </c>
      <c r="BD267" s="29">
        <f t="shared" si="321"/>
        <v>0</v>
      </c>
      <c r="BE267" s="29">
        <v>0</v>
      </c>
      <c r="BF267" s="29">
        <f t="shared" si="322"/>
        <v>0</v>
      </c>
      <c r="BH267" s="55">
        <f t="shared" si="323"/>
        <v>0</v>
      </c>
      <c r="BI267" s="55">
        <f t="shared" si="324"/>
        <v>0</v>
      </c>
      <c r="BJ267" s="55">
        <f t="shared" si="325"/>
        <v>0</v>
      </c>
    </row>
    <row r="268" spans="1:62" ht="12.75">
      <c r="A268" s="36" t="s">
        <v>720</v>
      </c>
      <c r="B268" s="36" t="s">
        <v>60</v>
      </c>
      <c r="C268" s="36" t="s">
        <v>961</v>
      </c>
      <c r="D268" s="36" t="s">
        <v>1258</v>
      </c>
      <c r="E268" s="36" t="s">
        <v>606</v>
      </c>
      <c r="F268" s="55">
        <f>'Stavební rozpočet'!F270</f>
        <v>2</v>
      </c>
      <c r="G268" s="55">
        <f>'Stavební rozpočet'!G270</f>
        <v>0</v>
      </c>
      <c r="H268" s="55">
        <f t="shared" si="300"/>
        <v>0</v>
      </c>
      <c r="I268" s="55">
        <f t="shared" si="301"/>
        <v>0</v>
      </c>
      <c r="J268" s="55">
        <f t="shared" si="302"/>
        <v>0</v>
      </c>
      <c r="K268" s="55">
        <f>'Stavební rozpočet'!K270</f>
        <v>0</v>
      </c>
      <c r="L268" s="55">
        <f t="shared" si="303"/>
        <v>0</v>
      </c>
      <c r="M268" s="51" t="s">
        <v>622</v>
      </c>
      <c r="Z268" s="29">
        <f t="shared" si="304"/>
        <v>0</v>
      </c>
      <c r="AB268" s="29">
        <f t="shared" si="305"/>
        <v>0</v>
      </c>
      <c r="AC268" s="29">
        <f t="shared" si="306"/>
        <v>0</v>
      </c>
      <c r="AD268" s="29">
        <f t="shared" si="307"/>
        <v>0</v>
      </c>
      <c r="AE268" s="29">
        <f t="shared" si="308"/>
        <v>0</v>
      </c>
      <c r="AF268" s="29">
        <f t="shared" si="309"/>
        <v>0</v>
      </c>
      <c r="AG268" s="29">
        <f t="shared" si="310"/>
        <v>0</v>
      </c>
      <c r="AH268" s="29">
        <f t="shared" si="311"/>
        <v>0</v>
      </c>
      <c r="AI268" s="48" t="s">
        <v>60</v>
      </c>
      <c r="AJ268" s="55">
        <f t="shared" si="312"/>
        <v>0</v>
      </c>
      <c r="AK268" s="55">
        <f t="shared" si="313"/>
        <v>0</v>
      </c>
      <c r="AL268" s="55">
        <f t="shared" si="314"/>
        <v>0</v>
      </c>
      <c r="AN268" s="29">
        <v>15</v>
      </c>
      <c r="AO268" s="29">
        <f t="shared" si="315"/>
        <v>0</v>
      </c>
      <c r="AP268" s="29">
        <f t="shared" si="316"/>
        <v>0</v>
      </c>
      <c r="AQ268" s="51" t="s">
        <v>85</v>
      </c>
      <c r="AV268" s="29">
        <f t="shared" si="317"/>
        <v>0</v>
      </c>
      <c r="AW268" s="29">
        <f t="shared" si="318"/>
        <v>0</v>
      </c>
      <c r="AX268" s="29">
        <f t="shared" si="319"/>
        <v>0</v>
      </c>
      <c r="AY268" s="54" t="s">
        <v>642</v>
      </c>
      <c r="AZ268" s="54" t="s">
        <v>1537</v>
      </c>
      <c r="BA268" s="48" t="s">
        <v>1542</v>
      </c>
      <c r="BC268" s="29">
        <f t="shared" si="320"/>
        <v>0</v>
      </c>
      <c r="BD268" s="29">
        <f t="shared" si="321"/>
        <v>0</v>
      </c>
      <c r="BE268" s="29">
        <v>0</v>
      </c>
      <c r="BF268" s="29">
        <f t="shared" si="322"/>
        <v>0</v>
      </c>
      <c r="BH268" s="55">
        <f t="shared" si="323"/>
        <v>0</v>
      </c>
      <c r="BI268" s="55">
        <f t="shared" si="324"/>
        <v>0</v>
      </c>
      <c r="BJ268" s="55">
        <f t="shared" si="325"/>
        <v>0</v>
      </c>
    </row>
    <row r="269" spans="1:62" ht="12.75">
      <c r="A269" s="36" t="s">
        <v>721</v>
      </c>
      <c r="B269" s="36" t="s">
        <v>60</v>
      </c>
      <c r="C269" s="36" t="s">
        <v>962</v>
      </c>
      <c r="D269" s="36" t="s">
        <v>1259</v>
      </c>
      <c r="E269" s="36" t="s">
        <v>606</v>
      </c>
      <c r="F269" s="55">
        <f>'Stavební rozpočet'!F271</f>
        <v>4</v>
      </c>
      <c r="G269" s="55">
        <f>'Stavební rozpočet'!G271</f>
        <v>0</v>
      </c>
      <c r="H269" s="55">
        <f t="shared" si="300"/>
        <v>0</v>
      </c>
      <c r="I269" s="55">
        <f t="shared" si="301"/>
        <v>0</v>
      </c>
      <c r="J269" s="55">
        <f t="shared" si="302"/>
        <v>0</v>
      </c>
      <c r="K269" s="55">
        <f>'Stavební rozpočet'!K271</f>
        <v>0</v>
      </c>
      <c r="L269" s="55">
        <f t="shared" si="303"/>
        <v>0</v>
      </c>
      <c r="M269" s="51" t="s">
        <v>622</v>
      </c>
      <c r="Z269" s="29">
        <f t="shared" si="304"/>
        <v>0</v>
      </c>
      <c r="AB269" s="29">
        <f t="shared" si="305"/>
        <v>0</v>
      </c>
      <c r="AC269" s="29">
        <f t="shared" si="306"/>
        <v>0</v>
      </c>
      <c r="AD269" s="29">
        <f t="shared" si="307"/>
        <v>0</v>
      </c>
      <c r="AE269" s="29">
        <f t="shared" si="308"/>
        <v>0</v>
      </c>
      <c r="AF269" s="29">
        <f t="shared" si="309"/>
        <v>0</v>
      </c>
      <c r="AG269" s="29">
        <f t="shared" si="310"/>
        <v>0</v>
      </c>
      <c r="AH269" s="29">
        <f t="shared" si="311"/>
        <v>0</v>
      </c>
      <c r="AI269" s="48" t="s">
        <v>60</v>
      </c>
      <c r="AJ269" s="55">
        <f t="shared" si="312"/>
        <v>0</v>
      </c>
      <c r="AK269" s="55">
        <f t="shared" si="313"/>
        <v>0</v>
      </c>
      <c r="AL269" s="55">
        <f t="shared" si="314"/>
        <v>0</v>
      </c>
      <c r="AN269" s="29">
        <v>15</v>
      </c>
      <c r="AO269" s="29">
        <f t="shared" si="315"/>
        <v>0</v>
      </c>
      <c r="AP269" s="29">
        <f t="shared" si="316"/>
        <v>0</v>
      </c>
      <c r="AQ269" s="51" t="s">
        <v>85</v>
      </c>
      <c r="AV269" s="29">
        <f t="shared" si="317"/>
        <v>0</v>
      </c>
      <c r="AW269" s="29">
        <f t="shared" si="318"/>
        <v>0</v>
      </c>
      <c r="AX269" s="29">
        <f t="shared" si="319"/>
        <v>0</v>
      </c>
      <c r="AY269" s="54" t="s">
        <v>642</v>
      </c>
      <c r="AZ269" s="54" t="s">
        <v>1537</v>
      </c>
      <c r="BA269" s="48" t="s">
        <v>1542</v>
      </c>
      <c r="BC269" s="29">
        <f t="shared" si="320"/>
        <v>0</v>
      </c>
      <c r="BD269" s="29">
        <f t="shared" si="321"/>
        <v>0</v>
      </c>
      <c r="BE269" s="29">
        <v>0</v>
      </c>
      <c r="BF269" s="29">
        <f t="shared" si="322"/>
        <v>0</v>
      </c>
      <c r="BH269" s="55">
        <f t="shared" si="323"/>
        <v>0</v>
      </c>
      <c r="BI269" s="55">
        <f t="shared" si="324"/>
        <v>0</v>
      </c>
      <c r="BJ269" s="55">
        <f t="shared" si="325"/>
        <v>0</v>
      </c>
    </row>
    <row r="270" spans="1:62" ht="12.75">
      <c r="A270" s="36" t="s">
        <v>722</v>
      </c>
      <c r="B270" s="36" t="s">
        <v>60</v>
      </c>
      <c r="C270" s="36" t="s">
        <v>963</v>
      </c>
      <c r="D270" s="36" t="s">
        <v>1260</v>
      </c>
      <c r="E270" s="36" t="s">
        <v>606</v>
      </c>
      <c r="F270" s="55">
        <f>'Stavební rozpočet'!F272</f>
        <v>6</v>
      </c>
      <c r="G270" s="55">
        <f>'Stavební rozpočet'!G272</f>
        <v>0</v>
      </c>
      <c r="H270" s="55">
        <f t="shared" si="300"/>
        <v>0</v>
      </c>
      <c r="I270" s="55">
        <f t="shared" si="301"/>
        <v>0</v>
      </c>
      <c r="J270" s="55">
        <f t="shared" si="302"/>
        <v>0</v>
      </c>
      <c r="K270" s="55">
        <f>'Stavební rozpočet'!K272</f>
        <v>0</v>
      </c>
      <c r="L270" s="55">
        <f t="shared" si="303"/>
        <v>0</v>
      </c>
      <c r="M270" s="51" t="s">
        <v>622</v>
      </c>
      <c r="Z270" s="29">
        <f t="shared" si="304"/>
        <v>0</v>
      </c>
      <c r="AB270" s="29">
        <f t="shared" si="305"/>
        <v>0</v>
      </c>
      <c r="AC270" s="29">
        <f t="shared" si="306"/>
        <v>0</v>
      </c>
      <c r="AD270" s="29">
        <f t="shared" si="307"/>
        <v>0</v>
      </c>
      <c r="AE270" s="29">
        <f t="shared" si="308"/>
        <v>0</v>
      </c>
      <c r="AF270" s="29">
        <f t="shared" si="309"/>
        <v>0</v>
      </c>
      <c r="AG270" s="29">
        <f t="shared" si="310"/>
        <v>0</v>
      </c>
      <c r="AH270" s="29">
        <f t="shared" si="311"/>
        <v>0</v>
      </c>
      <c r="AI270" s="48" t="s">
        <v>60</v>
      </c>
      <c r="AJ270" s="55">
        <f t="shared" si="312"/>
        <v>0</v>
      </c>
      <c r="AK270" s="55">
        <f t="shared" si="313"/>
        <v>0</v>
      </c>
      <c r="AL270" s="55">
        <f t="shared" si="314"/>
        <v>0</v>
      </c>
      <c r="AN270" s="29">
        <v>15</v>
      </c>
      <c r="AO270" s="29">
        <f t="shared" si="315"/>
        <v>0</v>
      </c>
      <c r="AP270" s="29">
        <f t="shared" si="316"/>
        <v>0</v>
      </c>
      <c r="AQ270" s="51" t="s">
        <v>85</v>
      </c>
      <c r="AV270" s="29">
        <f t="shared" si="317"/>
        <v>0</v>
      </c>
      <c r="AW270" s="29">
        <f t="shared" si="318"/>
        <v>0</v>
      </c>
      <c r="AX270" s="29">
        <f t="shared" si="319"/>
        <v>0</v>
      </c>
      <c r="AY270" s="54" t="s">
        <v>642</v>
      </c>
      <c r="AZ270" s="54" t="s">
        <v>1537</v>
      </c>
      <c r="BA270" s="48" t="s">
        <v>1542</v>
      </c>
      <c r="BC270" s="29">
        <f t="shared" si="320"/>
        <v>0</v>
      </c>
      <c r="BD270" s="29">
        <f t="shared" si="321"/>
        <v>0</v>
      </c>
      <c r="BE270" s="29">
        <v>0</v>
      </c>
      <c r="BF270" s="29">
        <f t="shared" si="322"/>
        <v>0</v>
      </c>
      <c r="BH270" s="55">
        <f t="shared" si="323"/>
        <v>0</v>
      </c>
      <c r="BI270" s="55">
        <f t="shared" si="324"/>
        <v>0</v>
      </c>
      <c r="BJ270" s="55">
        <f t="shared" si="325"/>
        <v>0</v>
      </c>
    </row>
    <row r="271" spans="1:62" ht="12.75">
      <c r="A271" s="36" t="s">
        <v>723</v>
      </c>
      <c r="B271" s="36" t="s">
        <v>60</v>
      </c>
      <c r="C271" s="36" t="s">
        <v>964</v>
      </c>
      <c r="D271" s="36" t="s">
        <v>1261</v>
      </c>
      <c r="E271" s="36" t="s">
        <v>606</v>
      </c>
      <c r="F271" s="55">
        <f>'Stavební rozpočet'!F273</f>
        <v>12</v>
      </c>
      <c r="G271" s="55">
        <f>'Stavební rozpočet'!G273</f>
        <v>0</v>
      </c>
      <c r="H271" s="55">
        <f t="shared" si="300"/>
        <v>0</v>
      </c>
      <c r="I271" s="55">
        <f t="shared" si="301"/>
        <v>0</v>
      </c>
      <c r="J271" s="55">
        <f t="shared" si="302"/>
        <v>0</v>
      </c>
      <c r="K271" s="55">
        <f>'Stavební rozpočet'!K273</f>
        <v>0</v>
      </c>
      <c r="L271" s="55">
        <f t="shared" si="303"/>
        <v>0</v>
      </c>
      <c r="M271" s="51" t="s">
        <v>622</v>
      </c>
      <c r="Z271" s="29">
        <f t="shared" si="304"/>
        <v>0</v>
      </c>
      <c r="AB271" s="29">
        <f t="shared" si="305"/>
        <v>0</v>
      </c>
      <c r="AC271" s="29">
        <f t="shared" si="306"/>
        <v>0</v>
      </c>
      <c r="AD271" s="29">
        <f t="shared" si="307"/>
        <v>0</v>
      </c>
      <c r="AE271" s="29">
        <f t="shared" si="308"/>
        <v>0</v>
      </c>
      <c r="AF271" s="29">
        <f t="shared" si="309"/>
        <v>0</v>
      </c>
      <c r="AG271" s="29">
        <f t="shared" si="310"/>
        <v>0</v>
      </c>
      <c r="AH271" s="29">
        <f t="shared" si="311"/>
        <v>0</v>
      </c>
      <c r="AI271" s="48" t="s">
        <v>60</v>
      </c>
      <c r="AJ271" s="55">
        <f t="shared" si="312"/>
        <v>0</v>
      </c>
      <c r="AK271" s="55">
        <f t="shared" si="313"/>
        <v>0</v>
      </c>
      <c r="AL271" s="55">
        <f t="shared" si="314"/>
        <v>0</v>
      </c>
      <c r="AN271" s="29">
        <v>15</v>
      </c>
      <c r="AO271" s="29">
        <f t="shared" si="315"/>
        <v>0</v>
      </c>
      <c r="AP271" s="29">
        <f t="shared" si="316"/>
        <v>0</v>
      </c>
      <c r="AQ271" s="51" t="s">
        <v>85</v>
      </c>
      <c r="AV271" s="29">
        <f t="shared" si="317"/>
        <v>0</v>
      </c>
      <c r="AW271" s="29">
        <f t="shared" si="318"/>
        <v>0</v>
      </c>
      <c r="AX271" s="29">
        <f t="shared" si="319"/>
        <v>0</v>
      </c>
      <c r="AY271" s="54" t="s">
        <v>642</v>
      </c>
      <c r="AZ271" s="54" t="s">
        <v>1537</v>
      </c>
      <c r="BA271" s="48" t="s">
        <v>1542</v>
      </c>
      <c r="BC271" s="29">
        <f t="shared" si="320"/>
        <v>0</v>
      </c>
      <c r="BD271" s="29">
        <f t="shared" si="321"/>
        <v>0</v>
      </c>
      <c r="BE271" s="29">
        <v>0</v>
      </c>
      <c r="BF271" s="29">
        <f t="shared" si="322"/>
        <v>0</v>
      </c>
      <c r="BH271" s="55">
        <f t="shared" si="323"/>
        <v>0</v>
      </c>
      <c r="BI271" s="55">
        <f t="shared" si="324"/>
        <v>0</v>
      </c>
      <c r="BJ271" s="55">
        <f t="shared" si="325"/>
        <v>0</v>
      </c>
    </row>
    <row r="272" spans="1:62" ht="12.75">
      <c r="A272" s="36" t="s">
        <v>724</v>
      </c>
      <c r="B272" s="36" t="s">
        <v>60</v>
      </c>
      <c r="C272" s="36" t="s">
        <v>965</v>
      </c>
      <c r="D272" s="36" t="s">
        <v>1262</v>
      </c>
      <c r="E272" s="36" t="s">
        <v>606</v>
      </c>
      <c r="F272" s="55">
        <f>'Stavební rozpočet'!F274</f>
        <v>1</v>
      </c>
      <c r="G272" s="55">
        <f>'Stavební rozpočet'!G274</f>
        <v>0</v>
      </c>
      <c r="H272" s="55">
        <f t="shared" si="300"/>
        <v>0</v>
      </c>
      <c r="I272" s="55">
        <f t="shared" si="301"/>
        <v>0</v>
      </c>
      <c r="J272" s="55">
        <f t="shared" si="302"/>
        <v>0</v>
      </c>
      <c r="K272" s="55">
        <f>'Stavební rozpočet'!K274</f>
        <v>0</v>
      </c>
      <c r="L272" s="55">
        <f t="shared" si="303"/>
        <v>0</v>
      </c>
      <c r="M272" s="51" t="s">
        <v>622</v>
      </c>
      <c r="Z272" s="29">
        <f t="shared" si="304"/>
        <v>0</v>
      </c>
      <c r="AB272" s="29">
        <f t="shared" si="305"/>
        <v>0</v>
      </c>
      <c r="AC272" s="29">
        <f t="shared" si="306"/>
        <v>0</v>
      </c>
      <c r="AD272" s="29">
        <f t="shared" si="307"/>
        <v>0</v>
      </c>
      <c r="AE272" s="29">
        <f t="shared" si="308"/>
        <v>0</v>
      </c>
      <c r="AF272" s="29">
        <f t="shared" si="309"/>
        <v>0</v>
      </c>
      <c r="AG272" s="29">
        <f t="shared" si="310"/>
        <v>0</v>
      </c>
      <c r="AH272" s="29">
        <f t="shared" si="311"/>
        <v>0</v>
      </c>
      <c r="AI272" s="48" t="s">
        <v>60</v>
      </c>
      <c r="AJ272" s="55">
        <f t="shared" si="312"/>
        <v>0</v>
      </c>
      <c r="AK272" s="55">
        <f t="shared" si="313"/>
        <v>0</v>
      </c>
      <c r="AL272" s="55">
        <f t="shared" si="314"/>
        <v>0</v>
      </c>
      <c r="AN272" s="29">
        <v>15</v>
      </c>
      <c r="AO272" s="29">
        <f t="shared" si="315"/>
        <v>0</v>
      </c>
      <c r="AP272" s="29">
        <f t="shared" si="316"/>
        <v>0</v>
      </c>
      <c r="AQ272" s="51" t="s">
        <v>85</v>
      </c>
      <c r="AV272" s="29">
        <f t="shared" si="317"/>
        <v>0</v>
      </c>
      <c r="AW272" s="29">
        <f t="shared" si="318"/>
        <v>0</v>
      </c>
      <c r="AX272" s="29">
        <f t="shared" si="319"/>
        <v>0</v>
      </c>
      <c r="AY272" s="54" t="s">
        <v>642</v>
      </c>
      <c r="AZ272" s="54" t="s">
        <v>1537</v>
      </c>
      <c r="BA272" s="48" t="s">
        <v>1542</v>
      </c>
      <c r="BC272" s="29">
        <f t="shared" si="320"/>
        <v>0</v>
      </c>
      <c r="BD272" s="29">
        <f t="shared" si="321"/>
        <v>0</v>
      </c>
      <c r="BE272" s="29">
        <v>0</v>
      </c>
      <c r="BF272" s="29">
        <f t="shared" si="322"/>
        <v>0</v>
      </c>
      <c r="BH272" s="55">
        <f t="shared" si="323"/>
        <v>0</v>
      </c>
      <c r="BI272" s="55">
        <f t="shared" si="324"/>
        <v>0</v>
      </c>
      <c r="BJ272" s="55">
        <f t="shared" si="325"/>
        <v>0</v>
      </c>
    </row>
    <row r="273" spans="1:62" ht="12.75">
      <c r="A273" s="36" t="s">
        <v>725</v>
      </c>
      <c r="B273" s="36" t="s">
        <v>60</v>
      </c>
      <c r="C273" s="36" t="s">
        <v>966</v>
      </c>
      <c r="D273" s="36" t="s">
        <v>1263</v>
      </c>
      <c r="E273" s="36" t="s">
        <v>606</v>
      </c>
      <c r="F273" s="55">
        <f>'Stavební rozpočet'!F275</f>
        <v>6</v>
      </c>
      <c r="G273" s="55">
        <f>'Stavební rozpočet'!G275</f>
        <v>0</v>
      </c>
      <c r="H273" s="55">
        <f t="shared" si="300"/>
        <v>0</v>
      </c>
      <c r="I273" s="55">
        <f t="shared" si="301"/>
        <v>0</v>
      </c>
      <c r="J273" s="55">
        <f t="shared" si="302"/>
        <v>0</v>
      </c>
      <c r="K273" s="55">
        <f>'Stavební rozpočet'!K275</f>
        <v>0</v>
      </c>
      <c r="L273" s="55">
        <f t="shared" si="303"/>
        <v>0</v>
      </c>
      <c r="M273" s="51" t="s">
        <v>622</v>
      </c>
      <c r="Z273" s="29">
        <f t="shared" si="304"/>
        <v>0</v>
      </c>
      <c r="AB273" s="29">
        <f t="shared" si="305"/>
        <v>0</v>
      </c>
      <c r="AC273" s="29">
        <f t="shared" si="306"/>
        <v>0</v>
      </c>
      <c r="AD273" s="29">
        <f t="shared" si="307"/>
        <v>0</v>
      </c>
      <c r="AE273" s="29">
        <f t="shared" si="308"/>
        <v>0</v>
      </c>
      <c r="AF273" s="29">
        <f t="shared" si="309"/>
        <v>0</v>
      </c>
      <c r="AG273" s="29">
        <f t="shared" si="310"/>
        <v>0</v>
      </c>
      <c r="AH273" s="29">
        <f t="shared" si="311"/>
        <v>0</v>
      </c>
      <c r="AI273" s="48" t="s">
        <v>60</v>
      </c>
      <c r="AJ273" s="55">
        <f t="shared" si="312"/>
        <v>0</v>
      </c>
      <c r="AK273" s="55">
        <f t="shared" si="313"/>
        <v>0</v>
      </c>
      <c r="AL273" s="55">
        <f t="shared" si="314"/>
        <v>0</v>
      </c>
      <c r="AN273" s="29">
        <v>15</v>
      </c>
      <c r="AO273" s="29">
        <f t="shared" si="315"/>
        <v>0</v>
      </c>
      <c r="AP273" s="29">
        <f t="shared" si="316"/>
        <v>0</v>
      </c>
      <c r="AQ273" s="51" t="s">
        <v>85</v>
      </c>
      <c r="AV273" s="29">
        <f t="shared" si="317"/>
        <v>0</v>
      </c>
      <c r="AW273" s="29">
        <f t="shared" si="318"/>
        <v>0</v>
      </c>
      <c r="AX273" s="29">
        <f t="shared" si="319"/>
        <v>0</v>
      </c>
      <c r="AY273" s="54" t="s">
        <v>642</v>
      </c>
      <c r="AZ273" s="54" t="s">
        <v>1537</v>
      </c>
      <c r="BA273" s="48" t="s">
        <v>1542</v>
      </c>
      <c r="BC273" s="29">
        <f t="shared" si="320"/>
        <v>0</v>
      </c>
      <c r="BD273" s="29">
        <f t="shared" si="321"/>
        <v>0</v>
      </c>
      <c r="BE273" s="29">
        <v>0</v>
      </c>
      <c r="BF273" s="29">
        <f t="shared" si="322"/>
        <v>0</v>
      </c>
      <c r="BH273" s="55">
        <f t="shared" si="323"/>
        <v>0</v>
      </c>
      <c r="BI273" s="55">
        <f t="shared" si="324"/>
        <v>0</v>
      </c>
      <c r="BJ273" s="55">
        <f t="shared" si="325"/>
        <v>0</v>
      </c>
    </row>
    <row r="274" spans="1:62" ht="12.75">
      <c r="A274" s="36" t="s">
        <v>726</v>
      </c>
      <c r="B274" s="36" t="s">
        <v>60</v>
      </c>
      <c r="C274" s="36" t="s">
        <v>967</v>
      </c>
      <c r="D274" s="36" t="s">
        <v>1264</v>
      </c>
      <c r="E274" s="36" t="s">
        <v>606</v>
      </c>
      <c r="F274" s="55">
        <f>'Stavební rozpočet'!F276</f>
        <v>1</v>
      </c>
      <c r="G274" s="55">
        <f>'Stavební rozpočet'!G276</f>
        <v>0</v>
      </c>
      <c r="H274" s="55">
        <f t="shared" si="300"/>
        <v>0</v>
      </c>
      <c r="I274" s="55">
        <f t="shared" si="301"/>
        <v>0</v>
      </c>
      <c r="J274" s="55">
        <f t="shared" si="302"/>
        <v>0</v>
      </c>
      <c r="K274" s="55">
        <f>'Stavební rozpočet'!K276</f>
        <v>0</v>
      </c>
      <c r="L274" s="55">
        <f t="shared" si="303"/>
        <v>0</v>
      </c>
      <c r="M274" s="51" t="s">
        <v>622</v>
      </c>
      <c r="Z274" s="29">
        <f t="shared" si="304"/>
        <v>0</v>
      </c>
      <c r="AB274" s="29">
        <f t="shared" si="305"/>
        <v>0</v>
      </c>
      <c r="AC274" s="29">
        <f t="shared" si="306"/>
        <v>0</v>
      </c>
      <c r="AD274" s="29">
        <f t="shared" si="307"/>
        <v>0</v>
      </c>
      <c r="AE274" s="29">
        <f t="shared" si="308"/>
        <v>0</v>
      </c>
      <c r="AF274" s="29">
        <f t="shared" si="309"/>
        <v>0</v>
      </c>
      <c r="AG274" s="29">
        <f t="shared" si="310"/>
        <v>0</v>
      </c>
      <c r="AH274" s="29">
        <f t="shared" si="311"/>
        <v>0</v>
      </c>
      <c r="AI274" s="48" t="s">
        <v>60</v>
      </c>
      <c r="AJ274" s="55">
        <f t="shared" si="312"/>
        <v>0</v>
      </c>
      <c r="AK274" s="55">
        <f t="shared" si="313"/>
        <v>0</v>
      </c>
      <c r="AL274" s="55">
        <f t="shared" si="314"/>
        <v>0</v>
      </c>
      <c r="AN274" s="29">
        <v>15</v>
      </c>
      <c r="AO274" s="29">
        <f t="shared" si="315"/>
        <v>0</v>
      </c>
      <c r="AP274" s="29">
        <f t="shared" si="316"/>
        <v>0</v>
      </c>
      <c r="AQ274" s="51" t="s">
        <v>85</v>
      </c>
      <c r="AV274" s="29">
        <f t="shared" si="317"/>
        <v>0</v>
      </c>
      <c r="AW274" s="29">
        <f t="shared" si="318"/>
        <v>0</v>
      </c>
      <c r="AX274" s="29">
        <f t="shared" si="319"/>
        <v>0</v>
      </c>
      <c r="AY274" s="54" t="s">
        <v>642</v>
      </c>
      <c r="AZ274" s="54" t="s">
        <v>1537</v>
      </c>
      <c r="BA274" s="48" t="s">
        <v>1542</v>
      </c>
      <c r="BC274" s="29">
        <f t="shared" si="320"/>
        <v>0</v>
      </c>
      <c r="BD274" s="29">
        <f t="shared" si="321"/>
        <v>0</v>
      </c>
      <c r="BE274" s="29">
        <v>0</v>
      </c>
      <c r="BF274" s="29">
        <f t="shared" si="322"/>
        <v>0</v>
      </c>
      <c r="BH274" s="55">
        <f t="shared" si="323"/>
        <v>0</v>
      </c>
      <c r="BI274" s="55">
        <f t="shared" si="324"/>
        <v>0</v>
      </c>
      <c r="BJ274" s="55">
        <f t="shared" si="325"/>
        <v>0</v>
      </c>
    </row>
    <row r="275" spans="1:62" ht="12.75">
      <c r="A275" s="36" t="s">
        <v>727</v>
      </c>
      <c r="B275" s="36" t="s">
        <v>60</v>
      </c>
      <c r="C275" s="36" t="s">
        <v>968</v>
      </c>
      <c r="D275" s="36" t="s">
        <v>1265</v>
      </c>
      <c r="E275" s="36" t="s">
        <v>606</v>
      </c>
      <c r="F275" s="55">
        <f>'Stavební rozpočet'!F277</f>
        <v>0</v>
      </c>
      <c r="G275" s="55">
        <f>'Stavební rozpočet'!G277</f>
        <v>0</v>
      </c>
      <c r="H275" s="55">
        <f t="shared" si="300"/>
        <v>0</v>
      </c>
      <c r="I275" s="55">
        <f t="shared" si="301"/>
        <v>0</v>
      </c>
      <c r="J275" s="55">
        <f t="shared" si="302"/>
        <v>0</v>
      </c>
      <c r="K275" s="55">
        <f>'Stavební rozpočet'!K277</f>
        <v>0</v>
      </c>
      <c r="L275" s="55">
        <f t="shared" si="303"/>
        <v>0</v>
      </c>
      <c r="M275" s="51" t="s">
        <v>622</v>
      </c>
      <c r="Z275" s="29">
        <f t="shared" si="304"/>
        <v>0</v>
      </c>
      <c r="AB275" s="29">
        <f t="shared" si="305"/>
        <v>0</v>
      </c>
      <c r="AC275" s="29">
        <f t="shared" si="306"/>
        <v>0</v>
      </c>
      <c r="AD275" s="29">
        <f t="shared" si="307"/>
        <v>0</v>
      </c>
      <c r="AE275" s="29">
        <f t="shared" si="308"/>
        <v>0</v>
      </c>
      <c r="AF275" s="29">
        <f t="shared" si="309"/>
        <v>0</v>
      </c>
      <c r="AG275" s="29">
        <f t="shared" si="310"/>
        <v>0</v>
      </c>
      <c r="AH275" s="29">
        <f t="shared" si="311"/>
        <v>0</v>
      </c>
      <c r="AI275" s="48" t="s">
        <v>60</v>
      </c>
      <c r="AJ275" s="55">
        <f t="shared" si="312"/>
        <v>0</v>
      </c>
      <c r="AK275" s="55">
        <f t="shared" si="313"/>
        <v>0</v>
      </c>
      <c r="AL275" s="55">
        <f t="shared" si="314"/>
        <v>0</v>
      </c>
      <c r="AN275" s="29">
        <v>15</v>
      </c>
      <c r="AO275" s="29">
        <f t="shared" si="315"/>
        <v>0</v>
      </c>
      <c r="AP275" s="29">
        <f t="shared" si="316"/>
        <v>0</v>
      </c>
      <c r="AQ275" s="51" t="s">
        <v>85</v>
      </c>
      <c r="AV275" s="29">
        <f t="shared" si="317"/>
        <v>0</v>
      </c>
      <c r="AW275" s="29">
        <f t="shared" si="318"/>
        <v>0</v>
      </c>
      <c r="AX275" s="29">
        <f t="shared" si="319"/>
        <v>0</v>
      </c>
      <c r="AY275" s="54" t="s">
        <v>642</v>
      </c>
      <c r="AZ275" s="54" t="s">
        <v>1537</v>
      </c>
      <c r="BA275" s="48" t="s">
        <v>1542</v>
      </c>
      <c r="BC275" s="29">
        <f t="shared" si="320"/>
        <v>0</v>
      </c>
      <c r="BD275" s="29">
        <f t="shared" si="321"/>
        <v>0</v>
      </c>
      <c r="BE275" s="29">
        <v>0</v>
      </c>
      <c r="BF275" s="29">
        <f t="shared" si="322"/>
        <v>0</v>
      </c>
      <c r="BH275" s="55">
        <f t="shared" si="323"/>
        <v>0</v>
      </c>
      <c r="BI275" s="55">
        <f t="shared" si="324"/>
        <v>0</v>
      </c>
      <c r="BJ275" s="55">
        <f t="shared" si="325"/>
        <v>0</v>
      </c>
    </row>
    <row r="276" spans="1:62" ht="12.75">
      <c r="A276" s="36" t="s">
        <v>728</v>
      </c>
      <c r="B276" s="36" t="s">
        <v>60</v>
      </c>
      <c r="C276" s="36" t="s">
        <v>969</v>
      </c>
      <c r="D276" s="36" t="s">
        <v>1266</v>
      </c>
      <c r="E276" s="36" t="s">
        <v>606</v>
      </c>
      <c r="F276" s="55">
        <f>'Stavební rozpočet'!F278</f>
        <v>1</v>
      </c>
      <c r="G276" s="55">
        <f>'Stavební rozpočet'!G278</f>
        <v>0</v>
      </c>
      <c r="H276" s="55">
        <f t="shared" si="300"/>
        <v>0</v>
      </c>
      <c r="I276" s="55">
        <f t="shared" si="301"/>
        <v>0</v>
      </c>
      <c r="J276" s="55">
        <f t="shared" si="302"/>
        <v>0</v>
      </c>
      <c r="K276" s="55">
        <f>'Stavební rozpočet'!K278</f>
        <v>0</v>
      </c>
      <c r="L276" s="55">
        <f t="shared" si="303"/>
        <v>0</v>
      </c>
      <c r="M276" s="51" t="s">
        <v>622</v>
      </c>
      <c r="Z276" s="29">
        <f t="shared" si="304"/>
        <v>0</v>
      </c>
      <c r="AB276" s="29">
        <f t="shared" si="305"/>
        <v>0</v>
      </c>
      <c r="AC276" s="29">
        <f t="shared" si="306"/>
        <v>0</v>
      </c>
      <c r="AD276" s="29">
        <f t="shared" si="307"/>
        <v>0</v>
      </c>
      <c r="AE276" s="29">
        <f t="shared" si="308"/>
        <v>0</v>
      </c>
      <c r="AF276" s="29">
        <f t="shared" si="309"/>
        <v>0</v>
      </c>
      <c r="AG276" s="29">
        <f t="shared" si="310"/>
        <v>0</v>
      </c>
      <c r="AH276" s="29">
        <f t="shared" si="311"/>
        <v>0</v>
      </c>
      <c r="AI276" s="48" t="s">
        <v>60</v>
      </c>
      <c r="AJ276" s="55">
        <f t="shared" si="312"/>
        <v>0</v>
      </c>
      <c r="AK276" s="55">
        <f t="shared" si="313"/>
        <v>0</v>
      </c>
      <c r="AL276" s="55">
        <f t="shared" si="314"/>
        <v>0</v>
      </c>
      <c r="AN276" s="29">
        <v>15</v>
      </c>
      <c r="AO276" s="29">
        <f t="shared" si="315"/>
        <v>0</v>
      </c>
      <c r="AP276" s="29">
        <f t="shared" si="316"/>
        <v>0</v>
      </c>
      <c r="AQ276" s="51" t="s">
        <v>85</v>
      </c>
      <c r="AV276" s="29">
        <f t="shared" si="317"/>
        <v>0</v>
      </c>
      <c r="AW276" s="29">
        <f t="shared" si="318"/>
        <v>0</v>
      </c>
      <c r="AX276" s="29">
        <f t="shared" si="319"/>
        <v>0</v>
      </c>
      <c r="AY276" s="54" t="s">
        <v>642</v>
      </c>
      <c r="AZ276" s="54" t="s">
        <v>1537</v>
      </c>
      <c r="BA276" s="48" t="s">
        <v>1542</v>
      </c>
      <c r="BC276" s="29">
        <f t="shared" si="320"/>
        <v>0</v>
      </c>
      <c r="BD276" s="29">
        <f t="shared" si="321"/>
        <v>0</v>
      </c>
      <c r="BE276" s="29">
        <v>0</v>
      </c>
      <c r="BF276" s="29">
        <f t="shared" si="322"/>
        <v>0</v>
      </c>
      <c r="BH276" s="55">
        <f t="shared" si="323"/>
        <v>0</v>
      </c>
      <c r="BI276" s="55">
        <f t="shared" si="324"/>
        <v>0</v>
      </c>
      <c r="BJ276" s="55">
        <f t="shared" si="325"/>
        <v>0</v>
      </c>
    </row>
    <row r="277" spans="1:62" ht="12.75">
      <c r="A277" s="36" t="s">
        <v>729</v>
      </c>
      <c r="B277" s="36" t="s">
        <v>60</v>
      </c>
      <c r="C277" s="36" t="s">
        <v>970</v>
      </c>
      <c r="D277" s="36" t="s">
        <v>1267</v>
      </c>
      <c r="E277" s="36" t="s">
        <v>606</v>
      </c>
      <c r="F277" s="55">
        <f>'Stavební rozpočet'!F279</f>
        <v>8</v>
      </c>
      <c r="G277" s="55">
        <f>'Stavební rozpočet'!G279</f>
        <v>0</v>
      </c>
      <c r="H277" s="55">
        <f t="shared" si="300"/>
        <v>0</v>
      </c>
      <c r="I277" s="55">
        <f t="shared" si="301"/>
        <v>0</v>
      </c>
      <c r="J277" s="55">
        <f t="shared" si="302"/>
        <v>0</v>
      </c>
      <c r="K277" s="55">
        <f>'Stavební rozpočet'!K279</f>
        <v>0</v>
      </c>
      <c r="L277" s="55">
        <f t="shared" si="303"/>
        <v>0</v>
      </c>
      <c r="M277" s="51" t="s">
        <v>622</v>
      </c>
      <c r="Z277" s="29">
        <f t="shared" si="304"/>
        <v>0</v>
      </c>
      <c r="AB277" s="29">
        <f t="shared" si="305"/>
        <v>0</v>
      </c>
      <c r="AC277" s="29">
        <f t="shared" si="306"/>
        <v>0</v>
      </c>
      <c r="AD277" s="29">
        <f t="shared" si="307"/>
        <v>0</v>
      </c>
      <c r="AE277" s="29">
        <f t="shared" si="308"/>
        <v>0</v>
      </c>
      <c r="AF277" s="29">
        <f t="shared" si="309"/>
        <v>0</v>
      </c>
      <c r="AG277" s="29">
        <f t="shared" si="310"/>
        <v>0</v>
      </c>
      <c r="AH277" s="29">
        <f t="shared" si="311"/>
        <v>0</v>
      </c>
      <c r="AI277" s="48" t="s">
        <v>60</v>
      </c>
      <c r="AJ277" s="55">
        <f t="shared" si="312"/>
        <v>0</v>
      </c>
      <c r="AK277" s="55">
        <f t="shared" si="313"/>
        <v>0</v>
      </c>
      <c r="AL277" s="55">
        <f t="shared" si="314"/>
        <v>0</v>
      </c>
      <c r="AN277" s="29">
        <v>15</v>
      </c>
      <c r="AO277" s="29">
        <f t="shared" si="315"/>
        <v>0</v>
      </c>
      <c r="AP277" s="29">
        <f t="shared" si="316"/>
        <v>0</v>
      </c>
      <c r="AQ277" s="51" t="s">
        <v>85</v>
      </c>
      <c r="AV277" s="29">
        <f t="shared" si="317"/>
        <v>0</v>
      </c>
      <c r="AW277" s="29">
        <f t="shared" si="318"/>
        <v>0</v>
      </c>
      <c r="AX277" s="29">
        <f t="shared" si="319"/>
        <v>0</v>
      </c>
      <c r="AY277" s="54" t="s">
        <v>642</v>
      </c>
      <c r="AZ277" s="54" t="s">
        <v>1537</v>
      </c>
      <c r="BA277" s="48" t="s">
        <v>1542</v>
      </c>
      <c r="BC277" s="29">
        <f t="shared" si="320"/>
        <v>0</v>
      </c>
      <c r="BD277" s="29">
        <f t="shared" si="321"/>
        <v>0</v>
      </c>
      <c r="BE277" s="29">
        <v>0</v>
      </c>
      <c r="BF277" s="29">
        <f t="shared" si="322"/>
        <v>0</v>
      </c>
      <c r="BH277" s="55">
        <f t="shared" si="323"/>
        <v>0</v>
      </c>
      <c r="BI277" s="55">
        <f t="shared" si="324"/>
        <v>0</v>
      </c>
      <c r="BJ277" s="55">
        <f t="shared" si="325"/>
        <v>0</v>
      </c>
    </row>
    <row r="278" spans="1:62" ht="12.75">
      <c r="A278" s="36" t="s">
        <v>730</v>
      </c>
      <c r="B278" s="36" t="s">
        <v>60</v>
      </c>
      <c r="C278" s="36" t="s">
        <v>971</v>
      </c>
      <c r="D278" s="36" t="s">
        <v>1268</v>
      </c>
      <c r="E278" s="36" t="s">
        <v>606</v>
      </c>
      <c r="F278" s="55">
        <f>'Stavební rozpočet'!F280</f>
        <v>3</v>
      </c>
      <c r="G278" s="55">
        <f>'Stavební rozpočet'!G280</f>
        <v>0</v>
      </c>
      <c r="H278" s="55">
        <f t="shared" si="300"/>
        <v>0</v>
      </c>
      <c r="I278" s="55">
        <f t="shared" si="301"/>
        <v>0</v>
      </c>
      <c r="J278" s="55">
        <f t="shared" si="302"/>
        <v>0</v>
      </c>
      <c r="K278" s="55">
        <f>'Stavební rozpočet'!K280</f>
        <v>0</v>
      </c>
      <c r="L278" s="55">
        <f t="shared" si="303"/>
        <v>0</v>
      </c>
      <c r="M278" s="51" t="s">
        <v>622</v>
      </c>
      <c r="Z278" s="29">
        <f t="shared" si="304"/>
        <v>0</v>
      </c>
      <c r="AB278" s="29">
        <f t="shared" si="305"/>
        <v>0</v>
      </c>
      <c r="AC278" s="29">
        <f t="shared" si="306"/>
        <v>0</v>
      </c>
      <c r="AD278" s="29">
        <f t="shared" si="307"/>
        <v>0</v>
      </c>
      <c r="AE278" s="29">
        <f t="shared" si="308"/>
        <v>0</v>
      </c>
      <c r="AF278" s="29">
        <f t="shared" si="309"/>
        <v>0</v>
      </c>
      <c r="AG278" s="29">
        <f t="shared" si="310"/>
        <v>0</v>
      </c>
      <c r="AH278" s="29">
        <f t="shared" si="311"/>
        <v>0</v>
      </c>
      <c r="AI278" s="48" t="s">
        <v>60</v>
      </c>
      <c r="AJ278" s="55">
        <f t="shared" si="312"/>
        <v>0</v>
      </c>
      <c r="AK278" s="55">
        <f t="shared" si="313"/>
        <v>0</v>
      </c>
      <c r="AL278" s="55">
        <f t="shared" si="314"/>
        <v>0</v>
      </c>
      <c r="AN278" s="29">
        <v>15</v>
      </c>
      <c r="AO278" s="29">
        <f t="shared" si="315"/>
        <v>0</v>
      </c>
      <c r="AP278" s="29">
        <f t="shared" si="316"/>
        <v>0</v>
      </c>
      <c r="AQ278" s="51" t="s">
        <v>85</v>
      </c>
      <c r="AV278" s="29">
        <f t="shared" si="317"/>
        <v>0</v>
      </c>
      <c r="AW278" s="29">
        <f t="shared" si="318"/>
        <v>0</v>
      </c>
      <c r="AX278" s="29">
        <f t="shared" si="319"/>
        <v>0</v>
      </c>
      <c r="AY278" s="54" t="s">
        <v>642</v>
      </c>
      <c r="AZ278" s="54" t="s">
        <v>1537</v>
      </c>
      <c r="BA278" s="48" t="s">
        <v>1542</v>
      </c>
      <c r="BC278" s="29">
        <f t="shared" si="320"/>
        <v>0</v>
      </c>
      <c r="BD278" s="29">
        <f t="shared" si="321"/>
        <v>0</v>
      </c>
      <c r="BE278" s="29">
        <v>0</v>
      </c>
      <c r="BF278" s="29">
        <f t="shared" si="322"/>
        <v>0</v>
      </c>
      <c r="BH278" s="55">
        <f t="shared" si="323"/>
        <v>0</v>
      </c>
      <c r="BI278" s="55">
        <f t="shared" si="324"/>
        <v>0</v>
      </c>
      <c r="BJ278" s="55">
        <f t="shared" si="325"/>
        <v>0</v>
      </c>
    </row>
    <row r="279" spans="1:62" ht="12.75">
      <c r="A279" s="36" t="s">
        <v>731</v>
      </c>
      <c r="B279" s="36" t="s">
        <v>60</v>
      </c>
      <c r="C279" s="36" t="s">
        <v>972</v>
      </c>
      <c r="D279" s="36" t="s">
        <v>1269</v>
      </c>
      <c r="E279" s="36" t="s">
        <v>606</v>
      </c>
      <c r="F279" s="55">
        <f>'Stavební rozpočet'!F281</f>
        <v>1</v>
      </c>
      <c r="G279" s="55">
        <f>'Stavební rozpočet'!G281</f>
        <v>0</v>
      </c>
      <c r="H279" s="55">
        <f t="shared" si="300"/>
        <v>0</v>
      </c>
      <c r="I279" s="55">
        <f t="shared" si="301"/>
        <v>0</v>
      </c>
      <c r="J279" s="55">
        <f t="shared" si="302"/>
        <v>0</v>
      </c>
      <c r="K279" s="55">
        <f>'Stavební rozpočet'!K281</f>
        <v>0</v>
      </c>
      <c r="L279" s="55">
        <f t="shared" si="303"/>
        <v>0</v>
      </c>
      <c r="M279" s="51" t="s">
        <v>622</v>
      </c>
      <c r="Z279" s="29">
        <f t="shared" si="304"/>
        <v>0</v>
      </c>
      <c r="AB279" s="29">
        <f t="shared" si="305"/>
        <v>0</v>
      </c>
      <c r="AC279" s="29">
        <f t="shared" si="306"/>
        <v>0</v>
      </c>
      <c r="AD279" s="29">
        <f t="shared" si="307"/>
        <v>0</v>
      </c>
      <c r="AE279" s="29">
        <f t="shared" si="308"/>
        <v>0</v>
      </c>
      <c r="AF279" s="29">
        <f t="shared" si="309"/>
        <v>0</v>
      </c>
      <c r="AG279" s="29">
        <f t="shared" si="310"/>
        <v>0</v>
      </c>
      <c r="AH279" s="29">
        <f t="shared" si="311"/>
        <v>0</v>
      </c>
      <c r="AI279" s="48" t="s">
        <v>60</v>
      </c>
      <c r="AJ279" s="55">
        <f t="shared" si="312"/>
        <v>0</v>
      </c>
      <c r="AK279" s="55">
        <f t="shared" si="313"/>
        <v>0</v>
      </c>
      <c r="AL279" s="55">
        <f t="shared" si="314"/>
        <v>0</v>
      </c>
      <c r="AN279" s="29">
        <v>15</v>
      </c>
      <c r="AO279" s="29">
        <f t="shared" si="315"/>
        <v>0</v>
      </c>
      <c r="AP279" s="29">
        <f t="shared" si="316"/>
        <v>0</v>
      </c>
      <c r="AQ279" s="51" t="s">
        <v>85</v>
      </c>
      <c r="AV279" s="29">
        <f t="shared" si="317"/>
        <v>0</v>
      </c>
      <c r="AW279" s="29">
        <f t="shared" si="318"/>
        <v>0</v>
      </c>
      <c r="AX279" s="29">
        <f t="shared" si="319"/>
        <v>0</v>
      </c>
      <c r="AY279" s="54" t="s">
        <v>642</v>
      </c>
      <c r="AZ279" s="54" t="s">
        <v>1537</v>
      </c>
      <c r="BA279" s="48" t="s">
        <v>1542</v>
      </c>
      <c r="BC279" s="29">
        <f t="shared" si="320"/>
        <v>0</v>
      </c>
      <c r="BD279" s="29">
        <f t="shared" si="321"/>
        <v>0</v>
      </c>
      <c r="BE279" s="29">
        <v>0</v>
      </c>
      <c r="BF279" s="29">
        <f t="shared" si="322"/>
        <v>0</v>
      </c>
      <c r="BH279" s="55">
        <f t="shared" si="323"/>
        <v>0</v>
      </c>
      <c r="BI279" s="55">
        <f t="shared" si="324"/>
        <v>0</v>
      </c>
      <c r="BJ279" s="55">
        <f t="shared" si="325"/>
        <v>0</v>
      </c>
    </row>
    <row r="280" spans="1:62" ht="12.75">
      <c r="A280" s="36" t="s">
        <v>732</v>
      </c>
      <c r="B280" s="36" t="s">
        <v>60</v>
      </c>
      <c r="C280" s="36" t="s">
        <v>973</v>
      </c>
      <c r="D280" s="36" t="s">
        <v>1270</v>
      </c>
      <c r="E280" s="36" t="s">
        <v>606</v>
      </c>
      <c r="F280" s="55">
        <f>'Stavební rozpočet'!F282</f>
        <v>1</v>
      </c>
      <c r="G280" s="55">
        <f>'Stavební rozpočet'!G282</f>
        <v>0</v>
      </c>
      <c r="H280" s="55">
        <f t="shared" si="300"/>
        <v>0</v>
      </c>
      <c r="I280" s="55">
        <f t="shared" si="301"/>
        <v>0</v>
      </c>
      <c r="J280" s="55">
        <f t="shared" si="302"/>
        <v>0</v>
      </c>
      <c r="K280" s="55">
        <f>'Stavební rozpočet'!K282</f>
        <v>0</v>
      </c>
      <c r="L280" s="55">
        <f t="shared" si="303"/>
        <v>0</v>
      </c>
      <c r="M280" s="51" t="s">
        <v>622</v>
      </c>
      <c r="Z280" s="29">
        <f t="shared" si="304"/>
        <v>0</v>
      </c>
      <c r="AB280" s="29">
        <f t="shared" si="305"/>
        <v>0</v>
      </c>
      <c r="AC280" s="29">
        <f t="shared" si="306"/>
        <v>0</v>
      </c>
      <c r="AD280" s="29">
        <f t="shared" si="307"/>
        <v>0</v>
      </c>
      <c r="AE280" s="29">
        <f t="shared" si="308"/>
        <v>0</v>
      </c>
      <c r="AF280" s="29">
        <f t="shared" si="309"/>
        <v>0</v>
      </c>
      <c r="AG280" s="29">
        <f t="shared" si="310"/>
        <v>0</v>
      </c>
      <c r="AH280" s="29">
        <f t="shared" si="311"/>
        <v>0</v>
      </c>
      <c r="AI280" s="48" t="s">
        <v>60</v>
      </c>
      <c r="AJ280" s="55">
        <f t="shared" si="312"/>
        <v>0</v>
      </c>
      <c r="AK280" s="55">
        <f t="shared" si="313"/>
        <v>0</v>
      </c>
      <c r="AL280" s="55">
        <f t="shared" si="314"/>
        <v>0</v>
      </c>
      <c r="AN280" s="29">
        <v>15</v>
      </c>
      <c r="AO280" s="29">
        <f t="shared" si="315"/>
        <v>0</v>
      </c>
      <c r="AP280" s="29">
        <f t="shared" si="316"/>
        <v>0</v>
      </c>
      <c r="AQ280" s="51" t="s">
        <v>85</v>
      </c>
      <c r="AV280" s="29">
        <f t="shared" si="317"/>
        <v>0</v>
      </c>
      <c r="AW280" s="29">
        <f t="shared" si="318"/>
        <v>0</v>
      </c>
      <c r="AX280" s="29">
        <f t="shared" si="319"/>
        <v>0</v>
      </c>
      <c r="AY280" s="54" t="s">
        <v>642</v>
      </c>
      <c r="AZ280" s="54" t="s">
        <v>1537</v>
      </c>
      <c r="BA280" s="48" t="s">
        <v>1542</v>
      </c>
      <c r="BC280" s="29">
        <f t="shared" si="320"/>
        <v>0</v>
      </c>
      <c r="BD280" s="29">
        <f t="shared" si="321"/>
        <v>0</v>
      </c>
      <c r="BE280" s="29">
        <v>0</v>
      </c>
      <c r="BF280" s="29">
        <f t="shared" si="322"/>
        <v>0</v>
      </c>
      <c r="BH280" s="55">
        <f t="shared" si="323"/>
        <v>0</v>
      </c>
      <c r="BI280" s="55">
        <f t="shared" si="324"/>
        <v>0</v>
      </c>
      <c r="BJ280" s="55">
        <f t="shared" si="325"/>
        <v>0</v>
      </c>
    </row>
    <row r="281" spans="1:62" ht="12.75">
      <c r="A281" s="36" t="s">
        <v>733</v>
      </c>
      <c r="B281" s="36" t="s">
        <v>60</v>
      </c>
      <c r="C281" s="36" t="s">
        <v>974</v>
      </c>
      <c r="D281" s="36" t="s">
        <v>1271</v>
      </c>
      <c r="E281" s="36" t="s">
        <v>606</v>
      </c>
      <c r="F281" s="55">
        <f>'Stavební rozpočet'!F283</f>
        <v>3</v>
      </c>
      <c r="G281" s="55">
        <f>'Stavební rozpočet'!G283</f>
        <v>0</v>
      </c>
      <c r="H281" s="55">
        <f t="shared" si="300"/>
        <v>0</v>
      </c>
      <c r="I281" s="55">
        <f t="shared" si="301"/>
        <v>0</v>
      </c>
      <c r="J281" s="55">
        <f t="shared" si="302"/>
        <v>0</v>
      </c>
      <c r="K281" s="55">
        <f>'Stavební rozpočet'!K283</f>
        <v>0</v>
      </c>
      <c r="L281" s="55">
        <f t="shared" si="303"/>
        <v>0</v>
      </c>
      <c r="M281" s="51" t="s">
        <v>622</v>
      </c>
      <c r="Z281" s="29">
        <f t="shared" si="304"/>
        <v>0</v>
      </c>
      <c r="AB281" s="29">
        <f t="shared" si="305"/>
        <v>0</v>
      </c>
      <c r="AC281" s="29">
        <f t="shared" si="306"/>
        <v>0</v>
      </c>
      <c r="AD281" s="29">
        <f t="shared" si="307"/>
        <v>0</v>
      </c>
      <c r="AE281" s="29">
        <f t="shared" si="308"/>
        <v>0</v>
      </c>
      <c r="AF281" s="29">
        <f t="shared" si="309"/>
        <v>0</v>
      </c>
      <c r="AG281" s="29">
        <f t="shared" si="310"/>
        <v>0</v>
      </c>
      <c r="AH281" s="29">
        <f t="shared" si="311"/>
        <v>0</v>
      </c>
      <c r="AI281" s="48" t="s">
        <v>60</v>
      </c>
      <c r="AJ281" s="55">
        <f t="shared" si="312"/>
        <v>0</v>
      </c>
      <c r="AK281" s="55">
        <f t="shared" si="313"/>
        <v>0</v>
      </c>
      <c r="AL281" s="55">
        <f t="shared" si="314"/>
        <v>0</v>
      </c>
      <c r="AN281" s="29">
        <v>15</v>
      </c>
      <c r="AO281" s="29">
        <f t="shared" si="315"/>
        <v>0</v>
      </c>
      <c r="AP281" s="29">
        <f t="shared" si="316"/>
        <v>0</v>
      </c>
      <c r="AQ281" s="51" t="s">
        <v>85</v>
      </c>
      <c r="AV281" s="29">
        <f t="shared" si="317"/>
        <v>0</v>
      </c>
      <c r="AW281" s="29">
        <f t="shared" si="318"/>
        <v>0</v>
      </c>
      <c r="AX281" s="29">
        <f t="shared" si="319"/>
        <v>0</v>
      </c>
      <c r="AY281" s="54" t="s">
        <v>642</v>
      </c>
      <c r="AZ281" s="54" t="s">
        <v>1537</v>
      </c>
      <c r="BA281" s="48" t="s">
        <v>1542</v>
      </c>
      <c r="BC281" s="29">
        <f t="shared" si="320"/>
        <v>0</v>
      </c>
      <c r="BD281" s="29">
        <f t="shared" si="321"/>
        <v>0</v>
      </c>
      <c r="BE281" s="29">
        <v>0</v>
      </c>
      <c r="BF281" s="29">
        <f t="shared" si="322"/>
        <v>0</v>
      </c>
      <c r="BH281" s="55">
        <f t="shared" si="323"/>
        <v>0</v>
      </c>
      <c r="BI281" s="55">
        <f t="shared" si="324"/>
        <v>0</v>
      </c>
      <c r="BJ281" s="55">
        <f t="shared" si="325"/>
        <v>0</v>
      </c>
    </row>
    <row r="282" spans="1:62" ht="12.75">
      <c r="A282" s="36" t="s">
        <v>734</v>
      </c>
      <c r="B282" s="36" t="s">
        <v>60</v>
      </c>
      <c r="C282" s="36" t="s">
        <v>975</v>
      </c>
      <c r="D282" s="36" t="s">
        <v>1272</v>
      </c>
      <c r="E282" s="36" t="s">
        <v>606</v>
      </c>
      <c r="F282" s="55">
        <f>'Stavební rozpočet'!F284</f>
        <v>1</v>
      </c>
      <c r="G282" s="55">
        <f>'Stavební rozpočet'!G284</f>
        <v>0</v>
      </c>
      <c r="H282" s="55">
        <f t="shared" si="300"/>
        <v>0</v>
      </c>
      <c r="I282" s="55">
        <f t="shared" si="301"/>
        <v>0</v>
      </c>
      <c r="J282" s="55">
        <f t="shared" si="302"/>
        <v>0</v>
      </c>
      <c r="K282" s="55">
        <f>'Stavební rozpočet'!K284</f>
        <v>0</v>
      </c>
      <c r="L282" s="55">
        <f t="shared" si="303"/>
        <v>0</v>
      </c>
      <c r="M282" s="51" t="s">
        <v>622</v>
      </c>
      <c r="Z282" s="29">
        <f t="shared" si="304"/>
        <v>0</v>
      </c>
      <c r="AB282" s="29">
        <f t="shared" si="305"/>
        <v>0</v>
      </c>
      <c r="AC282" s="29">
        <f t="shared" si="306"/>
        <v>0</v>
      </c>
      <c r="AD282" s="29">
        <f t="shared" si="307"/>
        <v>0</v>
      </c>
      <c r="AE282" s="29">
        <f t="shared" si="308"/>
        <v>0</v>
      </c>
      <c r="AF282" s="29">
        <f t="shared" si="309"/>
        <v>0</v>
      </c>
      <c r="AG282" s="29">
        <f t="shared" si="310"/>
        <v>0</v>
      </c>
      <c r="AH282" s="29">
        <f t="shared" si="311"/>
        <v>0</v>
      </c>
      <c r="AI282" s="48" t="s">
        <v>60</v>
      </c>
      <c r="AJ282" s="55">
        <f t="shared" si="312"/>
        <v>0</v>
      </c>
      <c r="AK282" s="55">
        <f t="shared" si="313"/>
        <v>0</v>
      </c>
      <c r="AL282" s="55">
        <f t="shared" si="314"/>
        <v>0</v>
      </c>
      <c r="AN282" s="29">
        <v>15</v>
      </c>
      <c r="AO282" s="29">
        <f t="shared" si="315"/>
        <v>0</v>
      </c>
      <c r="AP282" s="29">
        <f t="shared" si="316"/>
        <v>0</v>
      </c>
      <c r="AQ282" s="51" t="s">
        <v>85</v>
      </c>
      <c r="AV282" s="29">
        <f t="shared" si="317"/>
        <v>0</v>
      </c>
      <c r="AW282" s="29">
        <f t="shared" si="318"/>
        <v>0</v>
      </c>
      <c r="AX282" s="29">
        <f t="shared" si="319"/>
        <v>0</v>
      </c>
      <c r="AY282" s="54" t="s">
        <v>642</v>
      </c>
      <c r="AZ282" s="54" t="s">
        <v>1537</v>
      </c>
      <c r="BA282" s="48" t="s">
        <v>1542</v>
      </c>
      <c r="BC282" s="29">
        <f t="shared" si="320"/>
        <v>0</v>
      </c>
      <c r="BD282" s="29">
        <f t="shared" si="321"/>
        <v>0</v>
      </c>
      <c r="BE282" s="29">
        <v>0</v>
      </c>
      <c r="BF282" s="29">
        <f t="shared" si="322"/>
        <v>0</v>
      </c>
      <c r="BH282" s="55">
        <f t="shared" si="323"/>
        <v>0</v>
      </c>
      <c r="BI282" s="55">
        <f t="shared" si="324"/>
        <v>0</v>
      </c>
      <c r="BJ282" s="55">
        <f t="shared" si="325"/>
        <v>0</v>
      </c>
    </row>
    <row r="283" spans="1:62" ht="12.75">
      <c r="A283" s="36" t="s">
        <v>735</v>
      </c>
      <c r="B283" s="36" t="s">
        <v>60</v>
      </c>
      <c r="C283" s="36" t="s">
        <v>976</v>
      </c>
      <c r="D283" s="36" t="s">
        <v>1273</v>
      </c>
      <c r="E283" s="36" t="s">
        <v>606</v>
      </c>
      <c r="F283" s="55">
        <f>'Stavební rozpočet'!F285</f>
        <v>1</v>
      </c>
      <c r="G283" s="55">
        <f>'Stavební rozpočet'!G285</f>
        <v>0</v>
      </c>
      <c r="H283" s="55">
        <f t="shared" si="300"/>
        <v>0</v>
      </c>
      <c r="I283" s="55">
        <f t="shared" si="301"/>
        <v>0</v>
      </c>
      <c r="J283" s="55">
        <f t="shared" si="302"/>
        <v>0</v>
      </c>
      <c r="K283" s="55">
        <f>'Stavební rozpočet'!K285</f>
        <v>0</v>
      </c>
      <c r="L283" s="55">
        <f t="shared" si="303"/>
        <v>0</v>
      </c>
      <c r="M283" s="51" t="s">
        <v>622</v>
      </c>
      <c r="Z283" s="29">
        <f t="shared" si="304"/>
        <v>0</v>
      </c>
      <c r="AB283" s="29">
        <f t="shared" si="305"/>
        <v>0</v>
      </c>
      <c r="AC283" s="29">
        <f t="shared" si="306"/>
        <v>0</v>
      </c>
      <c r="AD283" s="29">
        <f t="shared" si="307"/>
        <v>0</v>
      </c>
      <c r="AE283" s="29">
        <f t="shared" si="308"/>
        <v>0</v>
      </c>
      <c r="AF283" s="29">
        <f t="shared" si="309"/>
        <v>0</v>
      </c>
      <c r="AG283" s="29">
        <f t="shared" si="310"/>
        <v>0</v>
      </c>
      <c r="AH283" s="29">
        <f t="shared" si="311"/>
        <v>0</v>
      </c>
      <c r="AI283" s="48" t="s">
        <v>60</v>
      </c>
      <c r="AJ283" s="55">
        <f t="shared" si="312"/>
        <v>0</v>
      </c>
      <c r="AK283" s="55">
        <f t="shared" si="313"/>
        <v>0</v>
      </c>
      <c r="AL283" s="55">
        <f t="shared" si="314"/>
        <v>0</v>
      </c>
      <c r="AN283" s="29">
        <v>15</v>
      </c>
      <c r="AO283" s="29">
        <f t="shared" si="315"/>
        <v>0</v>
      </c>
      <c r="AP283" s="29">
        <f t="shared" si="316"/>
        <v>0</v>
      </c>
      <c r="AQ283" s="51" t="s">
        <v>85</v>
      </c>
      <c r="AV283" s="29">
        <f t="shared" si="317"/>
        <v>0</v>
      </c>
      <c r="AW283" s="29">
        <f t="shared" si="318"/>
        <v>0</v>
      </c>
      <c r="AX283" s="29">
        <f t="shared" si="319"/>
        <v>0</v>
      </c>
      <c r="AY283" s="54" t="s">
        <v>642</v>
      </c>
      <c r="AZ283" s="54" t="s">
        <v>1537</v>
      </c>
      <c r="BA283" s="48" t="s">
        <v>1542</v>
      </c>
      <c r="BC283" s="29">
        <f t="shared" si="320"/>
        <v>0</v>
      </c>
      <c r="BD283" s="29">
        <f t="shared" si="321"/>
        <v>0</v>
      </c>
      <c r="BE283" s="29">
        <v>0</v>
      </c>
      <c r="BF283" s="29">
        <f t="shared" si="322"/>
        <v>0</v>
      </c>
      <c r="BH283" s="55">
        <f t="shared" si="323"/>
        <v>0</v>
      </c>
      <c r="BI283" s="55">
        <f t="shared" si="324"/>
        <v>0</v>
      </c>
      <c r="BJ283" s="55">
        <f t="shared" si="325"/>
        <v>0</v>
      </c>
    </row>
    <row r="284" spans="1:62" ht="12.75">
      <c r="A284" s="36" t="s">
        <v>736</v>
      </c>
      <c r="B284" s="36" t="s">
        <v>60</v>
      </c>
      <c r="C284" s="36" t="s">
        <v>977</v>
      </c>
      <c r="D284" s="36" t="s">
        <v>1274</v>
      </c>
      <c r="E284" s="36" t="s">
        <v>606</v>
      </c>
      <c r="F284" s="55">
        <f>'Stavební rozpočet'!F286</f>
        <v>1</v>
      </c>
      <c r="G284" s="55">
        <f>'Stavební rozpočet'!G286</f>
        <v>0</v>
      </c>
      <c r="H284" s="55">
        <f t="shared" si="300"/>
        <v>0</v>
      </c>
      <c r="I284" s="55">
        <f t="shared" si="301"/>
        <v>0</v>
      </c>
      <c r="J284" s="55">
        <f t="shared" si="302"/>
        <v>0</v>
      </c>
      <c r="K284" s="55">
        <f>'Stavební rozpočet'!K286</f>
        <v>0</v>
      </c>
      <c r="L284" s="55">
        <f t="shared" si="303"/>
        <v>0</v>
      </c>
      <c r="M284" s="51" t="s">
        <v>622</v>
      </c>
      <c r="Z284" s="29">
        <f t="shared" si="304"/>
        <v>0</v>
      </c>
      <c r="AB284" s="29">
        <f t="shared" si="305"/>
        <v>0</v>
      </c>
      <c r="AC284" s="29">
        <f t="shared" si="306"/>
        <v>0</v>
      </c>
      <c r="AD284" s="29">
        <f t="shared" si="307"/>
        <v>0</v>
      </c>
      <c r="AE284" s="29">
        <f t="shared" si="308"/>
        <v>0</v>
      </c>
      <c r="AF284" s="29">
        <f t="shared" si="309"/>
        <v>0</v>
      </c>
      <c r="AG284" s="29">
        <f t="shared" si="310"/>
        <v>0</v>
      </c>
      <c r="AH284" s="29">
        <f t="shared" si="311"/>
        <v>0</v>
      </c>
      <c r="AI284" s="48" t="s">
        <v>60</v>
      </c>
      <c r="AJ284" s="55">
        <f t="shared" si="312"/>
        <v>0</v>
      </c>
      <c r="AK284" s="55">
        <f t="shared" si="313"/>
        <v>0</v>
      </c>
      <c r="AL284" s="55">
        <f t="shared" si="314"/>
        <v>0</v>
      </c>
      <c r="AN284" s="29">
        <v>15</v>
      </c>
      <c r="AO284" s="29">
        <f t="shared" si="315"/>
        <v>0</v>
      </c>
      <c r="AP284" s="29">
        <f t="shared" si="316"/>
        <v>0</v>
      </c>
      <c r="AQ284" s="51" t="s">
        <v>85</v>
      </c>
      <c r="AV284" s="29">
        <f t="shared" si="317"/>
        <v>0</v>
      </c>
      <c r="AW284" s="29">
        <f t="shared" si="318"/>
        <v>0</v>
      </c>
      <c r="AX284" s="29">
        <f t="shared" si="319"/>
        <v>0</v>
      </c>
      <c r="AY284" s="54" t="s">
        <v>642</v>
      </c>
      <c r="AZ284" s="54" t="s">
        <v>1537</v>
      </c>
      <c r="BA284" s="48" t="s">
        <v>1542</v>
      </c>
      <c r="BC284" s="29">
        <f t="shared" si="320"/>
        <v>0</v>
      </c>
      <c r="BD284" s="29">
        <f t="shared" si="321"/>
        <v>0</v>
      </c>
      <c r="BE284" s="29">
        <v>0</v>
      </c>
      <c r="BF284" s="29">
        <f t="shared" si="322"/>
        <v>0</v>
      </c>
      <c r="BH284" s="55">
        <f t="shared" si="323"/>
        <v>0</v>
      </c>
      <c r="BI284" s="55">
        <f t="shared" si="324"/>
        <v>0</v>
      </c>
      <c r="BJ284" s="55">
        <f t="shared" si="325"/>
        <v>0</v>
      </c>
    </row>
    <row r="285" spans="1:62" ht="12.75">
      <c r="A285" s="36" t="s">
        <v>737</v>
      </c>
      <c r="B285" s="36" t="s">
        <v>60</v>
      </c>
      <c r="C285" s="36" t="s">
        <v>978</v>
      </c>
      <c r="D285" s="36" t="s">
        <v>1275</v>
      </c>
      <c r="E285" s="36" t="s">
        <v>606</v>
      </c>
      <c r="F285" s="55">
        <f>'Stavební rozpočet'!F287</f>
        <v>0</v>
      </c>
      <c r="G285" s="55">
        <f>'Stavební rozpočet'!G287</f>
        <v>0</v>
      </c>
      <c r="H285" s="55">
        <f t="shared" si="300"/>
        <v>0</v>
      </c>
      <c r="I285" s="55">
        <f t="shared" si="301"/>
        <v>0</v>
      </c>
      <c r="J285" s="55">
        <f t="shared" si="302"/>
        <v>0</v>
      </c>
      <c r="K285" s="55">
        <f>'Stavební rozpočet'!K287</f>
        <v>0</v>
      </c>
      <c r="L285" s="55">
        <f t="shared" si="303"/>
        <v>0</v>
      </c>
      <c r="M285" s="51" t="s">
        <v>622</v>
      </c>
      <c r="Z285" s="29">
        <f t="shared" si="304"/>
        <v>0</v>
      </c>
      <c r="AB285" s="29">
        <f t="shared" si="305"/>
        <v>0</v>
      </c>
      <c r="AC285" s="29">
        <f t="shared" si="306"/>
        <v>0</v>
      </c>
      <c r="AD285" s="29">
        <f t="shared" si="307"/>
        <v>0</v>
      </c>
      <c r="AE285" s="29">
        <f t="shared" si="308"/>
        <v>0</v>
      </c>
      <c r="AF285" s="29">
        <f t="shared" si="309"/>
        <v>0</v>
      </c>
      <c r="AG285" s="29">
        <f t="shared" si="310"/>
        <v>0</v>
      </c>
      <c r="AH285" s="29">
        <f t="shared" si="311"/>
        <v>0</v>
      </c>
      <c r="AI285" s="48" t="s">
        <v>60</v>
      </c>
      <c r="AJ285" s="55">
        <f t="shared" si="312"/>
        <v>0</v>
      </c>
      <c r="AK285" s="55">
        <f t="shared" si="313"/>
        <v>0</v>
      </c>
      <c r="AL285" s="55">
        <f t="shared" si="314"/>
        <v>0</v>
      </c>
      <c r="AN285" s="29">
        <v>15</v>
      </c>
      <c r="AO285" s="29">
        <f t="shared" si="315"/>
        <v>0</v>
      </c>
      <c r="AP285" s="29">
        <f t="shared" si="316"/>
        <v>0</v>
      </c>
      <c r="AQ285" s="51" t="s">
        <v>85</v>
      </c>
      <c r="AV285" s="29">
        <f t="shared" si="317"/>
        <v>0</v>
      </c>
      <c r="AW285" s="29">
        <f t="shared" si="318"/>
        <v>0</v>
      </c>
      <c r="AX285" s="29">
        <f t="shared" si="319"/>
        <v>0</v>
      </c>
      <c r="AY285" s="54" t="s">
        <v>642</v>
      </c>
      <c r="AZ285" s="54" t="s">
        <v>1537</v>
      </c>
      <c r="BA285" s="48" t="s">
        <v>1542</v>
      </c>
      <c r="BC285" s="29">
        <f t="shared" si="320"/>
        <v>0</v>
      </c>
      <c r="BD285" s="29">
        <f t="shared" si="321"/>
        <v>0</v>
      </c>
      <c r="BE285" s="29">
        <v>0</v>
      </c>
      <c r="BF285" s="29">
        <f t="shared" si="322"/>
        <v>0</v>
      </c>
      <c r="BH285" s="55">
        <f t="shared" si="323"/>
        <v>0</v>
      </c>
      <c r="BI285" s="55">
        <f t="shared" si="324"/>
        <v>0</v>
      </c>
      <c r="BJ285" s="55">
        <f t="shared" si="325"/>
        <v>0</v>
      </c>
    </row>
    <row r="286" spans="1:62" ht="12.75">
      <c r="A286" s="36" t="s">
        <v>738</v>
      </c>
      <c r="B286" s="36" t="s">
        <v>60</v>
      </c>
      <c r="C286" s="36" t="s">
        <v>979</v>
      </c>
      <c r="D286" s="36" t="s">
        <v>1276</v>
      </c>
      <c r="E286" s="36" t="s">
        <v>606</v>
      </c>
      <c r="F286" s="55">
        <f>'Stavební rozpočet'!F288</f>
        <v>0</v>
      </c>
      <c r="G286" s="55">
        <f>'Stavební rozpočet'!G288</f>
        <v>0</v>
      </c>
      <c r="H286" s="55">
        <f t="shared" si="300"/>
        <v>0</v>
      </c>
      <c r="I286" s="55">
        <f t="shared" si="301"/>
        <v>0</v>
      </c>
      <c r="J286" s="55">
        <f t="shared" si="302"/>
        <v>0</v>
      </c>
      <c r="K286" s="55">
        <f>'Stavební rozpočet'!K288</f>
        <v>0</v>
      </c>
      <c r="L286" s="55">
        <f t="shared" si="303"/>
        <v>0</v>
      </c>
      <c r="M286" s="51" t="s">
        <v>622</v>
      </c>
      <c r="Z286" s="29">
        <f t="shared" si="304"/>
        <v>0</v>
      </c>
      <c r="AB286" s="29">
        <f t="shared" si="305"/>
        <v>0</v>
      </c>
      <c r="AC286" s="29">
        <f t="shared" si="306"/>
        <v>0</v>
      </c>
      <c r="AD286" s="29">
        <f t="shared" si="307"/>
        <v>0</v>
      </c>
      <c r="AE286" s="29">
        <f t="shared" si="308"/>
        <v>0</v>
      </c>
      <c r="AF286" s="29">
        <f t="shared" si="309"/>
        <v>0</v>
      </c>
      <c r="AG286" s="29">
        <f t="shared" si="310"/>
        <v>0</v>
      </c>
      <c r="AH286" s="29">
        <f t="shared" si="311"/>
        <v>0</v>
      </c>
      <c r="AI286" s="48" t="s">
        <v>60</v>
      </c>
      <c r="AJ286" s="55">
        <f t="shared" si="312"/>
        <v>0</v>
      </c>
      <c r="AK286" s="55">
        <f t="shared" si="313"/>
        <v>0</v>
      </c>
      <c r="AL286" s="55">
        <f t="shared" si="314"/>
        <v>0</v>
      </c>
      <c r="AN286" s="29">
        <v>15</v>
      </c>
      <c r="AO286" s="29">
        <f t="shared" si="315"/>
        <v>0</v>
      </c>
      <c r="AP286" s="29">
        <f t="shared" si="316"/>
        <v>0</v>
      </c>
      <c r="AQ286" s="51" t="s">
        <v>85</v>
      </c>
      <c r="AV286" s="29">
        <f t="shared" si="317"/>
        <v>0</v>
      </c>
      <c r="AW286" s="29">
        <f t="shared" si="318"/>
        <v>0</v>
      </c>
      <c r="AX286" s="29">
        <f t="shared" si="319"/>
        <v>0</v>
      </c>
      <c r="AY286" s="54" t="s">
        <v>642</v>
      </c>
      <c r="AZ286" s="54" t="s">
        <v>1537</v>
      </c>
      <c r="BA286" s="48" t="s">
        <v>1542</v>
      </c>
      <c r="BC286" s="29">
        <f t="shared" si="320"/>
        <v>0</v>
      </c>
      <c r="BD286" s="29">
        <f t="shared" si="321"/>
        <v>0</v>
      </c>
      <c r="BE286" s="29">
        <v>0</v>
      </c>
      <c r="BF286" s="29">
        <f t="shared" si="322"/>
        <v>0</v>
      </c>
      <c r="BH286" s="55">
        <f t="shared" si="323"/>
        <v>0</v>
      </c>
      <c r="BI286" s="55">
        <f t="shared" si="324"/>
        <v>0</v>
      </c>
      <c r="BJ286" s="55">
        <f t="shared" si="325"/>
        <v>0</v>
      </c>
    </row>
    <row r="287" spans="1:62" ht="12.75">
      <c r="A287" s="36" t="s">
        <v>739</v>
      </c>
      <c r="B287" s="36" t="s">
        <v>60</v>
      </c>
      <c r="C287" s="36" t="s">
        <v>980</v>
      </c>
      <c r="D287" s="36" t="s">
        <v>1277</v>
      </c>
      <c r="E287" s="36" t="s">
        <v>606</v>
      </c>
      <c r="F287" s="55">
        <f>'Stavební rozpočet'!F289</f>
        <v>0</v>
      </c>
      <c r="G287" s="55">
        <f>'Stavební rozpočet'!G289</f>
        <v>0</v>
      </c>
      <c r="H287" s="55">
        <f t="shared" si="300"/>
        <v>0</v>
      </c>
      <c r="I287" s="55">
        <f t="shared" si="301"/>
        <v>0</v>
      </c>
      <c r="J287" s="55">
        <f t="shared" si="302"/>
        <v>0</v>
      </c>
      <c r="K287" s="55">
        <f>'Stavební rozpočet'!K289</f>
        <v>0</v>
      </c>
      <c r="L287" s="55">
        <f t="shared" si="303"/>
        <v>0</v>
      </c>
      <c r="M287" s="51" t="s">
        <v>622</v>
      </c>
      <c r="Z287" s="29">
        <f t="shared" si="304"/>
        <v>0</v>
      </c>
      <c r="AB287" s="29">
        <f t="shared" si="305"/>
        <v>0</v>
      </c>
      <c r="AC287" s="29">
        <f t="shared" si="306"/>
        <v>0</v>
      </c>
      <c r="AD287" s="29">
        <f t="shared" si="307"/>
        <v>0</v>
      </c>
      <c r="AE287" s="29">
        <f t="shared" si="308"/>
        <v>0</v>
      </c>
      <c r="AF287" s="29">
        <f t="shared" si="309"/>
        <v>0</v>
      </c>
      <c r="AG287" s="29">
        <f t="shared" si="310"/>
        <v>0</v>
      </c>
      <c r="AH287" s="29">
        <f t="shared" si="311"/>
        <v>0</v>
      </c>
      <c r="AI287" s="48" t="s">
        <v>60</v>
      </c>
      <c r="AJ287" s="55">
        <f t="shared" si="312"/>
        <v>0</v>
      </c>
      <c r="AK287" s="55">
        <f t="shared" si="313"/>
        <v>0</v>
      </c>
      <c r="AL287" s="55">
        <f t="shared" si="314"/>
        <v>0</v>
      </c>
      <c r="AN287" s="29">
        <v>15</v>
      </c>
      <c r="AO287" s="29">
        <f t="shared" si="315"/>
        <v>0</v>
      </c>
      <c r="AP287" s="29">
        <f t="shared" si="316"/>
        <v>0</v>
      </c>
      <c r="AQ287" s="51" t="s">
        <v>85</v>
      </c>
      <c r="AV287" s="29">
        <f t="shared" si="317"/>
        <v>0</v>
      </c>
      <c r="AW287" s="29">
        <f t="shared" si="318"/>
        <v>0</v>
      </c>
      <c r="AX287" s="29">
        <f t="shared" si="319"/>
        <v>0</v>
      </c>
      <c r="AY287" s="54" t="s">
        <v>642</v>
      </c>
      <c r="AZ287" s="54" t="s">
        <v>1537</v>
      </c>
      <c r="BA287" s="48" t="s">
        <v>1542</v>
      </c>
      <c r="BC287" s="29">
        <f t="shared" si="320"/>
        <v>0</v>
      </c>
      <c r="BD287" s="29">
        <f t="shared" si="321"/>
        <v>0</v>
      </c>
      <c r="BE287" s="29">
        <v>0</v>
      </c>
      <c r="BF287" s="29">
        <f t="shared" si="322"/>
        <v>0</v>
      </c>
      <c r="BH287" s="55">
        <f t="shared" si="323"/>
        <v>0</v>
      </c>
      <c r="BI287" s="55">
        <f t="shared" si="324"/>
        <v>0</v>
      </c>
      <c r="BJ287" s="55">
        <f t="shared" si="325"/>
        <v>0</v>
      </c>
    </row>
    <row r="288" spans="1:62" ht="12.75">
      <c r="A288" s="36" t="s">
        <v>740</v>
      </c>
      <c r="B288" s="36" t="s">
        <v>60</v>
      </c>
      <c r="C288" s="36" t="s">
        <v>981</v>
      </c>
      <c r="D288" s="36" t="s">
        <v>1278</v>
      </c>
      <c r="E288" s="36" t="s">
        <v>606</v>
      </c>
      <c r="F288" s="55">
        <f>'Stavební rozpočet'!F290</f>
        <v>2</v>
      </c>
      <c r="G288" s="55">
        <f>'Stavební rozpočet'!G290</f>
        <v>0</v>
      </c>
      <c r="H288" s="55">
        <f t="shared" si="300"/>
        <v>0</v>
      </c>
      <c r="I288" s="55">
        <f t="shared" si="301"/>
        <v>0</v>
      </c>
      <c r="J288" s="55">
        <f t="shared" si="302"/>
        <v>0</v>
      </c>
      <c r="K288" s="55">
        <f>'Stavební rozpočet'!K290</f>
        <v>0</v>
      </c>
      <c r="L288" s="55">
        <f t="shared" si="303"/>
        <v>0</v>
      </c>
      <c r="M288" s="51" t="s">
        <v>622</v>
      </c>
      <c r="Z288" s="29">
        <f t="shared" si="304"/>
        <v>0</v>
      </c>
      <c r="AB288" s="29">
        <f t="shared" si="305"/>
        <v>0</v>
      </c>
      <c r="AC288" s="29">
        <f t="shared" si="306"/>
        <v>0</v>
      </c>
      <c r="AD288" s="29">
        <f t="shared" si="307"/>
        <v>0</v>
      </c>
      <c r="AE288" s="29">
        <f t="shared" si="308"/>
        <v>0</v>
      </c>
      <c r="AF288" s="29">
        <f t="shared" si="309"/>
        <v>0</v>
      </c>
      <c r="AG288" s="29">
        <f t="shared" si="310"/>
        <v>0</v>
      </c>
      <c r="AH288" s="29">
        <f t="shared" si="311"/>
        <v>0</v>
      </c>
      <c r="AI288" s="48" t="s">
        <v>60</v>
      </c>
      <c r="AJ288" s="55">
        <f t="shared" si="312"/>
        <v>0</v>
      </c>
      <c r="AK288" s="55">
        <f t="shared" si="313"/>
        <v>0</v>
      </c>
      <c r="AL288" s="55">
        <f t="shared" si="314"/>
        <v>0</v>
      </c>
      <c r="AN288" s="29">
        <v>15</v>
      </c>
      <c r="AO288" s="29">
        <f t="shared" si="315"/>
        <v>0</v>
      </c>
      <c r="AP288" s="29">
        <f t="shared" si="316"/>
        <v>0</v>
      </c>
      <c r="AQ288" s="51" t="s">
        <v>85</v>
      </c>
      <c r="AV288" s="29">
        <f t="shared" si="317"/>
        <v>0</v>
      </c>
      <c r="AW288" s="29">
        <f t="shared" si="318"/>
        <v>0</v>
      </c>
      <c r="AX288" s="29">
        <f t="shared" si="319"/>
        <v>0</v>
      </c>
      <c r="AY288" s="54" t="s">
        <v>642</v>
      </c>
      <c r="AZ288" s="54" t="s">
        <v>1537</v>
      </c>
      <c r="BA288" s="48" t="s">
        <v>1542</v>
      </c>
      <c r="BC288" s="29">
        <f t="shared" si="320"/>
        <v>0</v>
      </c>
      <c r="BD288" s="29">
        <f t="shared" si="321"/>
        <v>0</v>
      </c>
      <c r="BE288" s="29">
        <v>0</v>
      </c>
      <c r="BF288" s="29">
        <f t="shared" si="322"/>
        <v>0</v>
      </c>
      <c r="BH288" s="55">
        <f t="shared" si="323"/>
        <v>0</v>
      </c>
      <c r="BI288" s="55">
        <f t="shared" si="324"/>
        <v>0</v>
      </c>
      <c r="BJ288" s="55">
        <f t="shared" si="325"/>
        <v>0</v>
      </c>
    </row>
    <row r="289" spans="1:62" ht="12.75">
      <c r="A289" s="36" t="s">
        <v>741</v>
      </c>
      <c r="B289" s="36" t="s">
        <v>60</v>
      </c>
      <c r="C289" s="36" t="s">
        <v>982</v>
      </c>
      <c r="D289" s="36" t="s">
        <v>1279</v>
      </c>
      <c r="E289" s="36" t="s">
        <v>606</v>
      </c>
      <c r="F289" s="55">
        <f>'Stavební rozpočet'!F291</f>
        <v>1</v>
      </c>
      <c r="G289" s="55">
        <f>'Stavební rozpočet'!G291</f>
        <v>0</v>
      </c>
      <c r="H289" s="55">
        <f t="shared" si="300"/>
        <v>0</v>
      </c>
      <c r="I289" s="55">
        <f t="shared" si="301"/>
        <v>0</v>
      </c>
      <c r="J289" s="55">
        <f t="shared" si="302"/>
        <v>0</v>
      </c>
      <c r="K289" s="55">
        <f>'Stavební rozpočet'!K291</f>
        <v>0</v>
      </c>
      <c r="L289" s="55">
        <f t="shared" si="303"/>
        <v>0</v>
      </c>
      <c r="M289" s="51" t="s">
        <v>622</v>
      </c>
      <c r="Z289" s="29">
        <f t="shared" si="304"/>
        <v>0</v>
      </c>
      <c r="AB289" s="29">
        <f t="shared" si="305"/>
        <v>0</v>
      </c>
      <c r="AC289" s="29">
        <f t="shared" si="306"/>
        <v>0</v>
      </c>
      <c r="AD289" s="29">
        <f t="shared" si="307"/>
        <v>0</v>
      </c>
      <c r="AE289" s="29">
        <f t="shared" si="308"/>
        <v>0</v>
      </c>
      <c r="AF289" s="29">
        <f t="shared" si="309"/>
        <v>0</v>
      </c>
      <c r="AG289" s="29">
        <f t="shared" si="310"/>
        <v>0</v>
      </c>
      <c r="AH289" s="29">
        <f t="shared" si="311"/>
        <v>0</v>
      </c>
      <c r="AI289" s="48" t="s">
        <v>60</v>
      </c>
      <c r="AJ289" s="55">
        <f t="shared" si="312"/>
        <v>0</v>
      </c>
      <c r="AK289" s="55">
        <f t="shared" si="313"/>
        <v>0</v>
      </c>
      <c r="AL289" s="55">
        <f t="shared" si="314"/>
        <v>0</v>
      </c>
      <c r="AN289" s="29">
        <v>15</v>
      </c>
      <c r="AO289" s="29">
        <f t="shared" si="315"/>
        <v>0</v>
      </c>
      <c r="AP289" s="29">
        <f t="shared" si="316"/>
        <v>0</v>
      </c>
      <c r="AQ289" s="51" t="s">
        <v>85</v>
      </c>
      <c r="AV289" s="29">
        <f t="shared" si="317"/>
        <v>0</v>
      </c>
      <c r="AW289" s="29">
        <f t="shared" si="318"/>
        <v>0</v>
      </c>
      <c r="AX289" s="29">
        <f t="shared" si="319"/>
        <v>0</v>
      </c>
      <c r="AY289" s="54" t="s">
        <v>642</v>
      </c>
      <c r="AZ289" s="54" t="s">
        <v>1537</v>
      </c>
      <c r="BA289" s="48" t="s">
        <v>1542</v>
      </c>
      <c r="BC289" s="29">
        <f t="shared" si="320"/>
        <v>0</v>
      </c>
      <c r="BD289" s="29">
        <f t="shared" si="321"/>
        <v>0</v>
      </c>
      <c r="BE289" s="29">
        <v>0</v>
      </c>
      <c r="BF289" s="29">
        <f t="shared" si="322"/>
        <v>0</v>
      </c>
      <c r="BH289" s="55">
        <f t="shared" si="323"/>
        <v>0</v>
      </c>
      <c r="BI289" s="55">
        <f t="shared" si="324"/>
        <v>0</v>
      </c>
      <c r="BJ289" s="55">
        <f t="shared" si="325"/>
        <v>0</v>
      </c>
    </row>
    <row r="290" spans="1:62" ht="12.75">
      <c r="A290" s="36" t="s">
        <v>742</v>
      </c>
      <c r="B290" s="36" t="s">
        <v>60</v>
      </c>
      <c r="C290" s="36" t="s">
        <v>983</v>
      </c>
      <c r="D290" s="36" t="s">
        <v>1280</v>
      </c>
      <c r="E290" s="36" t="s">
        <v>606</v>
      </c>
      <c r="F290" s="55">
        <f>'Stavební rozpočet'!F292</f>
        <v>1</v>
      </c>
      <c r="G290" s="55">
        <f>'Stavební rozpočet'!G292</f>
        <v>0</v>
      </c>
      <c r="H290" s="55">
        <f aca="true" t="shared" si="326" ref="H290:H316">F290*AO290</f>
        <v>0</v>
      </c>
      <c r="I290" s="55">
        <f aca="true" t="shared" si="327" ref="I290:I316">F290*AP290</f>
        <v>0</v>
      </c>
      <c r="J290" s="55">
        <f aca="true" t="shared" si="328" ref="J290:J316">F290*G290</f>
        <v>0</v>
      </c>
      <c r="K290" s="55">
        <f>'Stavební rozpočet'!K292</f>
        <v>0</v>
      </c>
      <c r="L290" s="55">
        <f aca="true" t="shared" si="329" ref="L290:L316">F290*K290</f>
        <v>0</v>
      </c>
      <c r="M290" s="51" t="s">
        <v>622</v>
      </c>
      <c r="Z290" s="29">
        <f aca="true" t="shared" si="330" ref="Z290:Z316">IF(AQ290="5",BJ290,0)</f>
        <v>0</v>
      </c>
      <c r="AB290" s="29">
        <f aca="true" t="shared" si="331" ref="AB290:AB316">IF(AQ290="1",BH290,0)</f>
        <v>0</v>
      </c>
      <c r="AC290" s="29">
        <f aca="true" t="shared" si="332" ref="AC290:AC316">IF(AQ290="1",BI290,0)</f>
        <v>0</v>
      </c>
      <c r="AD290" s="29">
        <f aca="true" t="shared" si="333" ref="AD290:AD316">IF(AQ290="7",BH290,0)</f>
        <v>0</v>
      </c>
      <c r="AE290" s="29">
        <f aca="true" t="shared" si="334" ref="AE290:AE316">IF(AQ290="7",BI290,0)</f>
        <v>0</v>
      </c>
      <c r="AF290" s="29">
        <f aca="true" t="shared" si="335" ref="AF290:AF316">IF(AQ290="2",BH290,0)</f>
        <v>0</v>
      </c>
      <c r="AG290" s="29">
        <f aca="true" t="shared" si="336" ref="AG290:AG316">IF(AQ290="2",BI290,0)</f>
        <v>0</v>
      </c>
      <c r="AH290" s="29">
        <f aca="true" t="shared" si="337" ref="AH290:AH316">IF(AQ290="0",BJ290,0)</f>
        <v>0</v>
      </c>
      <c r="AI290" s="48" t="s">
        <v>60</v>
      </c>
      <c r="AJ290" s="55">
        <f aca="true" t="shared" si="338" ref="AJ290:AJ316">IF(AN290=0,J290,0)</f>
        <v>0</v>
      </c>
      <c r="AK290" s="55">
        <f aca="true" t="shared" si="339" ref="AK290:AK316">IF(AN290=15,J290,0)</f>
        <v>0</v>
      </c>
      <c r="AL290" s="55">
        <f aca="true" t="shared" si="340" ref="AL290:AL316">IF(AN290=21,J290,0)</f>
        <v>0</v>
      </c>
      <c r="AN290" s="29">
        <v>15</v>
      </c>
      <c r="AO290" s="29">
        <f aca="true" t="shared" si="341" ref="AO290:AO316">G290*0</f>
        <v>0</v>
      </c>
      <c r="AP290" s="29">
        <f aca="true" t="shared" si="342" ref="AP290:AP316">G290*(1-0)</f>
        <v>0</v>
      </c>
      <c r="AQ290" s="51" t="s">
        <v>85</v>
      </c>
      <c r="AV290" s="29">
        <f aca="true" t="shared" si="343" ref="AV290:AV316">AW290+AX290</f>
        <v>0</v>
      </c>
      <c r="AW290" s="29">
        <f aca="true" t="shared" si="344" ref="AW290:AW316">F290*AO290</f>
        <v>0</v>
      </c>
      <c r="AX290" s="29">
        <f aca="true" t="shared" si="345" ref="AX290:AX316">F290*AP290</f>
        <v>0</v>
      </c>
      <c r="AY290" s="54" t="s">
        <v>642</v>
      </c>
      <c r="AZ290" s="54" t="s">
        <v>1537</v>
      </c>
      <c r="BA290" s="48" t="s">
        <v>1542</v>
      </c>
      <c r="BC290" s="29">
        <f aca="true" t="shared" si="346" ref="BC290:BC316">AW290+AX290</f>
        <v>0</v>
      </c>
      <c r="BD290" s="29">
        <f aca="true" t="shared" si="347" ref="BD290:BD316">G290/(100-BE290)*100</f>
        <v>0</v>
      </c>
      <c r="BE290" s="29">
        <v>0</v>
      </c>
      <c r="BF290" s="29">
        <f aca="true" t="shared" si="348" ref="BF290:BF316">L290</f>
        <v>0</v>
      </c>
      <c r="BH290" s="55">
        <f aca="true" t="shared" si="349" ref="BH290:BH316">F290*AO290</f>
        <v>0</v>
      </c>
      <c r="BI290" s="55">
        <f aca="true" t="shared" si="350" ref="BI290:BI316">F290*AP290</f>
        <v>0</v>
      </c>
      <c r="BJ290" s="55">
        <f aca="true" t="shared" si="351" ref="BJ290:BJ316">F290*G290</f>
        <v>0</v>
      </c>
    </row>
    <row r="291" spans="1:62" ht="12.75">
      <c r="A291" s="36" t="s">
        <v>743</v>
      </c>
      <c r="B291" s="36" t="s">
        <v>60</v>
      </c>
      <c r="C291" s="36" t="s">
        <v>984</v>
      </c>
      <c r="D291" s="36" t="s">
        <v>1281</v>
      </c>
      <c r="E291" s="36" t="s">
        <v>606</v>
      </c>
      <c r="F291" s="55">
        <f>'Stavební rozpočet'!F293</f>
        <v>1</v>
      </c>
      <c r="G291" s="55">
        <f>'Stavební rozpočet'!G293</f>
        <v>0</v>
      </c>
      <c r="H291" s="55">
        <f t="shared" si="326"/>
        <v>0</v>
      </c>
      <c r="I291" s="55">
        <f t="shared" si="327"/>
        <v>0</v>
      </c>
      <c r="J291" s="55">
        <f t="shared" si="328"/>
        <v>0</v>
      </c>
      <c r="K291" s="55">
        <f>'Stavební rozpočet'!K293</f>
        <v>0</v>
      </c>
      <c r="L291" s="55">
        <f t="shared" si="329"/>
        <v>0</v>
      </c>
      <c r="M291" s="51" t="s">
        <v>622</v>
      </c>
      <c r="Z291" s="29">
        <f t="shared" si="330"/>
        <v>0</v>
      </c>
      <c r="AB291" s="29">
        <f t="shared" si="331"/>
        <v>0</v>
      </c>
      <c r="AC291" s="29">
        <f t="shared" si="332"/>
        <v>0</v>
      </c>
      <c r="AD291" s="29">
        <f t="shared" si="333"/>
        <v>0</v>
      </c>
      <c r="AE291" s="29">
        <f t="shared" si="334"/>
        <v>0</v>
      </c>
      <c r="AF291" s="29">
        <f t="shared" si="335"/>
        <v>0</v>
      </c>
      <c r="AG291" s="29">
        <f t="shared" si="336"/>
        <v>0</v>
      </c>
      <c r="AH291" s="29">
        <f t="shared" si="337"/>
        <v>0</v>
      </c>
      <c r="AI291" s="48" t="s">
        <v>60</v>
      </c>
      <c r="AJ291" s="55">
        <f t="shared" si="338"/>
        <v>0</v>
      </c>
      <c r="AK291" s="55">
        <f t="shared" si="339"/>
        <v>0</v>
      </c>
      <c r="AL291" s="55">
        <f t="shared" si="340"/>
        <v>0</v>
      </c>
      <c r="AN291" s="29">
        <v>15</v>
      </c>
      <c r="AO291" s="29">
        <f t="shared" si="341"/>
        <v>0</v>
      </c>
      <c r="AP291" s="29">
        <f t="shared" si="342"/>
        <v>0</v>
      </c>
      <c r="AQ291" s="51" t="s">
        <v>85</v>
      </c>
      <c r="AV291" s="29">
        <f t="shared" si="343"/>
        <v>0</v>
      </c>
      <c r="AW291" s="29">
        <f t="shared" si="344"/>
        <v>0</v>
      </c>
      <c r="AX291" s="29">
        <f t="shared" si="345"/>
        <v>0</v>
      </c>
      <c r="AY291" s="54" t="s">
        <v>642</v>
      </c>
      <c r="AZ291" s="54" t="s">
        <v>1537</v>
      </c>
      <c r="BA291" s="48" t="s">
        <v>1542</v>
      </c>
      <c r="BC291" s="29">
        <f t="shared" si="346"/>
        <v>0</v>
      </c>
      <c r="BD291" s="29">
        <f t="shared" si="347"/>
        <v>0</v>
      </c>
      <c r="BE291" s="29">
        <v>0</v>
      </c>
      <c r="BF291" s="29">
        <f t="shared" si="348"/>
        <v>0</v>
      </c>
      <c r="BH291" s="55">
        <f t="shared" si="349"/>
        <v>0</v>
      </c>
      <c r="BI291" s="55">
        <f t="shared" si="350"/>
        <v>0</v>
      </c>
      <c r="BJ291" s="55">
        <f t="shared" si="351"/>
        <v>0</v>
      </c>
    </row>
    <row r="292" spans="1:62" ht="12.75">
      <c r="A292" s="36" t="s">
        <v>744</v>
      </c>
      <c r="B292" s="36" t="s">
        <v>60</v>
      </c>
      <c r="C292" s="36" t="s">
        <v>985</v>
      </c>
      <c r="D292" s="36" t="s">
        <v>1282</v>
      </c>
      <c r="E292" s="36" t="s">
        <v>606</v>
      </c>
      <c r="F292" s="55">
        <f>'Stavební rozpočet'!F294</f>
        <v>1</v>
      </c>
      <c r="G292" s="55">
        <f>'Stavební rozpočet'!G294</f>
        <v>0</v>
      </c>
      <c r="H292" s="55">
        <f t="shared" si="326"/>
        <v>0</v>
      </c>
      <c r="I292" s="55">
        <f t="shared" si="327"/>
        <v>0</v>
      </c>
      <c r="J292" s="55">
        <f t="shared" si="328"/>
        <v>0</v>
      </c>
      <c r="K292" s="55">
        <f>'Stavební rozpočet'!K294</f>
        <v>0</v>
      </c>
      <c r="L292" s="55">
        <f t="shared" si="329"/>
        <v>0</v>
      </c>
      <c r="M292" s="51" t="s">
        <v>622</v>
      </c>
      <c r="Z292" s="29">
        <f t="shared" si="330"/>
        <v>0</v>
      </c>
      <c r="AB292" s="29">
        <f t="shared" si="331"/>
        <v>0</v>
      </c>
      <c r="AC292" s="29">
        <f t="shared" si="332"/>
        <v>0</v>
      </c>
      <c r="AD292" s="29">
        <f t="shared" si="333"/>
        <v>0</v>
      </c>
      <c r="AE292" s="29">
        <f t="shared" si="334"/>
        <v>0</v>
      </c>
      <c r="AF292" s="29">
        <f t="shared" si="335"/>
        <v>0</v>
      </c>
      <c r="AG292" s="29">
        <f t="shared" si="336"/>
        <v>0</v>
      </c>
      <c r="AH292" s="29">
        <f t="shared" si="337"/>
        <v>0</v>
      </c>
      <c r="AI292" s="48" t="s">
        <v>60</v>
      </c>
      <c r="AJ292" s="55">
        <f t="shared" si="338"/>
        <v>0</v>
      </c>
      <c r="AK292" s="55">
        <f t="shared" si="339"/>
        <v>0</v>
      </c>
      <c r="AL292" s="55">
        <f t="shared" si="340"/>
        <v>0</v>
      </c>
      <c r="AN292" s="29">
        <v>15</v>
      </c>
      <c r="AO292" s="29">
        <f t="shared" si="341"/>
        <v>0</v>
      </c>
      <c r="AP292" s="29">
        <f t="shared" si="342"/>
        <v>0</v>
      </c>
      <c r="AQ292" s="51" t="s">
        <v>85</v>
      </c>
      <c r="AV292" s="29">
        <f t="shared" si="343"/>
        <v>0</v>
      </c>
      <c r="AW292" s="29">
        <f t="shared" si="344"/>
        <v>0</v>
      </c>
      <c r="AX292" s="29">
        <f t="shared" si="345"/>
        <v>0</v>
      </c>
      <c r="AY292" s="54" t="s">
        <v>642</v>
      </c>
      <c r="AZ292" s="54" t="s">
        <v>1537</v>
      </c>
      <c r="BA292" s="48" t="s">
        <v>1542</v>
      </c>
      <c r="BC292" s="29">
        <f t="shared" si="346"/>
        <v>0</v>
      </c>
      <c r="BD292" s="29">
        <f t="shared" si="347"/>
        <v>0</v>
      </c>
      <c r="BE292" s="29">
        <v>0</v>
      </c>
      <c r="BF292" s="29">
        <f t="shared" si="348"/>
        <v>0</v>
      </c>
      <c r="BH292" s="55">
        <f t="shared" si="349"/>
        <v>0</v>
      </c>
      <c r="BI292" s="55">
        <f t="shared" si="350"/>
        <v>0</v>
      </c>
      <c r="BJ292" s="55">
        <f t="shared" si="351"/>
        <v>0</v>
      </c>
    </row>
    <row r="293" spans="1:62" ht="12.75">
      <c r="A293" s="36" t="s">
        <v>745</v>
      </c>
      <c r="B293" s="36" t="s">
        <v>60</v>
      </c>
      <c r="C293" s="36" t="s">
        <v>986</v>
      </c>
      <c r="D293" s="36" t="s">
        <v>1283</v>
      </c>
      <c r="E293" s="36" t="s">
        <v>606</v>
      </c>
      <c r="F293" s="55">
        <f>'Stavební rozpočet'!F295</f>
        <v>1</v>
      </c>
      <c r="G293" s="55">
        <f>'Stavební rozpočet'!G295</f>
        <v>0</v>
      </c>
      <c r="H293" s="55">
        <f t="shared" si="326"/>
        <v>0</v>
      </c>
      <c r="I293" s="55">
        <f t="shared" si="327"/>
        <v>0</v>
      </c>
      <c r="J293" s="55">
        <f t="shared" si="328"/>
        <v>0</v>
      </c>
      <c r="K293" s="55">
        <f>'Stavební rozpočet'!K295</f>
        <v>0</v>
      </c>
      <c r="L293" s="55">
        <f t="shared" si="329"/>
        <v>0</v>
      </c>
      <c r="M293" s="51" t="s">
        <v>622</v>
      </c>
      <c r="Z293" s="29">
        <f t="shared" si="330"/>
        <v>0</v>
      </c>
      <c r="AB293" s="29">
        <f t="shared" si="331"/>
        <v>0</v>
      </c>
      <c r="AC293" s="29">
        <f t="shared" si="332"/>
        <v>0</v>
      </c>
      <c r="AD293" s="29">
        <f t="shared" si="333"/>
        <v>0</v>
      </c>
      <c r="AE293" s="29">
        <f t="shared" si="334"/>
        <v>0</v>
      </c>
      <c r="AF293" s="29">
        <f t="shared" si="335"/>
        <v>0</v>
      </c>
      <c r="AG293" s="29">
        <f t="shared" si="336"/>
        <v>0</v>
      </c>
      <c r="AH293" s="29">
        <f t="shared" si="337"/>
        <v>0</v>
      </c>
      <c r="AI293" s="48" t="s">
        <v>60</v>
      </c>
      <c r="AJ293" s="55">
        <f t="shared" si="338"/>
        <v>0</v>
      </c>
      <c r="AK293" s="55">
        <f t="shared" si="339"/>
        <v>0</v>
      </c>
      <c r="AL293" s="55">
        <f t="shared" si="340"/>
        <v>0</v>
      </c>
      <c r="AN293" s="29">
        <v>15</v>
      </c>
      <c r="AO293" s="29">
        <f t="shared" si="341"/>
        <v>0</v>
      </c>
      <c r="AP293" s="29">
        <f t="shared" si="342"/>
        <v>0</v>
      </c>
      <c r="AQ293" s="51" t="s">
        <v>85</v>
      </c>
      <c r="AV293" s="29">
        <f t="shared" si="343"/>
        <v>0</v>
      </c>
      <c r="AW293" s="29">
        <f t="shared" si="344"/>
        <v>0</v>
      </c>
      <c r="AX293" s="29">
        <f t="shared" si="345"/>
        <v>0</v>
      </c>
      <c r="AY293" s="54" t="s">
        <v>642</v>
      </c>
      <c r="AZ293" s="54" t="s">
        <v>1537</v>
      </c>
      <c r="BA293" s="48" t="s">
        <v>1542</v>
      </c>
      <c r="BC293" s="29">
        <f t="shared" si="346"/>
        <v>0</v>
      </c>
      <c r="BD293" s="29">
        <f t="shared" si="347"/>
        <v>0</v>
      </c>
      <c r="BE293" s="29">
        <v>0</v>
      </c>
      <c r="BF293" s="29">
        <f t="shared" si="348"/>
        <v>0</v>
      </c>
      <c r="BH293" s="55">
        <f t="shared" si="349"/>
        <v>0</v>
      </c>
      <c r="BI293" s="55">
        <f t="shared" si="350"/>
        <v>0</v>
      </c>
      <c r="BJ293" s="55">
        <f t="shared" si="351"/>
        <v>0</v>
      </c>
    </row>
    <row r="294" spans="1:62" ht="12.75">
      <c r="A294" s="36" t="s">
        <v>746</v>
      </c>
      <c r="B294" s="36" t="s">
        <v>60</v>
      </c>
      <c r="C294" s="36" t="s">
        <v>987</v>
      </c>
      <c r="D294" s="36" t="s">
        <v>1284</v>
      </c>
      <c r="E294" s="36" t="s">
        <v>606</v>
      </c>
      <c r="F294" s="55">
        <f>'Stavební rozpočet'!F296</f>
        <v>0</v>
      </c>
      <c r="G294" s="55">
        <f>'Stavební rozpočet'!G296</f>
        <v>0</v>
      </c>
      <c r="H294" s="55">
        <f t="shared" si="326"/>
        <v>0</v>
      </c>
      <c r="I294" s="55">
        <f t="shared" si="327"/>
        <v>0</v>
      </c>
      <c r="J294" s="55">
        <f t="shared" si="328"/>
        <v>0</v>
      </c>
      <c r="K294" s="55">
        <f>'Stavební rozpočet'!K296</f>
        <v>0</v>
      </c>
      <c r="L294" s="55">
        <f t="shared" si="329"/>
        <v>0</v>
      </c>
      <c r="M294" s="51" t="s">
        <v>622</v>
      </c>
      <c r="Z294" s="29">
        <f t="shared" si="330"/>
        <v>0</v>
      </c>
      <c r="AB294" s="29">
        <f t="shared" si="331"/>
        <v>0</v>
      </c>
      <c r="AC294" s="29">
        <f t="shared" si="332"/>
        <v>0</v>
      </c>
      <c r="AD294" s="29">
        <f t="shared" si="333"/>
        <v>0</v>
      </c>
      <c r="AE294" s="29">
        <f t="shared" si="334"/>
        <v>0</v>
      </c>
      <c r="AF294" s="29">
        <f t="shared" si="335"/>
        <v>0</v>
      </c>
      <c r="AG294" s="29">
        <f t="shared" si="336"/>
        <v>0</v>
      </c>
      <c r="AH294" s="29">
        <f t="shared" si="337"/>
        <v>0</v>
      </c>
      <c r="AI294" s="48" t="s">
        <v>60</v>
      </c>
      <c r="AJ294" s="55">
        <f t="shared" si="338"/>
        <v>0</v>
      </c>
      <c r="AK294" s="55">
        <f t="shared" si="339"/>
        <v>0</v>
      </c>
      <c r="AL294" s="55">
        <f t="shared" si="340"/>
        <v>0</v>
      </c>
      <c r="AN294" s="29">
        <v>15</v>
      </c>
      <c r="AO294" s="29">
        <f t="shared" si="341"/>
        <v>0</v>
      </c>
      <c r="AP294" s="29">
        <f t="shared" si="342"/>
        <v>0</v>
      </c>
      <c r="AQ294" s="51" t="s">
        <v>85</v>
      </c>
      <c r="AV294" s="29">
        <f t="shared" si="343"/>
        <v>0</v>
      </c>
      <c r="AW294" s="29">
        <f t="shared" si="344"/>
        <v>0</v>
      </c>
      <c r="AX294" s="29">
        <f t="shared" si="345"/>
        <v>0</v>
      </c>
      <c r="AY294" s="54" t="s">
        <v>642</v>
      </c>
      <c r="AZ294" s="54" t="s">
        <v>1537</v>
      </c>
      <c r="BA294" s="48" t="s">
        <v>1542</v>
      </c>
      <c r="BC294" s="29">
        <f t="shared" si="346"/>
        <v>0</v>
      </c>
      <c r="BD294" s="29">
        <f t="shared" si="347"/>
        <v>0</v>
      </c>
      <c r="BE294" s="29">
        <v>0</v>
      </c>
      <c r="BF294" s="29">
        <f t="shared" si="348"/>
        <v>0</v>
      </c>
      <c r="BH294" s="55">
        <f t="shared" si="349"/>
        <v>0</v>
      </c>
      <c r="BI294" s="55">
        <f t="shared" si="350"/>
        <v>0</v>
      </c>
      <c r="BJ294" s="55">
        <f t="shared" si="351"/>
        <v>0</v>
      </c>
    </row>
    <row r="295" spans="1:62" ht="12.75">
      <c r="A295" s="36" t="s">
        <v>747</v>
      </c>
      <c r="B295" s="36" t="s">
        <v>60</v>
      </c>
      <c r="C295" s="36" t="s">
        <v>988</v>
      </c>
      <c r="D295" s="36" t="s">
        <v>1285</v>
      </c>
      <c r="E295" s="36" t="s">
        <v>1526</v>
      </c>
      <c r="F295" s="55">
        <f>'Stavební rozpočet'!F297</f>
        <v>1</v>
      </c>
      <c r="G295" s="55">
        <f>'Stavební rozpočet'!G297</f>
        <v>0</v>
      </c>
      <c r="H295" s="55">
        <f t="shared" si="326"/>
        <v>0</v>
      </c>
      <c r="I295" s="55">
        <f t="shared" si="327"/>
        <v>0</v>
      </c>
      <c r="J295" s="55">
        <f t="shared" si="328"/>
        <v>0</v>
      </c>
      <c r="K295" s="55">
        <f>'Stavební rozpočet'!K297</f>
        <v>0</v>
      </c>
      <c r="L295" s="55">
        <f t="shared" si="329"/>
        <v>0</v>
      </c>
      <c r="M295" s="51" t="s">
        <v>622</v>
      </c>
      <c r="Z295" s="29">
        <f t="shared" si="330"/>
        <v>0</v>
      </c>
      <c r="AB295" s="29">
        <f t="shared" si="331"/>
        <v>0</v>
      </c>
      <c r="AC295" s="29">
        <f t="shared" si="332"/>
        <v>0</v>
      </c>
      <c r="AD295" s="29">
        <f t="shared" si="333"/>
        <v>0</v>
      </c>
      <c r="AE295" s="29">
        <f t="shared" si="334"/>
        <v>0</v>
      </c>
      <c r="AF295" s="29">
        <f t="shared" si="335"/>
        <v>0</v>
      </c>
      <c r="AG295" s="29">
        <f t="shared" si="336"/>
        <v>0</v>
      </c>
      <c r="AH295" s="29">
        <f t="shared" si="337"/>
        <v>0</v>
      </c>
      <c r="AI295" s="48" t="s">
        <v>60</v>
      </c>
      <c r="AJ295" s="55">
        <f t="shared" si="338"/>
        <v>0</v>
      </c>
      <c r="AK295" s="55">
        <f t="shared" si="339"/>
        <v>0</v>
      </c>
      <c r="AL295" s="55">
        <f t="shared" si="340"/>
        <v>0</v>
      </c>
      <c r="AN295" s="29">
        <v>15</v>
      </c>
      <c r="AO295" s="29">
        <f t="shared" si="341"/>
        <v>0</v>
      </c>
      <c r="AP295" s="29">
        <f t="shared" si="342"/>
        <v>0</v>
      </c>
      <c r="AQ295" s="51" t="s">
        <v>85</v>
      </c>
      <c r="AV295" s="29">
        <f t="shared" si="343"/>
        <v>0</v>
      </c>
      <c r="AW295" s="29">
        <f t="shared" si="344"/>
        <v>0</v>
      </c>
      <c r="AX295" s="29">
        <f t="shared" si="345"/>
        <v>0</v>
      </c>
      <c r="AY295" s="54" t="s">
        <v>642</v>
      </c>
      <c r="AZ295" s="54" t="s">
        <v>1537</v>
      </c>
      <c r="BA295" s="48" t="s">
        <v>1542</v>
      </c>
      <c r="BC295" s="29">
        <f t="shared" si="346"/>
        <v>0</v>
      </c>
      <c r="BD295" s="29">
        <f t="shared" si="347"/>
        <v>0</v>
      </c>
      <c r="BE295" s="29">
        <v>0</v>
      </c>
      <c r="BF295" s="29">
        <f t="shared" si="348"/>
        <v>0</v>
      </c>
      <c r="BH295" s="55">
        <f t="shared" si="349"/>
        <v>0</v>
      </c>
      <c r="BI295" s="55">
        <f t="shared" si="350"/>
        <v>0</v>
      </c>
      <c r="BJ295" s="55">
        <f t="shared" si="351"/>
        <v>0</v>
      </c>
    </row>
    <row r="296" spans="1:62" ht="12.75">
      <c r="A296" s="36" t="s">
        <v>748</v>
      </c>
      <c r="B296" s="36" t="s">
        <v>60</v>
      </c>
      <c r="C296" s="36" t="s">
        <v>989</v>
      </c>
      <c r="D296" s="36" t="s">
        <v>1286</v>
      </c>
      <c r="E296" s="36" t="s">
        <v>609</v>
      </c>
      <c r="F296" s="55">
        <f>'Stavební rozpočet'!F298</f>
        <v>2.6</v>
      </c>
      <c r="G296" s="55">
        <f>'Stavební rozpočet'!G298</f>
        <v>0</v>
      </c>
      <c r="H296" s="55">
        <f t="shared" si="326"/>
        <v>0</v>
      </c>
      <c r="I296" s="55">
        <f t="shared" si="327"/>
        <v>0</v>
      </c>
      <c r="J296" s="55">
        <f t="shared" si="328"/>
        <v>0</v>
      </c>
      <c r="K296" s="55">
        <f>'Stavební rozpočet'!K298</f>
        <v>0</v>
      </c>
      <c r="L296" s="55">
        <f t="shared" si="329"/>
        <v>0</v>
      </c>
      <c r="M296" s="51" t="s">
        <v>622</v>
      </c>
      <c r="Z296" s="29">
        <f t="shared" si="330"/>
        <v>0</v>
      </c>
      <c r="AB296" s="29">
        <f t="shared" si="331"/>
        <v>0</v>
      </c>
      <c r="AC296" s="29">
        <f t="shared" si="332"/>
        <v>0</v>
      </c>
      <c r="AD296" s="29">
        <f t="shared" si="333"/>
        <v>0</v>
      </c>
      <c r="AE296" s="29">
        <f t="shared" si="334"/>
        <v>0</v>
      </c>
      <c r="AF296" s="29">
        <f t="shared" si="335"/>
        <v>0</v>
      </c>
      <c r="AG296" s="29">
        <f t="shared" si="336"/>
        <v>0</v>
      </c>
      <c r="AH296" s="29">
        <f t="shared" si="337"/>
        <v>0</v>
      </c>
      <c r="AI296" s="48" t="s">
        <v>60</v>
      </c>
      <c r="AJ296" s="55">
        <f t="shared" si="338"/>
        <v>0</v>
      </c>
      <c r="AK296" s="55">
        <f t="shared" si="339"/>
        <v>0</v>
      </c>
      <c r="AL296" s="55">
        <f t="shared" si="340"/>
        <v>0</v>
      </c>
      <c r="AN296" s="29">
        <v>15</v>
      </c>
      <c r="AO296" s="29">
        <f t="shared" si="341"/>
        <v>0</v>
      </c>
      <c r="AP296" s="29">
        <f t="shared" si="342"/>
        <v>0</v>
      </c>
      <c r="AQ296" s="51" t="s">
        <v>85</v>
      </c>
      <c r="AV296" s="29">
        <f t="shared" si="343"/>
        <v>0</v>
      </c>
      <c r="AW296" s="29">
        <f t="shared" si="344"/>
        <v>0</v>
      </c>
      <c r="AX296" s="29">
        <f t="shared" si="345"/>
        <v>0</v>
      </c>
      <c r="AY296" s="54" t="s">
        <v>642</v>
      </c>
      <c r="AZ296" s="54" t="s">
        <v>1537</v>
      </c>
      <c r="BA296" s="48" t="s">
        <v>1542</v>
      </c>
      <c r="BC296" s="29">
        <f t="shared" si="346"/>
        <v>0</v>
      </c>
      <c r="BD296" s="29">
        <f t="shared" si="347"/>
        <v>0</v>
      </c>
      <c r="BE296" s="29">
        <v>0</v>
      </c>
      <c r="BF296" s="29">
        <f t="shared" si="348"/>
        <v>0</v>
      </c>
      <c r="BH296" s="55">
        <f t="shared" si="349"/>
        <v>0</v>
      </c>
      <c r="BI296" s="55">
        <f t="shared" si="350"/>
        <v>0</v>
      </c>
      <c r="BJ296" s="55">
        <f t="shared" si="351"/>
        <v>0</v>
      </c>
    </row>
    <row r="297" spans="1:62" ht="12.75">
      <c r="A297" s="36" t="s">
        <v>749</v>
      </c>
      <c r="B297" s="36" t="s">
        <v>60</v>
      </c>
      <c r="C297" s="36" t="s">
        <v>990</v>
      </c>
      <c r="D297" s="36" t="s">
        <v>1287</v>
      </c>
      <c r="E297" s="36" t="s">
        <v>609</v>
      </c>
      <c r="F297" s="55">
        <f>'Stavební rozpočet'!F299</f>
        <v>2.6</v>
      </c>
      <c r="G297" s="55">
        <f>'Stavební rozpočet'!G299</f>
        <v>0</v>
      </c>
      <c r="H297" s="55">
        <f t="shared" si="326"/>
        <v>0</v>
      </c>
      <c r="I297" s="55">
        <f t="shared" si="327"/>
        <v>0</v>
      </c>
      <c r="J297" s="55">
        <f t="shared" si="328"/>
        <v>0</v>
      </c>
      <c r="K297" s="55">
        <f>'Stavební rozpočet'!K299</f>
        <v>0</v>
      </c>
      <c r="L297" s="55">
        <f t="shared" si="329"/>
        <v>0</v>
      </c>
      <c r="M297" s="51" t="s">
        <v>622</v>
      </c>
      <c r="Z297" s="29">
        <f t="shared" si="330"/>
        <v>0</v>
      </c>
      <c r="AB297" s="29">
        <f t="shared" si="331"/>
        <v>0</v>
      </c>
      <c r="AC297" s="29">
        <f t="shared" si="332"/>
        <v>0</v>
      </c>
      <c r="AD297" s="29">
        <f t="shared" si="333"/>
        <v>0</v>
      </c>
      <c r="AE297" s="29">
        <f t="shared" si="334"/>
        <v>0</v>
      </c>
      <c r="AF297" s="29">
        <f t="shared" si="335"/>
        <v>0</v>
      </c>
      <c r="AG297" s="29">
        <f t="shared" si="336"/>
        <v>0</v>
      </c>
      <c r="AH297" s="29">
        <f t="shared" si="337"/>
        <v>0</v>
      </c>
      <c r="AI297" s="48" t="s">
        <v>60</v>
      </c>
      <c r="AJ297" s="55">
        <f t="shared" si="338"/>
        <v>0</v>
      </c>
      <c r="AK297" s="55">
        <f t="shared" si="339"/>
        <v>0</v>
      </c>
      <c r="AL297" s="55">
        <f t="shared" si="340"/>
        <v>0</v>
      </c>
      <c r="AN297" s="29">
        <v>15</v>
      </c>
      <c r="AO297" s="29">
        <f t="shared" si="341"/>
        <v>0</v>
      </c>
      <c r="AP297" s="29">
        <f t="shared" si="342"/>
        <v>0</v>
      </c>
      <c r="AQ297" s="51" t="s">
        <v>85</v>
      </c>
      <c r="AV297" s="29">
        <f t="shared" si="343"/>
        <v>0</v>
      </c>
      <c r="AW297" s="29">
        <f t="shared" si="344"/>
        <v>0</v>
      </c>
      <c r="AX297" s="29">
        <f t="shared" si="345"/>
        <v>0</v>
      </c>
      <c r="AY297" s="54" t="s">
        <v>642</v>
      </c>
      <c r="AZ297" s="54" t="s">
        <v>1537</v>
      </c>
      <c r="BA297" s="48" t="s">
        <v>1542</v>
      </c>
      <c r="BC297" s="29">
        <f t="shared" si="346"/>
        <v>0</v>
      </c>
      <c r="BD297" s="29">
        <f t="shared" si="347"/>
        <v>0</v>
      </c>
      <c r="BE297" s="29">
        <v>0</v>
      </c>
      <c r="BF297" s="29">
        <f t="shared" si="348"/>
        <v>0</v>
      </c>
      <c r="BH297" s="55">
        <f t="shared" si="349"/>
        <v>0</v>
      </c>
      <c r="BI297" s="55">
        <f t="shared" si="350"/>
        <v>0</v>
      </c>
      <c r="BJ297" s="55">
        <f t="shared" si="351"/>
        <v>0</v>
      </c>
    </row>
    <row r="298" spans="1:62" ht="12.75">
      <c r="A298" s="36" t="s">
        <v>750</v>
      </c>
      <c r="B298" s="36" t="s">
        <v>60</v>
      </c>
      <c r="C298" s="36" t="s">
        <v>991</v>
      </c>
      <c r="D298" s="36" t="s">
        <v>1288</v>
      </c>
      <c r="E298" s="36" t="s">
        <v>606</v>
      </c>
      <c r="F298" s="55">
        <f>'Stavební rozpočet'!F300</f>
        <v>1</v>
      </c>
      <c r="G298" s="55">
        <f>'Stavební rozpočet'!G300</f>
        <v>0</v>
      </c>
      <c r="H298" s="55">
        <f t="shared" si="326"/>
        <v>0</v>
      </c>
      <c r="I298" s="55">
        <f t="shared" si="327"/>
        <v>0</v>
      </c>
      <c r="J298" s="55">
        <f t="shared" si="328"/>
        <v>0</v>
      </c>
      <c r="K298" s="55">
        <f>'Stavební rozpočet'!K300</f>
        <v>0</v>
      </c>
      <c r="L298" s="55">
        <f t="shared" si="329"/>
        <v>0</v>
      </c>
      <c r="M298" s="51" t="s">
        <v>622</v>
      </c>
      <c r="Z298" s="29">
        <f t="shared" si="330"/>
        <v>0</v>
      </c>
      <c r="AB298" s="29">
        <f t="shared" si="331"/>
        <v>0</v>
      </c>
      <c r="AC298" s="29">
        <f t="shared" si="332"/>
        <v>0</v>
      </c>
      <c r="AD298" s="29">
        <f t="shared" si="333"/>
        <v>0</v>
      </c>
      <c r="AE298" s="29">
        <f t="shared" si="334"/>
        <v>0</v>
      </c>
      <c r="AF298" s="29">
        <f t="shared" si="335"/>
        <v>0</v>
      </c>
      <c r="AG298" s="29">
        <f t="shared" si="336"/>
        <v>0</v>
      </c>
      <c r="AH298" s="29">
        <f t="shared" si="337"/>
        <v>0</v>
      </c>
      <c r="AI298" s="48" t="s">
        <v>60</v>
      </c>
      <c r="AJ298" s="55">
        <f t="shared" si="338"/>
        <v>0</v>
      </c>
      <c r="AK298" s="55">
        <f t="shared" si="339"/>
        <v>0</v>
      </c>
      <c r="AL298" s="55">
        <f t="shared" si="340"/>
        <v>0</v>
      </c>
      <c r="AN298" s="29">
        <v>15</v>
      </c>
      <c r="AO298" s="29">
        <f t="shared" si="341"/>
        <v>0</v>
      </c>
      <c r="AP298" s="29">
        <f t="shared" si="342"/>
        <v>0</v>
      </c>
      <c r="AQ298" s="51" t="s">
        <v>85</v>
      </c>
      <c r="AV298" s="29">
        <f t="shared" si="343"/>
        <v>0</v>
      </c>
      <c r="AW298" s="29">
        <f t="shared" si="344"/>
        <v>0</v>
      </c>
      <c r="AX298" s="29">
        <f t="shared" si="345"/>
        <v>0</v>
      </c>
      <c r="AY298" s="54" t="s">
        <v>642</v>
      </c>
      <c r="AZ298" s="54" t="s">
        <v>1537</v>
      </c>
      <c r="BA298" s="48" t="s">
        <v>1542</v>
      </c>
      <c r="BC298" s="29">
        <f t="shared" si="346"/>
        <v>0</v>
      </c>
      <c r="BD298" s="29">
        <f t="shared" si="347"/>
        <v>0</v>
      </c>
      <c r="BE298" s="29">
        <v>0</v>
      </c>
      <c r="BF298" s="29">
        <f t="shared" si="348"/>
        <v>0</v>
      </c>
      <c r="BH298" s="55">
        <f t="shared" si="349"/>
        <v>0</v>
      </c>
      <c r="BI298" s="55">
        <f t="shared" si="350"/>
        <v>0</v>
      </c>
      <c r="BJ298" s="55">
        <f t="shared" si="351"/>
        <v>0</v>
      </c>
    </row>
    <row r="299" spans="1:62" ht="12.75">
      <c r="A299" s="36" t="s">
        <v>751</v>
      </c>
      <c r="B299" s="36" t="s">
        <v>60</v>
      </c>
      <c r="C299" s="36" t="s">
        <v>992</v>
      </c>
      <c r="D299" s="36" t="s">
        <v>1289</v>
      </c>
      <c r="E299" s="36" t="s">
        <v>609</v>
      </c>
      <c r="F299" s="55">
        <f>'Stavební rozpočet'!F301</f>
        <v>13.4</v>
      </c>
      <c r="G299" s="55">
        <f>'Stavební rozpočet'!G301</f>
        <v>0</v>
      </c>
      <c r="H299" s="55">
        <f t="shared" si="326"/>
        <v>0</v>
      </c>
      <c r="I299" s="55">
        <f t="shared" si="327"/>
        <v>0</v>
      </c>
      <c r="J299" s="55">
        <f t="shared" si="328"/>
        <v>0</v>
      </c>
      <c r="K299" s="55">
        <f>'Stavební rozpočet'!K301</f>
        <v>0</v>
      </c>
      <c r="L299" s="55">
        <f t="shared" si="329"/>
        <v>0</v>
      </c>
      <c r="M299" s="51" t="s">
        <v>622</v>
      </c>
      <c r="Z299" s="29">
        <f t="shared" si="330"/>
        <v>0</v>
      </c>
      <c r="AB299" s="29">
        <f t="shared" si="331"/>
        <v>0</v>
      </c>
      <c r="AC299" s="29">
        <f t="shared" si="332"/>
        <v>0</v>
      </c>
      <c r="AD299" s="29">
        <f t="shared" si="333"/>
        <v>0</v>
      </c>
      <c r="AE299" s="29">
        <f t="shared" si="334"/>
        <v>0</v>
      </c>
      <c r="AF299" s="29">
        <f t="shared" si="335"/>
        <v>0</v>
      </c>
      <c r="AG299" s="29">
        <f t="shared" si="336"/>
        <v>0</v>
      </c>
      <c r="AH299" s="29">
        <f t="shared" si="337"/>
        <v>0</v>
      </c>
      <c r="AI299" s="48" t="s">
        <v>60</v>
      </c>
      <c r="AJ299" s="55">
        <f t="shared" si="338"/>
        <v>0</v>
      </c>
      <c r="AK299" s="55">
        <f t="shared" si="339"/>
        <v>0</v>
      </c>
      <c r="AL299" s="55">
        <f t="shared" si="340"/>
        <v>0</v>
      </c>
      <c r="AN299" s="29">
        <v>15</v>
      </c>
      <c r="AO299" s="29">
        <f t="shared" si="341"/>
        <v>0</v>
      </c>
      <c r="AP299" s="29">
        <f t="shared" si="342"/>
        <v>0</v>
      </c>
      <c r="AQ299" s="51" t="s">
        <v>85</v>
      </c>
      <c r="AV299" s="29">
        <f t="shared" si="343"/>
        <v>0</v>
      </c>
      <c r="AW299" s="29">
        <f t="shared" si="344"/>
        <v>0</v>
      </c>
      <c r="AX299" s="29">
        <f t="shared" si="345"/>
        <v>0</v>
      </c>
      <c r="AY299" s="54" t="s">
        <v>642</v>
      </c>
      <c r="AZ299" s="54" t="s">
        <v>1537</v>
      </c>
      <c r="BA299" s="48" t="s">
        <v>1542</v>
      </c>
      <c r="BC299" s="29">
        <f t="shared" si="346"/>
        <v>0</v>
      </c>
      <c r="BD299" s="29">
        <f t="shared" si="347"/>
        <v>0</v>
      </c>
      <c r="BE299" s="29">
        <v>0</v>
      </c>
      <c r="BF299" s="29">
        <f t="shared" si="348"/>
        <v>0</v>
      </c>
      <c r="BH299" s="55">
        <f t="shared" si="349"/>
        <v>0</v>
      </c>
      <c r="BI299" s="55">
        <f t="shared" si="350"/>
        <v>0</v>
      </c>
      <c r="BJ299" s="55">
        <f t="shared" si="351"/>
        <v>0</v>
      </c>
    </row>
    <row r="300" spans="1:62" ht="12.75">
      <c r="A300" s="36" t="s">
        <v>752</v>
      </c>
      <c r="B300" s="36" t="s">
        <v>60</v>
      </c>
      <c r="C300" s="36" t="s">
        <v>993</v>
      </c>
      <c r="D300" s="36" t="s">
        <v>1290</v>
      </c>
      <c r="E300" s="36" t="s">
        <v>609</v>
      </c>
      <c r="F300" s="55">
        <f>'Stavební rozpočet'!F302</f>
        <v>13.2</v>
      </c>
      <c r="G300" s="55">
        <f>'Stavební rozpočet'!G302</f>
        <v>0</v>
      </c>
      <c r="H300" s="55">
        <f t="shared" si="326"/>
        <v>0</v>
      </c>
      <c r="I300" s="55">
        <f t="shared" si="327"/>
        <v>0</v>
      </c>
      <c r="J300" s="55">
        <f t="shared" si="328"/>
        <v>0</v>
      </c>
      <c r="K300" s="55">
        <f>'Stavební rozpočet'!K302</f>
        <v>0</v>
      </c>
      <c r="L300" s="55">
        <f t="shared" si="329"/>
        <v>0</v>
      </c>
      <c r="M300" s="51" t="s">
        <v>622</v>
      </c>
      <c r="Z300" s="29">
        <f t="shared" si="330"/>
        <v>0</v>
      </c>
      <c r="AB300" s="29">
        <f t="shared" si="331"/>
        <v>0</v>
      </c>
      <c r="AC300" s="29">
        <f t="shared" si="332"/>
        <v>0</v>
      </c>
      <c r="AD300" s="29">
        <f t="shared" si="333"/>
        <v>0</v>
      </c>
      <c r="AE300" s="29">
        <f t="shared" si="334"/>
        <v>0</v>
      </c>
      <c r="AF300" s="29">
        <f t="shared" si="335"/>
        <v>0</v>
      </c>
      <c r="AG300" s="29">
        <f t="shared" si="336"/>
        <v>0</v>
      </c>
      <c r="AH300" s="29">
        <f t="shared" si="337"/>
        <v>0</v>
      </c>
      <c r="AI300" s="48" t="s">
        <v>60</v>
      </c>
      <c r="AJ300" s="55">
        <f t="shared" si="338"/>
        <v>0</v>
      </c>
      <c r="AK300" s="55">
        <f t="shared" si="339"/>
        <v>0</v>
      </c>
      <c r="AL300" s="55">
        <f t="shared" si="340"/>
        <v>0</v>
      </c>
      <c r="AN300" s="29">
        <v>15</v>
      </c>
      <c r="AO300" s="29">
        <f t="shared" si="341"/>
        <v>0</v>
      </c>
      <c r="AP300" s="29">
        <f t="shared" si="342"/>
        <v>0</v>
      </c>
      <c r="AQ300" s="51" t="s">
        <v>85</v>
      </c>
      <c r="AV300" s="29">
        <f t="shared" si="343"/>
        <v>0</v>
      </c>
      <c r="AW300" s="29">
        <f t="shared" si="344"/>
        <v>0</v>
      </c>
      <c r="AX300" s="29">
        <f t="shared" si="345"/>
        <v>0</v>
      </c>
      <c r="AY300" s="54" t="s">
        <v>642</v>
      </c>
      <c r="AZ300" s="54" t="s">
        <v>1537</v>
      </c>
      <c r="BA300" s="48" t="s">
        <v>1542</v>
      </c>
      <c r="BC300" s="29">
        <f t="shared" si="346"/>
        <v>0</v>
      </c>
      <c r="BD300" s="29">
        <f t="shared" si="347"/>
        <v>0</v>
      </c>
      <c r="BE300" s="29">
        <v>0</v>
      </c>
      <c r="BF300" s="29">
        <f t="shared" si="348"/>
        <v>0</v>
      </c>
      <c r="BH300" s="55">
        <f t="shared" si="349"/>
        <v>0</v>
      </c>
      <c r="BI300" s="55">
        <f t="shared" si="350"/>
        <v>0</v>
      </c>
      <c r="BJ300" s="55">
        <f t="shared" si="351"/>
        <v>0</v>
      </c>
    </row>
    <row r="301" spans="1:62" ht="12.75">
      <c r="A301" s="36" t="s">
        <v>753</v>
      </c>
      <c r="B301" s="36" t="s">
        <v>60</v>
      </c>
      <c r="C301" s="36" t="s">
        <v>994</v>
      </c>
      <c r="D301" s="36" t="s">
        <v>1291</v>
      </c>
      <c r="E301" s="36" t="s">
        <v>609</v>
      </c>
      <c r="F301" s="55">
        <f>'Stavební rozpočet'!F303</f>
        <v>33.4</v>
      </c>
      <c r="G301" s="55">
        <f>'Stavební rozpočet'!G303</f>
        <v>0</v>
      </c>
      <c r="H301" s="55">
        <f t="shared" si="326"/>
        <v>0</v>
      </c>
      <c r="I301" s="55">
        <f t="shared" si="327"/>
        <v>0</v>
      </c>
      <c r="J301" s="55">
        <f t="shared" si="328"/>
        <v>0</v>
      </c>
      <c r="K301" s="55">
        <f>'Stavební rozpočet'!K303</f>
        <v>0</v>
      </c>
      <c r="L301" s="55">
        <f t="shared" si="329"/>
        <v>0</v>
      </c>
      <c r="M301" s="51" t="s">
        <v>622</v>
      </c>
      <c r="Z301" s="29">
        <f t="shared" si="330"/>
        <v>0</v>
      </c>
      <c r="AB301" s="29">
        <f t="shared" si="331"/>
        <v>0</v>
      </c>
      <c r="AC301" s="29">
        <f t="shared" si="332"/>
        <v>0</v>
      </c>
      <c r="AD301" s="29">
        <f t="shared" si="333"/>
        <v>0</v>
      </c>
      <c r="AE301" s="29">
        <f t="shared" si="334"/>
        <v>0</v>
      </c>
      <c r="AF301" s="29">
        <f t="shared" si="335"/>
        <v>0</v>
      </c>
      <c r="AG301" s="29">
        <f t="shared" si="336"/>
        <v>0</v>
      </c>
      <c r="AH301" s="29">
        <f t="shared" si="337"/>
        <v>0</v>
      </c>
      <c r="AI301" s="48" t="s">
        <v>60</v>
      </c>
      <c r="AJ301" s="55">
        <f t="shared" si="338"/>
        <v>0</v>
      </c>
      <c r="AK301" s="55">
        <f t="shared" si="339"/>
        <v>0</v>
      </c>
      <c r="AL301" s="55">
        <f t="shared" si="340"/>
        <v>0</v>
      </c>
      <c r="AN301" s="29">
        <v>15</v>
      </c>
      <c r="AO301" s="29">
        <f t="shared" si="341"/>
        <v>0</v>
      </c>
      <c r="AP301" s="29">
        <f t="shared" si="342"/>
        <v>0</v>
      </c>
      <c r="AQ301" s="51" t="s">
        <v>85</v>
      </c>
      <c r="AV301" s="29">
        <f t="shared" si="343"/>
        <v>0</v>
      </c>
      <c r="AW301" s="29">
        <f t="shared" si="344"/>
        <v>0</v>
      </c>
      <c r="AX301" s="29">
        <f t="shared" si="345"/>
        <v>0</v>
      </c>
      <c r="AY301" s="54" t="s">
        <v>642</v>
      </c>
      <c r="AZ301" s="54" t="s">
        <v>1537</v>
      </c>
      <c r="BA301" s="48" t="s">
        <v>1542</v>
      </c>
      <c r="BC301" s="29">
        <f t="shared" si="346"/>
        <v>0</v>
      </c>
      <c r="BD301" s="29">
        <f t="shared" si="347"/>
        <v>0</v>
      </c>
      <c r="BE301" s="29">
        <v>0</v>
      </c>
      <c r="BF301" s="29">
        <f t="shared" si="348"/>
        <v>0</v>
      </c>
      <c r="BH301" s="55">
        <f t="shared" si="349"/>
        <v>0</v>
      </c>
      <c r="BI301" s="55">
        <f t="shared" si="350"/>
        <v>0</v>
      </c>
      <c r="BJ301" s="55">
        <f t="shared" si="351"/>
        <v>0</v>
      </c>
    </row>
    <row r="302" spans="1:62" ht="12.75">
      <c r="A302" s="36" t="s">
        <v>754</v>
      </c>
      <c r="B302" s="36" t="s">
        <v>60</v>
      </c>
      <c r="C302" s="36" t="s">
        <v>995</v>
      </c>
      <c r="D302" s="36" t="s">
        <v>1292</v>
      </c>
      <c r="E302" s="36" t="s">
        <v>606</v>
      </c>
      <c r="F302" s="55">
        <f>'Stavební rozpočet'!F304</f>
        <v>6</v>
      </c>
      <c r="G302" s="55">
        <f>'Stavební rozpočet'!G304</f>
        <v>0</v>
      </c>
      <c r="H302" s="55">
        <f t="shared" si="326"/>
        <v>0</v>
      </c>
      <c r="I302" s="55">
        <f t="shared" si="327"/>
        <v>0</v>
      </c>
      <c r="J302" s="55">
        <f t="shared" si="328"/>
        <v>0</v>
      </c>
      <c r="K302" s="55">
        <f>'Stavební rozpočet'!K304</f>
        <v>0</v>
      </c>
      <c r="L302" s="55">
        <f t="shared" si="329"/>
        <v>0</v>
      </c>
      <c r="M302" s="51" t="s">
        <v>622</v>
      </c>
      <c r="Z302" s="29">
        <f t="shared" si="330"/>
        <v>0</v>
      </c>
      <c r="AB302" s="29">
        <f t="shared" si="331"/>
        <v>0</v>
      </c>
      <c r="AC302" s="29">
        <f t="shared" si="332"/>
        <v>0</v>
      </c>
      <c r="AD302" s="29">
        <f t="shared" si="333"/>
        <v>0</v>
      </c>
      <c r="AE302" s="29">
        <f t="shared" si="334"/>
        <v>0</v>
      </c>
      <c r="AF302" s="29">
        <f t="shared" si="335"/>
        <v>0</v>
      </c>
      <c r="AG302" s="29">
        <f t="shared" si="336"/>
        <v>0</v>
      </c>
      <c r="AH302" s="29">
        <f t="shared" si="337"/>
        <v>0</v>
      </c>
      <c r="AI302" s="48" t="s">
        <v>60</v>
      </c>
      <c r="AJ302" s="55">
        <f t="shared" si="338"/>
        <v>0</v>
      </c>
      <c r="AK302" s="55">
        <f t="shared" si="339"/>
        <v>0</v>
      </c>
      <c r="AL302" s="55">
        <f t="shared" si="340"/>
        <v>0</v>
      </c>
      <c r="AN302" s="29">
        <v>15</v>
      </c>
      <c r="AO302" s="29">
        <f t="shared" si="341"/>
        <v>0</v>
      </c>
      <c r="AP302" s="29">
        <f t="shared" si="342"/>
        <v>0</v>
      </c>
      <c r="AQ302" s="51" t="s">
        <v>85</v>
      </c>
      <c r="AV302" s="29">
        <f t="shared" si="343"/>
        <v>0</v>
      </c>
      <c r="AW302" s="29">
        <f t="shared" si="344"/>
        <v>0</v>
      </c>
      <c r="AX302" s="29">
        <f t="shared" si="345"/>
        <v>0</v>
      </c>
      <c r="AY302" s="54" t="s">
        <v>642</v>
      </c>
      <c r="AZ302" s="54" t="s">
        <v>1537</v>
      </c>
      <c r="BA302" s="48" t="s">
        <v>1542</v>
      </c>
      <c r="BC302" s="29">
        <f t="shared" si="346"/>
        <v>0</v>
      </c>
      <c r="BD302" s="29">
        <f t="shared" si="347"/>
        <v>0</v>
      </c>
      <c r="BE302" s="29">
        <v>0</v>
      </c>
      <c r="BF302" s="29">
        <f t="shared" si="348"/>
        <v>0</v>
      </c>
      <c r="BH302" s="55">
        <f t="shared" si="349"/>
        <v>0</v>
      </c>
      <c r="BI302" s="55">
        <f t="shared" si="350"/>
        <v>0</v>
      </c>
      <c r="BJ302" s="55">
        <f t="shared" si="351"/>
        <v>0</v>
      </c>
    </row>
    <row r="303" spans="1:62" ht="12.75">
      <c r="A303" s="36" t="s">
        <v>755</v>
      </c>
      <c r="B303" s="36" t="s">
        <v>60</v>
      </c>
      <c r="C303" s="36" t="s">
        <v>996</v>
      </c>
      <c r="D303" s="36" t="s">
        <v>1246</v>
      </c>
      <c r="E303" s="36" t="s">
        <v>606</v>
      </c>
      <c r="F303" s="55">
        <f>'Stavební rozpočet'!F305</f>
        <v>3</v>
      </c>
      <c r="G303" s="55">
        <f>'Stavební rozpočet'!G305</f>
        <v>0</v>
      </c>
      <c r="H303" s="55">
        <f t="shared" si="326"/>
        <v>0</v>
      </c>
      <c r="I303" s="55">
        <f t="shared" si="327"/>
        <v>0</v>
      </c>
      <c r="J303" s="55">
        <f t="shared" si="328"/>
        <v>0</v>
      </c>
      <c r="K303" s="55">
        <f>'Stavební rozpočet'!K305</f>
        <v>0</v>
      </c>
      <c r="L303" s="55">
        <f t="shared" si="329"/>
        <v>0</v>
      </c>
      <c r="M303" s="51" t="s">
        <v>622</v>
      </c>
      <c r="Z303" s="29">
        <f t="shared" si="330"/>
        <v>0</v>
      </c>
      <c r="AB303" s="29">
        <f t="shared" si="331"/>
        <v>0</v>
      </c>
      <c r="AC303" s="29">
        <f t="shared" si="332"/>
        <v>0</v>
      </c>
      <c r="AD303" s="29">
        <f t="shared" si="333"/>
        <v>0</v>
      </c>
      <c r="AE303" s="29">
        <f t="shared" si="334"/>
        <v>0</v>
      </c>
      <c r="AF303" s="29">
        <f t="shared" si="335"/>
        <v>0</v>
      </c>
      <c r="AG303" s="29">
        <f t="shared" si="336"/>
        <v>0</v>
      </c>
      <c r="AH303" s="29">
        <f t="shared" si="337"/>
        <v>0</v>
      </c>
      <c r="AI303" s="48" t="s">
        <v>60</v>
      </c>
      <c r="AJ303" s="55">
        <f t="shared" si="338"/>
        <v>0</v>
      </c>
      <c r="AK303" s="55">
        <f t="shared" si="339"/>
        <v>0</v>
      </c>
      <c r="AL303" s="55">
        <f t="shared" si="340"/>
        <v>0</v>
      </c>
      <c r="AN303" s="29">
        <v>15</v>
      </c>
      <c r="AO303" s="29">
        <f t="shared" si="341"/>
        <v>0</v>
      </c>
      <c r="AP303" s="29">
        <f t="shared" si="342"/>
        <v>0</v>
      </c>
      <c r="AQ303" s="51" t="s">
        <v>85</v>
      </c>
      <c r="AV303" s="29">
        <f t="shared" si="343"/>
        <v>0</v>
      </c>
      <c r="AW303" s="29">
        <f t="shared" si="344"/>
        <v>0</v>
      </c>
      <c r="AX303" s="29">
        <f t="shared" si="345"/>
        <v>0</v>
      </c>
      <c r="AY303" s="54" t="s">
        <v>642</v>
      </c>
      <c r="AZ303" s="54" t="s">
        <v>1537</v>
      </c>
      <c r="BA303" s="48" t="s">
        <v>1542</v>
      </c>
      <c r="BC303" s="29">
        <f t="shared" si="346"/>
        <v>0</v>
      </c>
      <c r="BD303" s="29">
        <f t="shared" si="347"/>
        <v>0</v>
      </c>
      <c r="BE303" s="29">
        <v>0</v>
      </c>
      <c r="BF303" s="29">
        <f t="shared" si="348"/>
        <v>0</v>
      </c>
      <c r="BH303" s="55">
        <f t="shared" si="349"/>
        <v>0</v>
      </c>
      <c r="BI303" s="55">
        <f t="shared" si="350"/>
        <v>0</v>
      </c>
      <c r="BJ303" s="55">
        <f t="shared" si="351"/>
        <v>0</v>
      </c>
    </row>
    <row r="304" spans="1:62" ht="12.75">
      <c r="A304" s="36" t="s">
        <v>756</v>
      </c>
      <c r="B304" s="36" t="s">
        <v>60</v>
      </c>
      <c r="C304" s="36" t="s">
        <v>997</v>
      </c>
      <c r="D304" s="36" t="s">
        <v>1293</v>
      </c>
      <c r="E304" s="36" t="s">
        <v>606</v>
      </c>
      <c r="F304" s="55">
        <f>'Stavební rozpočet'!F306</f>
        <v>3</v>
      </c>
      <c r="G304" s="55">
        <f>'Stavební rozpočet'!G306</f>
        <v>0</v>
      </c>
      <c r="H304" s="55">
        <f t="shared" si="326"/>
        <v>0</v>
      </c>
      <c r="I304" s="55">
        <f t="shared" si="327"/>
        <v>0</v>
      </c>
      <c r="J304" s="55">
        <f t="shared" si="328"/>
        <v>0</v>
      </c>
      <c r="K304" s="55">
        <f>'Stavební rozpočet'!K306</f>
        <v>0</v>
      </c>
      <c r="L304" s="55">
        <f t="shared" si="329"/>
        <v>0</v>
      </c>
      <c r="M304" s="51" t="s">
        <v>622</v>
      </c>
      <c r="Z304" s="29">
        <f t="shared" si="330"/>
        <v>0</v>
      </c>
      <c r="AB304" s="29">
        <f t="shared" si="331"/>
        <v>0</v>
      </c>
      <c r="AC304" s="29">
        <f t="shared" si="332"/>
        <v>0</v>
      </c>
      <c r="AD304" s="29">
        <f t="shared" si="333"/>
        <v>0</v>
      </c>
      <c r="AE304" s="29">
        <f t="shared" si="334"/>
        <v>0</v>
      </c>
      <c r="AF304" s="29">
        <f t="shared" si="335"/>
        <v>0</v>
      </c>
      <c r="AG304" s="29">
        <f t="shared" si="336"/>
        <v>0</v>
      </c>
      <c r="AH304" s="29">
        <f t="shared" si="337"/>
        <v>0</v>
      </c>
      <c r="AI304" s="48" t="s">
        <v>60</v>
      </c>
      <c r="AJ304" s="55">
        <f t="shared" si="338"/>
        <v>0</v>
      </c>
      <c r="AK304" s="55">
        <f t="shared" si="339"/>
        <v>0</v>
      </c>
      <c r="AL304" s="55">
        <f t="shared" si="340"/>
        <v>0</v>
      </c>
      <c r="AN304" s="29">
        <v>15</v>
      </c>
      <c r="AO304" s="29">
        <f t="shared" si="341"/>
        <v>0</v>
      </c>
      <c r="AP304" s="29">
        <f t="shared" si="342"/>
        <v>0</v>
      </c>
      <c r="AQ304" s="51" t="s">
        <v>85</v>
      </c>
      <c r="AV304" s="29">
        <f t="shared" si="343"/>
        <v>0</v>
      </c>
      <c r="AW304" s="29">
        <f t="shared" si="344"/>
        <v>0</v>
      </c>
      <c r="AX304" s="29">
        <f t="shared" si="345"/>
        <v>0</v>
      </c>
      <c r="AY304" s="54" t="s">
        <v>642</v>
      </c>
      <c r="AZ304" s="54" t="s">
        <v>1537</v>
      </c>
      <c r="BA304" s="48" t="s">
        <v>1542</v>
      </c>
      <c r="BC304" s="29">
        <f t="shared" si="346"/>
        <v>0</v>
      </c>
      <c r="BD304" s="29">
        <f t="shared" si="347"/>
        <v>0</v>
      </c>
      <c r="BE304" s="29">
        <v>0</v>
      </c>
      <c r="BF304" s="29">
        <f t="shared" si="348"/>
        <v>0</v>
      </c>
      <c r="BH304" s="55">
        <f t="shared" si="349"/>
        <v>0</v>
      </c>
      <c r="BI304" s="55">
        <f t="shared" si="350"/>
        <v>0</v>
      </c>
      <c r="BJ304" s="55">
        <f t="shared" si="351"/>
        <v>0</v>
      </c>
    </row>
    <row r="305" spans="1:62" ht="12.75">
      <c r="A305" s="36" t="s">
        <v>757</v>
      </c>
      <c r="B305" s="36" t="s">
        <v>60</v>
      </c>
      <c r="C305" s="36" t="s">
        <v>998</v>
      </c>
      <c r="D305" s="36" t="s">
        <v>497</v>
      </c>
      <c r="E305" s="36" t="s">
        <v>611</v>
      </c>
      <c r="F305" s="55">
        <f>'Stavební rozpočet'!F307</f>
        <v>25</v>
      </c>
      <c r="G305" s="55">
        <f>'Stavební rozpočet'!G307</f>
        <v>0</v>
      </c>
      <c r="H305" s="55">
        <f t="shared" si="326"/>
        <v>0</v>
      </c>
      <c r="I305" s="55">
        <f t="shared" si="327"/>
        <v>0</v>
      </c>
      <c r="J305" s="55">
        <f t="shared" si="328"/>
        <v>0</v>
      </c>
      <c r="K305" s="55">
        <f>'Stavební rozpočet'!K307</f>
        <v>0</v>
      </c>
      <c r="L305" s="55">
        <f t="shared" si="329"/>
        <v>0</v>
      </c>
      <c r="M305" s="51" t="s">
        <v>622</v>
      </c>
      <c r="Z305" s="29">
        <f t="shared" si="330"/>
        <v>0</v>
      </c>
      <c r="AB305" s="29">
        <f t="shared" si="331"/>
        <v>0</v>
      </c>
      <c r="AC305" s="29">
        <f t="shared" si="332"/>
        <v>0</v>
      </c>
      <c r="AD305" s="29">
        <f t="shared" si="333"/>
        <v>0</v>
      </c>
      <c r="AE305" s="29">
        <f t="shared" si="334"/>
        <v>0</v>
      </c>
      <c r="AF305" s="29">
        <f t="shared" si="335"/>
        <v>0</v>
      </c>
      <c r="AG305" s="29">
        <f t="shared" si="336"/>
        <v>0</v>
      </c>
      <c r="AH305" s="29">
        <f t="shared" si="337"/>
        <v>0</v>
      </c>
      <c r="AI305" s="48" t="s">
        <v>60</v>
      </c>
      <c r="AJ305" s="55">
        <f t="shared" si="338"/>
        <v>0</v>
      </c>
      <c r="AK305" s="55">
        <f t="shared" si="339"/>
        <v>0</v>
      </c>
      <c r="AL305" s="55">
        <f t="shared" si="340"/>
        <v>0</v>
      </c>
      <c r="AN305" s="29">
        <v>15</v>
      </c>
      <c r="AO305" s="29">
        <f t="shared" si="341"/>
        <v>0</v>
      </c>
      <c r="AP305" s="29">
        <f t="shared" si="342"/>
        <v>0</v>
      </c>
      <c r="AQ305" s="51" t="s">
        <v>85</v>
      </c>
      <c r="AV305" s="29">
        <f t="shared" si="343"/>
        <v>0</v>
      </c>
      <c r="AW305" s="29">
        <f t="shared" si="344"/>
        <v>0</v>
      </c>
      <c r="AX305" s="29">
        <f t="shared" si="345"/>
        <v>0</v>
      </c>
      <c r="AY305" s="54" t="s">
        <v>642</v>
      </c>
      <c r="AZ305" s="54" t="s">
        <v>1537</v>
      </c>
      <c r="BA305" s="48" t="s">
        <v>1542</v>
      </c>
      <c r="BC305" s="29">
        <f t="shared" si="346"/>
        <v>0</v>
      </c>
      <c r="BD305" s="29">
        <f t="shared" si="347"/>
        <v>0</v>
      </c>
      <c r="BE305" s="29">
        <v>0</v>
      </c>
      <c r="BF305" s="29">
        <f t="shared" si="348"/>
        <v>0</v>
      </c>
      <c r="BH305" s="55">
        <f t="shared" si="349"/>
        <v>0</v>
      </c>
      <c r="BI305" s="55">
        <f t="shared" si="350"/>
        <v>0</v>
      </c>
      <c r="BJ305" s="55">
        <f t="shared" si="351"/>
        <v>0</v>
      </c>
    </row>
    <row r="306" spans="1:62" ht="12.75">
      <c r="A306" s="36" t="s">
        <v>758</v>
      </c>
      <c r="B306" s="36" t="s">
        <v>60</v>
      </c>
      <c r="C306" s="36" t="s">
        <v>999</v>
      </c>
      <c r="D306" s="36" t="s">
        <v>1294</v>
      </c>
      <c r="E306" s="36" t="s">
        <v>609</v>
      </c>
      <c r="F306" s="55">
        <f>'Stavební rozpočet'!F308</f>
        <v>155.6</v>
      </c>
      <c r="G306" s="55">
        <f>'Stavební rozpočet'!G308</f>
        <v>0</v>
      </c>
      <c r="H306" s="55">
        <f t="shared" si="326"/>
        <v>0</v>
      </c>
      <c r="I306" s="55">
        <f t="shared" si="327"/>
        <v>0</v>
      </c>
      <c r="J306" s="55">
        <f t="shared" si="328"/>
        <v>0</v>
      </c>
      <c r="K306" s="55">
        <f>'Stavební rozpočet'!K308</f>
        <v>0</v>
      </c>
      <c r="L306" s="55">
        <f t="shared" si="329"/>
        <v>0</v>
      </c>
      <c r="M306" s="51" t="s">
        <v>622</v>
      </c>
      <c r="Z306" s="29">
        <f t="shared" si="330"/>
        <v>0</v>
      </c>
      <c r="AB306" s="29">
        <f t="shared" si="331"/>
        <v>0</v>
      </c>
      <c r="AC306" s="29">
        <f t="shared" si="332"/>
        <v>0</v>
      </c>
      <c r="AD306" s="29">
        <f t="shared" si="333"/>
        <v>0</v>
      </c>
      <c r="AE306" s="29">
        <f t="shared" si="334"/>
        <v>0</v>
      </c>
      <c r="AF306" s="29">
        <f t="shared" si="335"/>
        <v>0</v>
      </c>
      <c r="AG306" s="29">
        <f t="shared" si="336"/>
        <v>0</v>
      </c>
      <c r="AH306" s="29">
        <f t="shared" si="337"/>
        <v>0</v>
      </c>
      <c r="AI306" s="48" t="s">
        <v>60</v>
      </c>
      <c r="AJ306" s="55">
        <f t="shared" si="338"/>
        <v>0</v>
      </c>
      <c r="AK306" s="55">
        <f t="shared" si="339"/>
        <v>0</v>
      </c>
      <c r="AL306" s="55">
        <f t="shared" si="340"/>
        <v>0</v>
      </c>
      <c r="AN306" s="29">
        <v>15</v>
      </c>
      <c r="AO306" s="29">
        <f t="shared" si="341"/>
        <v>0</v>
      </c>
      <c r="AP306" s="29">
        <f t="shared" si="342"/>
        <v>0</v>
      </c>
      <c r="AQ306" s="51" t="s">
        <v>85</v>
      </c>
      <c r="AV306" s="29">
        <f t="shared" si="343"/>
        <v>0</v>
      </c>
      <c r="AW306" s="29">
        <f t="shared" si="344"/>
        <v>0</v>
      </c>
      <c r="AX306" s="29">
        <f t="shared" si="345"/>
        <v>0</v>
      </c>
      <c r="AY306" s="54" t="s">
        <v>642</v>
      </c>
      <c r="AZ306" s="54" t="s">
        <v>1537</v>
      </c>
      <c r="BA306" s="48" t="s">
        <v>1542</v>
      </c>
      <c r="BC306" s="29">
        <f t="shared" si="346"/>
        <v>0</v>
      </c>
      <c r="BD306" s="29">
        <f t="shared" si="347"/>
        <v>0</v>
      </c>
      <c r="BE306" s="29">
        <v>0</v>
      </c>
      <c r="BF306" s="29">
        <f t="shared" si="348"/>
        <v>0</v>
      </c>
      <c r="BH306" s="55">
        <f t="shared" si="349"/>
        <v>0</v>
      </c>
      <c r="BI306" s="55">
        <f t="shared" si="350"/>
        <v>0</v>
      </c>
      <c r="BJ306" s="55">
        <f t="shared" si="351"/>
        <v>0</v>
      </c>
    </row>
    <row r="307" spans="1:62" ht="12.75">
      <c r="A307" s="36" t="s">
        <v>759</v>
      </c>
      <c r="B307" s="36" t="s">
        <v>60</v>
      </c>
      <c r="C307" s="36" t="s">
        <v>1000</v>
      </c>
      <c r="D307" s="36" t="s">
        <v>487</v>
      </c>
      <c r="E307" s="36" t="s">
        <v>609</v>
      </c>
      <c r="F307" s="55">
        <f>'Stavební rozpočet'!F309</f>
        <v>155.6</v>
      </c>
      <c r="G307" s="55">
        <f>'Stavební rozpočet'!G309</f>
        <v>0</v>
      </c>
      <c r="H307" s="55">
        <f t="shared" si="326"/>
        <v>0</v>
      </c>
      <c r="I307" s="55">
        <f t="shared" si="327"/>
        <v>0</v>
      </c>
      <c r="J307" s="55">
        <f t="shared" si="328"/>
        <v>0</v>
      </c>
      <c r="K307" s="55">
        <f>'Stavební rozpočet'!K309</f>
        <v>0</v>
      </c>
      <c r="L307" s="55">
        <f t="shared" si="329"/>
        <v>0</v>
      </c>
      <c r="M307" s="51" t="s">
        <v>622</v>
      </c>
      <c r="Z307" s="29">
        <f t="shared" si="330"/>
        <v>0</v>
      </c>
      <c r="AB307" s="29">
        <f t="shared" si="331"/>
        <v>0</v>
      </c>
      <c r="AC307" s="29">
        <f t="shared" si="332"/>
        <v>0</v>
      </c>
      <c r="AD307" s="29">
        <f t="shared" si="333"/>
        <v>0</v>
      </c>
      <c r="AE307" s="29">
        <f t="shared" si="334"/>
        <v>0</v>
      </c>
      <c r="AF307" s="29">
        <f t="shared" si="335"/>
        <v>0</v>
      </c>
      <c r="AG307" s="29">
        <f t="shared" si="336"/>
        <v>0</v>
      </c>
      <c r="AH307" s="29">
        <f t="shared" si="337"/>
        <v>0</v>
      </c>
      <c r="AI307" s="48" t="s">
        <v>60</v>
      </c>
      <c r="AJ307" s="55">
        <f t="shared" si="338"/>
        <v>0</v>
      </c>
      <c r="AK307" s="55">
        <f t="shared" si="339"/>
        <v>0</v>
      </c>
      <c r="AL307" s="55">
        <f t="shared" si="340"/>
        <v>0</v>
      </c>
      <c r="AN307" s="29">
        <v>15</v>
      </c>
      <c r="AO307" s="29">
        <f t="shared" si="341"/>
        <v>0</v>
      </c>
      <c r="AP307" s="29">
        <f t="shared" si="342"/>
        <v>0</v>
      </c>
      <c r="AQ307" s="51" t="s">
        <v>85</v>
      </c>
      <c r="AV307" s="29">
        <f t="shared" si="343"/>
        <v>0</v>
      </c>
      <c r="AW307" s="29">
        <f t="shared" si="344"/>
        <v>0</v>
      </c>
      <c r="AX307" s="29">
        <f t="shared" si="345"/>
        <v>0</v>
      </c>
      <c r="AY307" s="54" t="s">
        <v>642</v>
      </c>
      <c r="AZ307" s="54" t="s">
        <v>1537</v>
      </c>
      <c r="BA307" s="48" t="s">
        <v>1542</v>
      </c>
      <c r="BC307" s="29">
        <f t="shared" si="346"/>
        <v>0</v>
      </c>
      <c r="BD307" s="29">
        <f t="shared" si="347"/>
        <v>0</v>
      </c>
      <c r="BE307" s="29">
        <v>0</v>
      </c>
      <c r="BF307" s="29">
        <f t="shared" si="348"/>
        <v>0</v>
      </c>
      <c r="BH307" s="55">
        <f t="shared" si="349"/>
        <v>0</v>
      </c>
      <c r="BI307" s="55">
        <f t="shared" si="350"/>
        <v>0</v>
      </c>
      <c r="BJ307" s="55">
        <f t="shared" si="351"/>
        <v>0</v>
      </c>
    </row>
    <row r="308" spans="1:62" ht="12.75">
      <c r="A308" s="36" t="s">
        <v>760</v>
      </c>
      <c r="B308" s="36" t="s">
        <v>60</v>
      </c>
      <c r="C308" s="36" t="s">
        <v>1001</v>
      </c>
      <c r="D308" s="36" t="s">
        <v>488</v>
      </c>
      <c r="E308" s="36" t="s">
        <v>609</v>
      </c>
      <c r="F308" s="55">
        <f>'Stavební rozpočet'!F310</f>
        <v>155.6</v>
      </c>
      <c r="G308" s="55">
        <f>'Stavební rozpočet'!G310</f>
        <v>0</v>
      </c>
      <c r="H308" s="55">
        <f t="shared" si="326"/>
        <v>0</v>
      </c>
      <c r="I308" s="55">
        <f t="shared" si="327"/>
        <v>0</v>
      </c>
      <c r="J308" s="55">
        <f t="shared" si="328"/>
        <v>0</v>
      </c>
      <c r="K308" s="55">
        <f>'Stavební rozpočet'!K310</f>
        <v>0</v>
      </c>
      <c r="L308" s="55">
        <f t="shared" si="329"/>
        <v>0</v>
      </c>
      <c r="M308" s="51" t="s">
        <v>622</v>
      </c>
      <c r="Z308" s="29">
        <f t="shared" si="330"/>
        <v>0</v>
      </c>
      <c r="AB308" s="29">
        <f t="shared" si="331"/>
        <v>0</v>
      </c>
      <c r="AC308" s="29">
        <f t="shared" si="332"/>
        <v>0</v>
      </c>
      <c r="AD308" s="29">
        <f t="shared" si="333"/>
        <v>0</v>
      </c>
      <c r="AE308" s="29">
        <f t="shared" si="334"/>
        <v>0</v>
      </c>
      <c r="AF308" s="29">
        <f t="shared" si="335"/>
        <v>0</v>
      </c>
      <c r="AG308" s="29">
        <f t="shared" si="336"/>
        <v>0</v>
      </c>
      <c r="AH308" s="29">
        <f t="shared" si="337"/>
        <v>0</v>
      </c>
      <c r="AI308" s="48" t="s">
        <v>60</v>
      </c>
      <c r="AJ308" s="55">
        <f t="shared" si="338"/>
        <v>0</v>
      </c>
      <c r="AK308" s="55">
        <f t="shared" si="339"/>
        <v>0</v>
      </c>
      <c r="AL308" s="55">
        <f t="shared" si="340"/>
        <v>0</v>
      </c>
      <c r="AN308" s="29">
        <v>15</v>
      </c>
      <c r="AO308" s="29">
        <f t="shared" si="341"/>
        <v>0</v>
      </c>
      <c r="AP308" s="29">
        <f t="shared" si="342"/>
        <v>0</v>
      </c>
      <c r="AQ308" s="51" t="s">
        <v>85</v>
      </c>
      <c r="AV308" s="29">
        <f t="shared" si="343"/>
        <v>0</v>
      </c>
      <c r="AW308" s="29">
        <f t="shared" si="344"/>
        <v>0</v>
      </c>
      <c r="AX308" s="29">
        <f t="shared" si="345"/>
        <v>0</v>
      </c>
      <c r="AY308" s="54" t="s">
        <v>642</v>
      </c>
      <c r="AZ308" s="54" t="s">
        <v>1537</v>
      </c>
      <c r="BA308" s="48" t="s">
        <v>1542</v>
      </c>
      <c r="BC308" s="29">
        <f t="shared" si="346"/>
        <v>0</v>
      </c>
      <c r="BD308" s="29">
        <f t="shared" si="347"/>
        <v>0</v>
      </c>
      <c r="BE308" s="29">
        <v>0</v>
      </c>
      <c r="BF308" s="29">
        <f t="shared" si="348"/>
        <v>0</v>
      </c>
      <c r="BH308" s="55">
        <f t="shared" si="349"/>
        <v>0</v>
      </c>
      <c r="BI308" s="55">
        <f t="shared" si="350"/>
        <v>0</v>
      </c>
      <c r="BJ308" s="55">
        <f t="shared" si="351"/>
        <v>0</v>
      </c>
    </row>
    <row r="309" spans="1:62" ht="12.75">
      <c r="A309" s="36" t="s">
        <v>761</v>
      </c>
      <c r="B309" s="36" t="s">
        <v>60</v>
      </c>
      <c r="C309" s="36" t="s">
        <v>1002</v>
      </c>
      <c r="D309" s="36" t="s">
        <v>1295</v>
      </c>
      <c r="E309" s="36" t="s">
        <v>606</v>
      </c>
      <c r="F309" s="55">
        <f>'Stavební rozpočet'!F311</f>
        <v>8</v>
      </c>
      <c r="G309" s="55">
        <f>'Stavební rozpočet'!G311</f>
        <v>0</v>
      </c>
      <c r="H309" s="55">
        <f t="shared" si="326"/>
        <v>0</v>
      </c>
      <c r="I309" s="55">
        <f t="shared" si="327"/>
        <v>0</v>
      </c>
      <c r="J309" s="55">
        <f t="shared" si="328"/>
        <v>0</v>
      </c>
      <c r="K309" s="55">
        <f>'Stavební rozpočet'!K311</f>
        <v>0</v>
      </c>
      <c r="L309" s="55">
        <f t="shared" si="329"/>
        <v>0</v>
      </c>
      <c r="M309" s="51" t="s">
        <v>622</v>
      </c>
      <c r="Z309" s="29">
        <f t="shared" si="330"/>
        <v>0</v>
      </c>
      <c r="AB309" s="29">
        <f t="shared" si="331"/>
        <v>0</v>
      </c>
      <c r="AC309" s="29">
        <f t="shared" si="332"/>
        <v>0</v>
      </c>
      <c r="AD309" s="29">
        <f t="shared" si="333"/>
        <v>0</v>
      </c>
      <c r="AE309" s="29">
        <f t="shared" si="334"/>
        <v>0</v>
      </c>
      <c r="AF309" s="29">
        <f t="shared" si="335"/>
        <v>0</v>
      </c>
      <c r="AG309" s="29">
        <f t="shared" si="336"/>
        <v>0</v>
      </c>
      <c r="AH309" s="29">
        <f t="shared" si="337"/>
        <v>0</v>
      </c>
      <c r="AI309" s="48" t="s">
        <v>60</v>
      </c>
      <c r="AJ309" s="55">
        <f t="shared" si="338"/>
        <v>0</v>
      </c>
      <c r="AK309" s="55">
        <f t="shared" si="339"/>
        <v>0</v>
      </c>
      <c r="AL309" s="55">
        <f t="shared" si="340"/>
        <v>0</v>
      </c>
      <c r="AN309" s="29">
        <v>15</v>
      </c>
      <c r="AO309" s="29">
        <f t="shared" si="341"/>
        <v>0</v>
      </c>
      <c r="AP309" s="29">
        <f t="shared" si="342"/>
        <v>0</v>
      </c>
      <c r="AQ309" s="51" t="s">
        <v>85</v>
      </c>
      <c r="AV309" s="29">
        <f t="shared" si="343"/>
        <v>0</v>
      </c>
      <c r="AW309" s="29">
        <f t="shared" si="344"/>
        <v>0</v>
      </c>
      <c r="AX309" s="29">
        <f t="shared" si="345"/>
        <v>0</v>
      </c>
      <c r="AY309" s="54" t="s">
        <v>642</v>
      </c>
      <c r="AZ309" s="54" t="s">
        <v>1537</v>
      </c>
      <c r="BA309" s="48" t="s">
        <v>1542</v>
      </c>
      <c r="BC309" s="29">
        <f t="shared" si="346"/>
        <v>0</v>
      </c>
      <c r="BD309" s="29">
        <f t="shared" si="347"/>
        <v>0</v>
      </c>
      <c r="BE309" s="29">
        <v>0</v>
      </c>
      <c r="BF309" s="29">
        <f t="shared" si="348"/>
        <v>0</v>
      </c>
      <c r="BH309" s="55">
        <f t="shared" si="349"/>
        <v>0</v>
      </c>
      <c r="BI309" s="55">
        <f t="shared" si="350"/>
        <v>0</v>
      </c>
      <c r="BJ309" s="55">
        <f t="shared" si="351"/>
        <v>0</v>
      </c>
    </row>
    <row r="310" spans="1:62" ht="12.75">
      <c r="A310" s="36" t="s">
        <v>762</v>
      </c>
      <c r="B310" s="36" t="s">
        <v>60</v>
      </c>
      <c r="C310" s="36" t="s">
        <v>1003</v>
      </c>
      <c r="D310" s="36" t="s">
        <v>1296</v>
      </c>
      <c r="E310" s="36" t="s">
        <v>606</v>
      </c>
      <c r="F310" s="55">
        <f>'Stavební rozpočet'!F312</f>
        <v>1</v>
      </c>
      <c r="G310" s="55">
        <f>'Stavební rozpočet'!G312</f>
        <v>0</v>
      </c>
      <c r="H310" s="55">
        <f t="shared" si="326"/>
        <v>0</v>
      </c>
      <c r="I310" s="55">
        <f t="shared" si="327"/>
        <v>0</v>
      </c>
      <c r="J310" s="55">
        <f t="shared" si="328"/>
        <v>0</v>
      </c>
      <c r="K310" s="55">
        <f>'Stavební rozpočet'!K312</f>
        <v>0</v>
      </c>
      <c r="L310" s="55">
        <f t="shared" si="329"/>
        <v>0</v>
      </c>
      <c r="M310" s="51" t="s">
        <v>622</v>
      </c>
      <c r="Z310" s="29">
        <f t="shared" si="330"/>
        <v>0</v>
      </c>
      <c r="AB310" s="29">
        <f t="shared" si="331"/>
        <v>0</v>
      </c>
      <c r="AC310" s="29">
        <f t="shared" si="332"/>
        <v>0</v>
      </c>
      <c r="AD310" s="29">
        <f t="shared" si="333"/>
        <v>0</v>
      </c>
      <c r="AE310" s="29">
        <f t="shared" si="334"/>
        <v>0</v>
      </c>
      <c r="AF310" s="29">
        <f t="shared" si="335"/>
        <v>0</v>
      </c>
      <c r="AG310" s="29">
        <f t="shared" si="336"/>
        <v>0</v>
      </c>
      <c r="AH310" s="29">
        <f t="shared" si="337"/>
        <v>0</v>
      </c>
      <c r="AI310" s="48" t="s">
        <v>60</v>
      </c>
      <c r="AJ310" s="55">
        <f t="shared" si="338"/>
        <v>0</v>
      </c>
      <c r="AK310" s="55">
        <f t="shared" si="339"/>
        <v>0</v>
      </c>
      <c r="AL310" s="55">
        <f t="shared" si="340"/>
        <v>0</v>
      </c>
      <c r="AN310" s="29">
        <v>15</v>
      </c>
      <c r="AO310" s="29">
        <f t="shared" si="341"/>
        <v>0</v>
      </c>
      <c r="AP310" s="29">
        <f t="shared" si="342"/>
        <v>0</v>
      </c>
      <c r="AQ310" s="51" t="s">
        <v>85</v>
      </c>
      <c r="AV310" s="29">
        <f t="shared" si="343"/>
        <v>0</v>
      </c>
      <c r="AW310" s="29">
        <f t="shared" si="344"/>
        <v>0</v>
      </c>
      <c r="AX310" s="29">
        <f t="shared" si="345"/>
        <v>0</v>
      </c>
      <c r="AY310" s="54" t="s">
        <v>642</v>
      </c>
      <c r="AZ310" s="54" t="s">
        <v>1537</v>
      </c>
      <c r="BA310" s="48" t="s">
        <v>1542</v>
      </c>
      <c r="BC310" s="29">
        <f t="shared" si="346"/>
        <v>0</v>
      </c>
      <c r="BD310" s="29">
        <f t="shared" si="347"/>
        <v>0</v>
      </c>
      <c r="BE310" s="29">
        <v>0</v>
      </c>
      <c r="BF310" s="29">
        <f t="shared" si="348"/>
        <v>0</v>
      </c>
      <c r="BH310" s="55">
        <f t="shared" si="349"/>
        <v>0</v>
      </c>
      <c r="BI310" s="55">
        <f t="shared" si="350"/>
        <v>0</v>
      </c>
      <c r="BJ310" s="55">
        <f t="shared" si="351"/>
        <v>0</v>
      </c>
    </row>
    <row r="311" spans="1:62" ht="12.75">
      <c r="A311" s="36" t="s">
        <v>763</v>
      </c>
      <c r="B311" s="36" t="s">
        <v>60</v>
      </c>
      <c r="C311" s="36" t="s">
        <v>1004</v>
      </c>
      <c r="D311" s="36" t="s">
        <v>501</v>
      </c>
      <c r="E311" s="36" t="s">
        <v>611</v>
      </c>
      <c r="F311" s="55">
        <f>'Stavební rozpočet'!F313</f>
        <v>15</v>
      </c>
      <c r="G311" s="55">
        <f>'Stavební rozpočet'!G313</f>
        <v>0</v>
      </c>
      <c r="H311" s="55">
        <f t="shared" si="326"/>
        <v>0</v>
      </c>
      <c r="I311" s="55">
        <f t="shared" si="327"/>
        <v>0</v>
      </c>
      <c r="J311" s="55">
        <f t="shared" si="328"/>
        <v>0</v>
      </c>
      <c r="K311" s="55">
        <f>'Stavební rozpočet'!K313</f>
        <v>0</v>
      </c>
      <c r="L311" s="55">
        <f t="shared" si="329"/>
        <v>0</v>
      </c>
      <c r="M311" s="51" t="s">
        <v>622</v>
      </c>
      <c r="Z311" s="29">
        <f t="shared" si="330"/>
        <v>0</v>
      </c>
      <c r="AB311" s="29">
        <f t="shared" si="331"/>
        <v>0</v>
      </c>
      <c r="AC311" s="29">
        <f t="shared" si="332"/>
        <v>0</v>
      </c>
      <c r="AD311" s="29">
        <f t="shared" si="333"/>
        <v>0</v>
      </c>
      <c r="AE311" s="29">
        <f t="shared" si="334"/>
        <v>0</v>
      </c>
      <c r="AF311" s="29">
        <f t="shared" si="335"/>
        <v>0</v>
      </c>
      <c r="AG311" s="29">
        <f t="shared" si="336"/>
        <v>0</v>
      </c>
      <c r="AH311" s="29">
        <f t="shared" si="337"/>
        <v>0</v>
      </c>
      <c r="AI311" s="48" t="s">
        <v>60</v>
      </c>
      <c r="AJ311" s="55">
        <f t="shared" si="338"/>
        <v>0</v>
      </c>
      <c r="AK311" s="55">
        <f t="shared" si="339"/>
        <v>0</v>
      </c>
      <c r="AL311" s="55">
        <f t="shared" si="340"/>
        <v>0</v>
      </c>
      <c r="AN311" s="29">
        <v>15</v>
      </c>
      <c r="AO311" s="29">
        <f t="shared" si="341"/>
        <v>0</v>
      </c>
      <c r="AP311" s="29">
        <f t="shared" si="342"/>
        <v>0</v>
      </c>
      <c r="AQ311" s="51" t="s">
        <v>85</v>
      </c>
      <c r="AV311" s="29">
        <f t="shared" si="343"/>
        <v>0</v>
      </c>
      <c r="AW311" s="29">
        <f t="shared" si="344"/>
        <v>0</v>
      </c>
      <c r="AX311" s="29">
        <f t="shared" si="345"/>
        <v>0</v>
      </c>
      <c r="AY311" s="54" t="s">
        <v>642</v>
      </c>
      <c r="AZ311" s="54" t="s">
        <v>1537</v>
      </c>
      <c r="BA311" s="48" t="s">
        <v>1542</v>
      </c>
      <c r="BC311" s="29">
        <f t="shared" si="346"/>
        <v>0</v>
      </c>
      <c r="BD311" s="29">
        <f t="shared" si="347"/>
        <v>0</v>
      </c>
      <c r="BE311" s="29">
        <v>0</v>
      </c>
      <c r="BF311" s="29">
        <f t="shared" si="348"/>
        <v>0</v>
      </c>
      <c r="BH311" s="55">
        <f t="shared" si="349"/>
        <v>0</v>
      </c>
      <c r="BI311" s="55">
        <f t="shared" si="350"/>
        <v>0</v>
      </c>
      <c r="BJ311" s="55">
        <f t="shared" si="351"/>
        <v>0</v>
      </c>
    </row>
    <row r="312" spans="1:62" ht="12.75">
      <c r="A312" s="36" t="s">
        <v>764</v>
      </c>
      <c r="B312" s="36" t="s">
        <v>60</v>
      </c>
      <c r="C312" s="36" t="s">
        <v>1005</v>
      </c>
      <c r="D312" s="36" t="s">
        <v>489</v>
      </c>
      <c r="E312" s="36" t="s">
        <v>606</v>
      </c>
      <c r="F312" s="55">
        <f>'Stavební rozpočet'!F314</f>
        <v>1</v>
      </c>
      <c r="G312" s="55">
        <f>'Stavební rozpočet'!G314</f>
        <v>0</v>
      </c>
      <c r="H312" s="55">
        <f t="shared" si="326"/>
        <v>0</v>
      </c>
      <c r="I312" s="55">
        <f t="shared" si="327"/>
        <v>0</v>
      </c>
      <c r="J312" s="55">
        <f t="shared" si="328"/>
        <v>0</v>
      </c>
      <c r="K312" s="55">
        <f>'Stavební rozpočet'!K314</f>
        <v>0</v>
      </c>
      <c r="L312" s="55">
        <f t="shared" si="329"/>
        <v>0</v>
      </c>
      <c r="M312" s="51" t="s">
        <v>622</v>
      </c>
      <c r="Z312" s="29">
        <f t="shared" si="330"/>
        <v>0</v>
      </c>
      <c r="AB312" s="29">
        <f t="shared" si="331"/>
        <v>0</v>
      </c>
      <c r="AC312" s="29">
        <f t="shared" si="332"/>
        <v>0</v>
      </c>
      <c r="AD312" s="29">
        <f t="shared" si="333"/>
        <v>0</v>
      </c>
      <c r="AE312" s="29">
        <f t="shared" si="334"/>
        <v>0</v>
      </c>
      <c r="AF312" s="29">
        <f t="shared" si="335"/>
        <v>0</v>
      </c>
      <c r="AG312" s="29">
        <f t="shared" si="336"/>
        <v>0</v>
      </c>
      <c r="AH312" s="29">
        <f t="shared" si="337"/>
        <v>0</v>
      </c>
      <c r="AI312" s="48" t="s">
        <v>60</v>
      </c>
      <c r="AJ312" s="55">
        <f t="shared" si="338"/>
        <v>0</v>
      </c>
      <c r="AK312" s="55">
        <f t="shared" si="339"/>
        <v>0</v>
      </c>
      <c r="AL312" s="55">
        <f t="shared" si="340"/>
        <v>0</v>
      </c>
      <c r="AN312" s="29">
        <v>15</v>
      </c>
      <c r="AO312" s="29">
        <f t="shared" si="341"/>
        <v>0</v>
      </c>
      <c r="AP312" s="29">
        <f t="shared" si="342"/>
        <v>0</v>
      </c>
      <c r="AQ312" s="51" t="s">
        <v>85</v>
      </c>
      <c r="AV312" s="29">
        <f t="shared" si="343"/>
        <v>0</v>
      </c>
      <c r="AW312" s="29">
        <f t="shared" si="344"/>
        <v>0</v>
      </c>
      <c r="AX312" s="29">
        <f t="shared" si="345"/>
        <v>0</v>
      </c>
      <c r="AY312" s="54" t="s">
        <v>642</v>
      </c>
      <c r="AZ312" s="54" t="s">
        <v>1537</v>
      </c>
      <c r="BA312" s="48" t="s">
        <v>1542</v>
      </c>
      <c r="BC312" s="29">
        <f t="shared" si="346"/>
        <v>0</v>
      </c>
      <c r="BD312" s="29">
        <f t="shared" si="347"/>
        <v>0</v>
      </c>
      <c r="BE312" s="29">
        <v>0</v>
      </c>
      <c r="BF312" s="29">
        <f t="shared" si="348"/>
        <v>0</v>
      </c>
      <c r="BH312" s="55">
        <f t="shared" si="349"/>
        <v>0</v>
      </c>
      <c r="BI312" s="55">
        <f t="shared" si="350"/>
        <v>0</v>
      </c>
      <c r="BJ312" s="55">
        <f t="shared" si="351"/>
        <v>0</v>
      </c>
    </row>
    <row r="313" spans="1:62" ht="12.75">
      <c r="A313" s="36" t="s">
        <v>765</v>
      </c>
      <c r="B313" s="36" t="s">
        <v>60</v>
      </c>
      <c r="C313" s="36" t="s">
        <v>1006</v>
      </c>
      <c r="D313" s="36" t="s">
        <v>490</v>
      </c>
      <c r="E313" s="36" t="s">
        <v>606</v>
      </c>
      <c r="F313" s="55">
        <f>'Stavební rozpočet'!F315</f>
        <v>1</v>
      </c>
      <c r="G313" s="55">
        <f>'Stavební rozpočet'!G315</f>
        <v>0</v>
      </c>
      <c r="H313" s="55">
        <f t="shared" si="326"/>
        <v>0</v>
      </c>
      <c r="I313" s="55">
        <f t="shared" si="327"/>
        <v>0</v>
      </c>
      <c r="J313" s="55">
        <f t="shared" si="328"/>
        <v>0</v>
      </c>
      <c r="K313" s="55">
        <f>'Stavební rozpočet'!K315</f>
        <v>0</v>
      </c>
      <c r="L313" s="55">
        <f t="shared" si="329"/>
        <v>0</v>
      </c>
      <c r="M313" s="51" t="s">
        <v>622</v>
      </c>
      <c r="Z313" s="29">
        <f t="shared" si="330"/>
        <v>0</v>
      </c>
      <c r="AB313" s="29">
        <f t="shared" si="331"/>
        <v>0</v>
      </c>
      <c r="AC313" s="29">
        <f t="shared" si="332"/>
        <v>0</v>
      </c>
      <c r="AD313" s="29">
        <f t="shared" si="333"/>
        <v>0</v>
      </c>
      <c r="AE313" s="29">
        <f t="shared" si="334"/>
        <v>0</v>
      </c>
      <c r="AF313" s="29">
        <f t="shared" si="335"/>
        <v>0</v>
      </c>
      <c r="AG313" s="29">
        <f t="shared" si="336"/>
        <v>0</v>
      </c>
      <c r="AH313" s="29">
        <f t="shared" si="337"/>
        <v>0</v>
      </c>
      <c r="AI313" s="48" t="s">
        <v>60</v>
      </c>
      <c r="AJ313" s="55">
        <f t="shared" si="338"/>
        <v>0</v>
      </c>
      <c r="AK313" s="55">
        <f t="shared" si="339"/>
        <v>0</v>
      </c>
      <c r="AL313" s="55">
        <f t="shared" si="340"/>
        <v>0</v>
      </c>
      <c r="AN313" s="29">
        <v>15</v>
      </c>
      <c r="AO313" s="29">
        <f t="shared" si="341"/>
        <v>0</v>
      </c>
      <c r="AP313" s="29">
        <f t="shared" si="342"/>
        <v>0</v>
      </c>
      <c r="AQ313" s="51" t="s">
        <v>85</v>
      </c>
      <c r="AV313" s="29">
        <f t="shared" si="343"/>
        <v>0</v>
      </c>
      <c r="AW313" s="29">
        <f t="shared" si="344"/>
        <v>0</v>
      </c>
      <c r="AX313" s="29">
        <f t="shared" si="345"/>
        <v>0</v>
      </c>
      <c r="AY313" s="54" t="s">
        <v>642</v>
      </c>
      <c r="AZ313" s="54" t="s">
        <v>1537</v>
      </c>
      <c r="BA313" s="48" t="s">
        <v>1542</v>
      </c>
      <c r="BC313" s="29">
        <f t="shared" si="346"/>
        <v>0</v>
      </c>
      <c r="BD313" s="29">
        <f t="shared" si="347"/>
        <v>0</v>
      </c>
      <c r="BE313" s="29">
        <v>0</v>
      </c>
      <c r="BF313" s="29">
        <f t="shared" si="348"/>
        <v>0</v>
      </c>
      <c r="BH313" s="55">
        <f t="shared" si="349"/>
        <v>0</v>
      </c>
      <c r="BI313" s="55">
        <f t="shared" si="350"/>
        <v>0</v>
      </c>
      <c r="BJ313" s="55">
        <f t="shared" si="351"/>
        <v>0</v>
      </c>
    </row>
    <row r="314" spans="1:62" ht="12.75">
      <c r="A314" s="36" t="s">
        <v>766</v>
      </c>
      <c r="B314" s="36" t="s">
        <v>60</v>
      </c>
      <c r="C314" s="36" t="s">
        <v>1007</v>
      </c>
      <c r="D314" s="36" t="s">
        <v>491</v>
      </c>
      <c r="E314" s="36" t="s">
        <v>606</v>
      </c>
      <c r="F314" s="55">
        <f>'Stavební rozpočet'!F316</f>
        <v>1</v>
      </c>
      <c r="G314" s="55">
        <f>'Stavební rozpočet'!G316</f>
        <v>0</v>
      </c>
      <c r="H314" s="55">
        <f t="shared" si="326"/>
        <v>0</v>
      </c>
      <c r="I314" s="55">
        <f t="shared" si="327"/>
        <v>0</v>
      </c>
      <c r="J314" s="55">
        <f t="shared" si="328"/>
        <v>0</v>
      </c>
      <c r="K314" s="55">
        <f>'Stavební rozpočet'!K316</f>
        <v>0</v>
      </c>
      <c r="L314" s="55">
        <f t="shared" si="329"/>
        <v>0</v>
      </c>
      <c r="M314" s="51" t="s">
        <v>622</v>
      </c>
      <c r="Z314" s="29">
        <f t="shared" si="330"/>
        <v>0</v>
      </c>
      <c r="AB314" s="29">
        <f t="shared" si="331"/>
        <v>0</v>
      </c>
      <c r="AC314" s="29">
        <f t="shared" si="332"/>
        <v>0</v>
      </c>
      <c r="AD314" s="29">
        <f t="shared" si="333"/>
        <v>0</v>
      </c>
      <c r="AE314" s="29">
        <f t="shared" si="334"/>
        <v>0</v>
      </c>
      <c r="AF314" s="29">
        <f t="shared" si="335"/>
        <v>0</v>
      </c>
      <c r="AG314" s="29">
        <f t="shared" si="336"/>
        <v>0</v>
      </c>
      <c r="AH314" s="29">
        <f t="shared" si="337"/>
        <v>0</v>
      </c>
      <c r="AI314" s="48" t="s">
        <v>60</v>
      </c>
      <c r="AJ314" s="55">
        <f t="shared" si="338"/>
        <v>0</v>
      </c>
      <c r="AK314" s="55">
        <f t="shared" si="339"/>
        <v>0</v>
      </c>
      <c r="AL314" s="55">
        <f t="shared" si="340"/>
        <v>0</v>
      </c>
      <c r="AN314" s="29">
        <v>15</v>
      </c>
      <c r="AO314" s="29">
        <f t="shared" si="341"/>
        <v>0</v>
      </c>
      <c r="AP314" s="29">
        <f t="shared" si="342"/>
        <v>0</v>
      </c>
      <c r="AQ314" s="51" t="s">
        <v>85</v>
      </c>
      <c r="AV314" s="29">
        <f t="shared" si="343"/>
        <v>0</v>
      </c>
      <c r="AW314" s="29">
        <f t="shared" si="344"/>
        <v>0</v>
      </c>
      <c r="AX314" s="29">
        <f t="shared" si="345"/>
        <v>0</v>
      </c>
      <c r="AY314" s="54" t="s">
        <v>642</v>
      </c>
      <c r="AZ314" s="54" t="s">
        <v>1537</v>
      </c>
      <c r="BA314" s="48" t="s">
        <v>1542</v>
      </c>
      <c r="BC314" s="29">
        <f t="shared" si="346"/>
        <v>0</v>
      </c>
      <c r="BD314" s="29">
        <f t="shared" si="347"/>
        <v>0</v>
      </c>
      <c r="BE314" s="29">
        <v>0</v>
      </c>
      <c r="BF314" s="29">
        <f t="shared" si="348"/>
        <v>0</v>
      </c>
      <c r="BH314" s="55">
        <f t="shared" si="349"/>
        <v>0</v>
      </c>
      <c r="BI314" s="55">
        <f t="shared" si="350"/>
        <v>0</v>
      </c>
      <c r="BJ314" s="55">
        <f t="shared" si="351"/>
        <v>0</v>
      </c>
    </row>
    <row r="315" spans="1:62" ht="12.75">
      <c r="A315" s="36" t="s">
        <v>767</v>
      </c>
      <c r="B315" s="36" t="s">
        <v>60</v>
      </c>
      <c r="C315" s="36" t="s">
        <v>1008</v>
      </c>
      <c r="D315" s="36" t="s">
        <v>492</v>
      </c>
      <c r="E315" s="36" t="s">
        <v>606</v>
      </c>
      <c r="F315" s="55">
        <f>'Stavební rozpočet'!F317</f>
        <v>1</v>
      </c>
      <c r="G315" s="55">
        <f>'Stavební rozpočet'!G317</f>
        <v>0</v>
      </c>
      <c r="H315" s="55">
        <f t="shared" si="326"/>
        <v>0</v>
      </c>
      <c r="I315" s="55">
        <f t="shared" si="327"/>
        <v>0</v>
      </c>
      <c r="J315" s="55">
        <f t="shared" si="328"/>
        <v>0</v>
      </c>
      <c r="K315" s="55">
        <f>'Stavební rozpočet'!K317</f>
        <v>0</v>
      </c>
      <c r="L315" s="55">
        <f t="shared" si="329"/>
        <v>0</v>
      </c>
      <c r="M315" s="51" t="s">
        <v>622</v>
      </c>
      <c r="Z315" s="29">
        <f t="shared" si="330"/>
        <v>0</v>
      </c>
      <c r="AB315" s="29">
        <f t="shared" si="331"/>
        <v>0</v>
      </c>
      <c r="AC315" s="29">
        <f t="shared" si="332"/>
        <v>0</v>
      </c>
      <c r="AD315" s="29">
        <f t="shared" si="333"/>
        <v>0</v>
      </c>
      <c r="AE315" s="29">
        <f t="shared" si="334"/>
        <v>0</v>
      </c>
      <c r="AF315" s="29">
        <f t="shared" si="335"/>
        <v>0</v>
      </c>
      <c r="AG315" s="29">
        <f t="shared" si="336"/>
        <v>0</v>
      </c>
      <c r="AH315" s="29">
        <f t="shared" si="337"/>
        <v>0</v>
      </c>
      <c r="AI315" s="48" t="s">
        <v>60</v>
      </c>
      <c r="AJ315" s="55">
        <f t="shared" si="338"/>
        <v>0</v>
      </c>
      <c r="AK315" s="55">
        <f t="shared" si="339"/>
        <v>0</v>
      </c>
      <c r="AL315" s="55">
        <f t="shared" si="340"/>
        <v>0</v>
      </c>
      <c r="AN315" s="29">
        <v>15</v>
      </c>
      <c r="AO315" s="29">
        <f t="shared" si="341"/>
        <v>0</v>
      </c>
      <c r="AP315" s="29">
        <f t="shared" si="342"/>
        <v>0</v>
      </c>
      <c r="AQ315" s="51" t="s">
        <v>85</v>
      </c>
      <c r="AV315" s="29">
        <f t="shared" si="343"/>
        <v>0</v>
      </c>
      <c r="AW315" s="29">
        <f t="shared" si="344"/>
        <v>0</v>
      </c>
      <c r="AX315" s="29">
        <f t="shared" si="345"/>
        <v>0</v>
      </c>
      <c r="AY315" s="54" t="s">
        <v>642</v>
      </c>
      <c r="AZ315" s="54" t="s">
        <v>1537</v>
      </c>
      <c r="BA315" s="48" t="s">
        <v>1542</v>
      </c>
      <c r="BC315" s="29">
        <f t="shared" si="346"/>
        <v>0</v>
      </c>
      <c r="BD315" s="29">
        <f t="shared" si="347"/>
        <v>0</v>
      </c>
      <c r="BE315" s="29">
        <v>0</v>
      </c>
      <c r="BF315" s="29">
        <f t="shared" si="348"/>
        <v>0</v>
      </c>
      <c r="BH315" s="55">
        <f t="shared" si="349"/>
        <v>0</v>
      </c>
      <c r="BI315" s="55">
        <f t="shared" si="350"/>
        <v>0</v>
      </c>
      <c r="BJ315" s="55">
        <f t="shared" si="351"/>
        <v>0</v>
      </c>
    </row>
    <row r="316" spans="1:62" ht="12.75">
      <c r="A316" s="36" t="s">
        <v>768</v>
      </c>
      <c r="B316" s="36" t="s">
        <v>60</v>
      </c>
      <c r="C316" s="36" t="s">
        <v>1009</v>
      </c>
      <c r="D316" s="36" t="s">
        <v>493</v>
      </c>
      <c r="E316" s="36" t="s">
        <v>606</v>
      </c>
      <c r="F316" s="55">
        <f>'Stavební rozpočet'!F318</f>
        <v>1</v>
      </c>
      <c r="G316" s="55">
        <f>'Stavební rozpočet'!G318</f>
        <v>0</v>
      </c>
      <c r="H316" s="55">
        <f t="shared" si="326"/>
        <v>0</v>
      </c>
      <c r="I316" s="55">
        <f t="shared" si="327"/>
        <v>0</v>
      </c>
      <c r="J316" s="55">
        <f t="shared" si="328"/>
        <v>0</v>
      </c>
      <c r="K316" s="55">
        <f>'Stavební rozpočet'!K318</f>
        <v>0</v>
      </c>
      <c r="L316" s="55">
        <f t="shared" si="329"/>
        <v>0</v>
      </c>
      <c r="M316" s="51" t="s">
        <v>622</v>
      </c>
      <c r="Z316" s="29">
        <f t="shared" si="330"/>
        <v>0</v>
      </c>
      <c r="AB316" s="29">
        <f t="shared" si="331"/>
        <v>0</v>
      </c>
      <c r="AC316" s="29">
        <f t="shared" si="332"/>
        <v>0</v>
      </c>
      <c r="AD316" s="29">
        <f t="shared" si="333"/>
        <v>0</v>
      </c>
      <c r="AE316" s="29">
        <f t="shared" si="334"/>
        <v>0</v>
      </c>
      <c r="AF316" s="29">
        <f t="shared" si="335"/>
        <v>0</v>
      </c>
      <c r="AG316" s="29">
        <f t="shared" si="336"/>
        <v>0</v>
      </c>
      <c r="AH316" s="29">
        <f t="shared" si="337"/>
        <v>0</v>
      </c>
      <c r="AI316" s="48" t="s">
        <v>60</v>
      </c>
      <c r="AJ316" s="55">
        <f t="shared" si="338"/>
        <v>0</v>
      </c>
      <c r="AK316" s="55">
        <f t="shared" si="339"/>
        <v>0</v>
      </c>
      <c r="AL316" s="55">
        <f t="shared" si="340"/>
        <v>0</v>
      </c>
      <c r="AN316" s="29">
        <v>15</v>
      </c>
      <c r="AO316" s="29">
        <f t="shared" si="341"/>
        <v>0</v>
      </c>
      <c r="AP316" s="29">
        <f t="shared" si="342"/>
        <v>0</v>
      </c>
      <c r="AQ316" s="51" t="s">
        <v>85</v>
      </c>
      <c r="AV316" s="29">
        <f t="shared" si="343"/>
        <v>0</v>
      </c>
      <c r="AW316" s="29">
        <f t="shared" si="344"/>
        <v>0</v>
      </c>
      <c r="AX316" s="29">
        <f t="shared" si="345"/>
        <v>0</v>
      </c>
      <c r="AY316" s="54" t="s">
        <v>642</v>
      </c>
      <c r="AZ316" s="54" t="s">
        <v>1537</v>
      </c>
      <c r="BA316" s="48" t="s">
        <v>1542</v>
      </c>
      <c r="BC316" s="29">
        <f t="shared" si="346"/>
        <v>0</v>
      </c>
      <c r="BD316" s="29">
        <f t="shared" si="347"/>
        <v>0</v>
      </c>
      <c r="BE316" s="29">
        <v>0</v>
      </c>
      <c r="BF316" s="29">
        <f t="shared" si="348"/>
        <v>0</v>
      </c>
      <c r="BH316" s="55">
        <f t="shared" si="349"/>
        <v>0</v>
      </c>
      <c r="BI316" s="55">
        <f t="shared" si="350"/>
        <v>0</v>
      </c>
      <c r="BJ316" s="55">
        <f t="shared" si="351"/>
        <v>0</v>
      </c>
    </row>
    <row r="317" spans="1:47" ht="12.75">
      <c r="A317" s="35"/>
      <c r="B317" s="42" t="s">
        <v>60</v>
      </c>
      <c r="C317" s="42" t="s">
        <v>301</v>
      </c>
      <c r="D317" s="42" t="s">
        <v>494</v>
      </c>
      <c r="E317" s="35" t="s">
        <v>57</v>
      </c>
      <c r="F317" s="35" t="s">
        <v>57</v>
      </c>
      <c r="G317" s="35" t="s">
        <v>57</v>
      </c>
      <c r="H317" s="59">
        <f>SUM(H318:H364)</f>
        <v>0</v>
      </c>
      <c r="I317" s="59">
        <f>SUM(I318:I364)</f>
        <v>0</v>
      </c>
      <c r="J317" s="59">
        <f>SUM(J318:J364)</f>
        <v>0</v>
      </c>
      <c r="K317" s="48"/>
      <c r="L317" s="59">
        <f>SUM(L318:L364)</f>
        <v>0</v>
      </c>
      <c r="M317" s="48"/>
      <c r="AI317" s="48" t="s">
        <v>60</v>
      </c>
      <c r="AS317" s="59">
        <f>SUM(AJ318:AJ364)</f>
        <v>0</v>
      </c>
      <c r="AT317" s="59">
        <f>SUM(AK318:AK364)</f>
        <v>0</v>
      </c>
      <c r="AU317" s="59">
        <f>SUM(AL318:AL364)</f>
        <v>0</v>
      </c>
    </row>
    <row r="318" spans="1:62" ht="12.75">
      <c r="A318" s="36" t="s">
        <v>769</v>
      </c>
      <c r="B318" s="36" t="s">
        <v>60</v>
      </c>
      <c r="C318" s="36" t="s">
        <v>302</v>
      </c>
      <c r="D318" s="36" t="s">
        <v>495</v>
      </c>
      <c r="E318" s="36" t="s">
        <v>609</v>
      </c>
      <c r="F318" s="55">
        <f>'Stavební rozpočet'!F320</f>
        <v>0</v>
      </c>
      <c r="G318" s="55">
        <f>'Stavební rozpočet'!G320</f>
        <v>0</v>
      </c>
      <c r="H318" s="55">
        <f aca="true" t="shared" si="352" ref="H318:H364">F318*AO318</f>
        <v>0</v>
      </c>
      <c r="I318" s="55">
        <f aca="true" t="shared" si="353" ref="I318:I364">F318*AP318</f>
        <v>0</v>
      </c>
      <c r="J318" s="55">
        <f aca="true" t="shared" si="354" ref="J318:J364">F318*G318</f>
        <v>0</v>
      </c>
      <c r="K318" s="55">
        <f>'Stavební rozpočet'!K320</f>
        <v>0</v>
      </c>
      <c r="L318" s="55">
        <f aca="true" t="shared" si="355" ref="L318:L364">F318*K318</f>
        <v>0</v>
      </c>
      <c r="M318" s="51" t="s">
        <v>622</v>
      </c>
      <c r="Z318" s="29">
        <f aca="true" t="shared" si="356" ref="Z318:Z364">IF(AQ318="5",BJ318,0)</f>
        <v>0</v>
      </c>
      <c r="AB318" s="29">
        <f aca="true" t="shared" si="357" ref="AB318:AB364">IF(AQ318="1",BH318,0)</f>
        <v>0</v>
      </c>
      <c r="AC318" s="29">
        <f aca="true" t="shared" si="358" ref="AC318:AC364">IF(AQ318="1",BI318,0)</f>
        <v>0</v>
      </c>
      <c r="AD318" s="29">
        <f aca="true" t="shared" si="359" ref="AD318:AD364">IF(AQ318="7",BH318,0)</f>
        <v>0</v>
      </c>
      <c r="AE318" s="29">
        <f aca="true" t="shared" si="360" ref="AE318:AE364">IF(AQ318="7",BI318,0)</f>
        <v>0</v>
      </c>
      <c r="AF318" s="29">
        <f aca="true" t="shared" si="361" ref="AF318:AF364">IF(AQ318="2",BH318,0)</f>
        <v>0</v>
      </c>
      <c r="AG318" s="29">
        <f aca="true" t="shared" si="362" ref="AG318:AG364">IF(AQ318="2",BI318,0)</f>
        <v>0</v>
      </c>
      <c r="AH318" s="29">
        <f aca="true" t="shared" si="363" ref="AH318:AH364">IF(AQ318="0",BJ318,0)</f>
        <v>0</v>
      </c>
      <c r="AI318" s="48" t="s">
        <v>60</v>
      </c>
      <c r="AJ318" s="55">
        <f aca="true" t="shared" si="364" ref="AJ318:AJ364">IF(AN318=0,J318,0)</f>
        <v>0</v>
      </c>
      <c r="AK318" s="55">
        <f aca="true" t="shared" si="365" ref="AK318:AK364">IF(AN318=15,J318,0)</f>
        <v>0</v>
      </c>
      <c r="AL318" s="55">
        <f aca="true" t="shared" si="366" ref="AL318:AL364">IF(AN318=21,J318,0)</f>
        <v>0</v>
      </c>
      <c r="AN318" s="29">
        <v>15</v>
      </c>
      <c r="AO318" s="29">
        <f aca="true" t="shared" si="367" ref="AO318:AO364">G318*0</f>
        <v>0</v>
      </c>
      <c r="AP318" s="29">
        <f aca="true" t="shared" si="368" ref="AP318:AP364">G318*(1-0)</f>
        <v>0</v>
      </c>
      <c r="AQ318" s="51" t="s">
        <v>85</v>
      </c>
      <c r="AV318" s="29">
        <f aca="true" t="shared" si="369" ref="AV318:AV364">AW318+AX318</f>
        <v>0</v>
      </c>
      <c r="AW318" s="29">
        <f aca="true" t="shared" si="370" ref="AW318:AW364">F318*AO318</f>
        <v>0</v>
      </c>
      <c r="AX318" s="29">
        <f aca="true" t="shared" si="371" ref="AX318:AX364">F318*AP318</f>
        <v>0</v>
      </c>
      <c r="AY318" s="54" t="s">
        <v>643</v>
      </c>
      <c r="AZ318" s="54" t="s">
        <v>1537</v>
      </c>
      <c r="BA318" s="48" t="s">
        <v>1542</v>
      </c>
      <c r="BC318" s="29">
        <f aca="true" t="shared" si="372" ref="BC318:BC364">AW318+AX318</f>
        <v>0</v>
      </c>
      <c r="BD318" s="29">
        <f aca="true" t="shared" si="373" ref="BD318:BD364">G318/(100-BE318)*100</f>
        <v>0</v>
      </c>
      <c r="BE318" s="29">
        <v>0</v>
      </c>
      <c r="BF318" s="29">
        <f aca="true" t="shared" si="374" ref="BF318:BF364">L318</f>
        <v>0</v>
      </c>
      <c r="BH318" s="55">
        <f aca="true" t="shared" si="375" ref="BH318:BH364">F318*AO318</f>
        <v>0</v>
      </c>
      <c r="BI318" s="55">
        <f aca="true" t="shared" si="376" ref="BI318:BI364">F318*AP318</f>
        <v>0</v>
      </c>
      <c r="BJ318" s="55">
        <f aca="true" t="shared" si="377" ref="BJ318:BJ364">F318*G318</f>
        <v>0</v>
      </c>
    </row>
    <row r="319" spans="1:62" ht="12.75">
      <c r="A319" s="36" t="s">
        <v>770</v>
      </c>
      <c r="B319" s="36" t="s">
        <v>60</v>
      </c>
      <c r="C319" s="36" t="s">
        <v>303</v>
      </c>
      <c r="D319" s="36" t="s">
        <v>1297</v>
      </c>
      <c r="E319" s="36" t="s">
        <v>609</v>
      </c>
      <c r="F319" s="55">
        <f>'Stavební rozpočet'!F321</f>
        <v>76.5</v>
      </c>
      <c r="G319" s="55">
        <f>'Stavební rozpočet'!G321</f>
        <v>0</v>
      </c>
      <c r="H319" s="55">
        <f t="shared" si="352"/>
        <v>0</v>
      </c>
      <c r="I319" s="55">
        <f t="shared" si="353"/>
        <v>0</v>
      </c>
      <c r="J319" s="55">
        <f t="shared" si="354"/>
        <v>0</v>
      </c>
      <c r="K319" s="55">
        <f>'Stavební rozpočet'!K321</f>
        <v>0</v>
      </c>
      <c r="L319" s="55">
        <f t="shared" si="355"/>
        <v>0</v>
      </c>
      <c r="M319" s="51" t="s">
        <v>622</v>
      </c>
      <c r="Z319" s="29">
        <f t="shared" si="356"/>
        <v>0</v>
      </c>
      <c r="AB319" s="29">
        <f t="shared" si="357"/>
        <v>0</v>
      </c>
      <c r="AC319" s="29">
        <f t="shared" si="358"/>
        <v>0</v>
      </c>
      <c r="AD319" s="29">
        <f t="shared" si="359"/>
        <v>0</v>
      </c>
      <c r="AE319" s="29">
        <f t="shared" si="360"/>
        <v>0</v>
      </c>
      <c r="AF319" s="29">
        <f t="shared" si="361"/>
        <v>0</v>
      </c>
      <c r="AG319" s="29">
        <f t="shared" si="362"/>
        <v>0</v>
      </c>
      <c r="AH319" s="29">
        <f t="shared" si="363"/>
        <v>0</v>
      </c>
      <c r="AI319" s="48" t="s">
        <v>60</v>
      </c>
      <c r="AJ319" s="55">
        <f t="shared" si="364"/>
        <v>0</v>
      </c>
      <c r="AK319" s="55">
        <f t="shared" si="365"/>
        <v>0</v>
      </c>
      <c r="AL319" s="55">
        <f t="shared" si="366"/>
        <v>0</v>
      </c>
      <c r="AN319" s="29">
        <v>15</v>
      </c>
      <c r="AO319" s="29">
        <f t="shared" si="367"/>
        <v>0</v>
      </c>
      <c r="AP319" s="29">
        <f t="shared" si="368"/>
        <v>0</v>
      </c>
      <c r="AQ319" s="51" t="s">
        <v>85</v>
      </c>
      <c r="AV319" s="29">
        <f t="shared" si="369"/>
        <v>0</v>
      </c>
      <c r="AW319" s="29">
        <f t="shared" si="370"/>
        <v>0</v>
      </c>
      <c r="AX319" s="29">
        <f t="shared" si="371"/>
        <v>0</v>
      </c>
      <c r="AY319" s="54" t="s">
        <v>643</v>
      </c>
      <c r="AZ319" s="54" t="s">
        <v>1537</v>
      </c>
      <c r="BA319" s="48" t="s">
        <v>1542</v>
      </c>
      <c r="BC319" s="29">
        <f t="shared" si="372"/>
        <v>0</v>
      </c>
      <c r="BD319" s="29">
        <f t="shared" si="373"/>
        <v>0</v>
      </c>
      <c r="BE319" s="29">
        <v>0</v>
      </c>
      <c r="BF319" s="29">
        <f t="shared" si="374"/>
        <v>0</v>
      </c>
      <c r="BH319" s="55">
        <f t="shared" si="375"/>
        <v>0</v>
      </c>
      <c r="BI319" s="55">
        <f t="shared" si="376"/>
        <v>0</v>
      </c>
      <c r="BJ319" s="55">
        <f t="shared" si="377"/>
        <v>0</v>
      </c>
    </row>
    <row r="320" spans="1:62" ht="12.75">
      <c r="A320" s="36" t="s">
        <v>771</v>
      </c>
      <c r="B320" s="36" t="s">
        <v>60</v>
      </c>
      <c r="C320" s="36" t="s">
        <v>1010</v>
      </c>
      <c r="D320" s="36" t="s">
        <v>1298</v>
      </c>
      <c r="E320" s="36" t="s">
        <v>609</v>
      </c>
      <c r="F320" s="55">
        <f>'Stavební rozpočet'!F322</f>
        <v>9.3</v>
      </c>
      <c r="G320" s="55">
        <f>'Stavební rozpočet'!G322</f>
        <v>0</v>
      </c>
      <c r="H320" s="55">
        <f t="shared" si="352"/>
        <v>0</v>
      </c>
      <c r="I320" s="55">
        <f t="shared" si="353"/>
        <v>0</v>
      </c>
      <c r="J320" s="55">
        <f t="shared" si="354"/>
        <v>0</v>
      </c>
      <c r="K320" s="55">
        <f>'Stavební rozpočet'!K322</f>
        <v>0</v>
      </c>
      <c r="L320" s="55">
        <f t="shared" si="355"/>
        <v>0</v>
      </c>
      <c r="M320" s="51" t="s">
        <v>622</v>
      </c>
      <c r="Z320" s="29">
        <f t="shared" si="356"/>
        <v>0</v>
      </c>
      <c r="AB320" s="29">
        <f t="shared" si="357"/>
        <v>0</v>
      </c>
      <c r="AC320" s="29">
        <f t="shared" si="358"/>
        <v>0</v>
      </c>
      <c r="AD320" s="29">
        <f t="shared" si="359"/>
        <v>0</v>
      </c>
      <c r="AE320" s="29">
        <f t="shared" si="360"/>
        <v>0</v>
      </c>
      <c r="AF320" s="29">
        <f t="shared" si="361"/>
        <v>0</v>
      </c>
      <c r="AG320" s="29">
        <f t="shared" si="362"/>
        <v>0</v>
      </c>
      <c r="AH320" s="29">
        <f t="shared" si="363"/>
        <v>0</v>
      </c>
      <c r="AI320" s="48" t="s">
        <v>60</v>
      </c>
      <c r="AJ320" s="55">
        <f t="shared" si="364"/>
        <v>0</v>
      </c>
      <c r="AK320" s="55">
        <f t="shared" si="365"/>
        <v>0</v>
      </c>
      <c r="AL320" s="55">
        <f t="shared" si="366"/>
        <v>0</v>
      </c>
      <c r="AN320" s="29">
        <v>15</v>
      </c>
      <c r="AO320" s="29">
        <f t="shared" si="367"/>
        <v>0</v>
      </c>
      <c r="AP320" s="29">
        <f t="shared" si="368"/>
        <v>0</v>
      </c>
      <c r="AQ320" s="51" t="s">
        <v>85</v>
      </c>
      <c r="AV320" s="29">
        <f t="shared" si="369"/>
        <v>0</v>
      </c>
      <c r="AW320" s="29">
        <f t="shared" si="370"/>
        <v>0</v>
      </c>
      <c r="AX320" s="29">
        <f t="shared" si="371"/>
        <v>0</v>
      </c>
      <c r="AY320" s="54" t="s">
        <v>643</v>
      </c>
      <c r="AZ320" s="54" t="s">
        <v>1537</v>
      </c>
      <c r="BA320" s="48" t="s">
        <v>1542</v>
      </c>
      <c r="BC320" s="29">
        <f t="shared" si="372"/>
        <v>0</v>
      </c>
      <c r="BD320" s="29">
        <f t="shared" si="373"/>
        <v>0</v>
      </c>
      <c r="BE320" s="29">
        <v>0</v>
      </c>
      <c r="BF320" s="29">
        <f t="shared" si="374"/>
        <v>0</v>
      </c>
      <c r="BH320" s="55">
        <f t="shared" si="375"/>
        <v>0</v>
      </c>
      <c r="BI320" s="55">
        <f t="shared" si="376"/>
        <v>0</v>
      </c>
      <c r="BJ320" s="55">
        <f t="shared" si="377"/>
        <v>0</v>
      </c>
    </row>
    <row r="321" spans="1:62" ht="12.75">
      <c r="A321" s="36" t="s">
        <v>772</v>
      </c>
      <c r="B321" s="36" t="s">
        <v>60</v>
      </c>
      <c r="C321" s="36" t="s">
        <v>1011</v>
      </c>
      <c r="D321" s="36" t="s">
        <v>1299</v>
      </c>
      <c r="E321" s="36" t="s">
        <v>609</v>
      </c>
      <c r="F321" s="55">
        <f>'Stavební rozpočet'!F323</f>
        <v>5.8</v>
      </c>
      <c r="G321" s="55">
        <f>'Stavební rozpočet'!G323</f>
        <v>0</v>
      </c>
      <c r="H321" s="55">
        <f t="shared" si="352"/>
        <v>0</v>
      </c>
      <c r="I321" s="55">
        <f t="shared" si="353"/>
        <v>0</v>
      </c>
      <c r="J321" s="55">
        <f t="shared" si="354"/>
        <v>0</v>
      </c>
      <c r="K321" s="55">
        <f>'Stavební rozpočet'!K323</f>
        <v>0</v>
      </c>
      <c r="L321" s="55">
        <f t="shared" si="355"/>
        <v>0</v>
      </c>
      <c r="M321" s="51" t="s">
        <v>622</v>
      </c>
      <c r="Z321" s="29">
        <f t="shared" si="356"/>
        <v>0</v>
      </c>
      <c r="AB321" s="29">
        <f t="shared" si="357"/>
        <v>0</v>
      </c>
      <c r="AC321" s="29">
        <f t="shared" si="358"/>
        <v>0</v>
      </c>
      <c r="AD321" s="29">
        <f t="shared" si="359"/>
        <v>0</v>
      </c>
      <c r="AE321" s="29">
        <f t="shared" si="360"/>
        <v>0</v>
      </c>
      <c r="AF321" s="29">
        <f t="shared" si="361"/>
        <v>0</v>
      </c>
      <c r="AG321" s="29">
        <f t="shared" si="362"/>
        <v>0</v>
      </c>
      <c r="AH321" s="29">
        <f t="shared" si="363"/>
        <v>0</v>
      </c>
      <c r="AI321" s="48" t="s">
        <v>60</v>
      </c>
      <c r="AJ321" s="55">
        <f t="shared" si="364"/>
        <v>0</v>
      </c>
      <c r="AK321" s="55">
        <f t="shared" si="365"/>
        <v>0</v>
      </c>
      <c r="AL321" s="55">
        <f t="shared" si="366"/>
        <v>0</v>
      </c>
      <c r="AN321" s="29">
        <v>15</v>
      </c>
      <c r="AO321" s="29">
        <f t="shared" si="367"/>
        <v>0</v>
      </c>
      <c r="AP321" s="29">
        <f t="shared" si="368"/>
        <v>0</v>
      </c>
      <c r="AQ321" s="51" t="s">
        <v>85</v>
      </c>
      <c r="AV321" s="29">
        <f t="shared" si="369"/>
        <v>0</v>
      </c>
      <c r="AW321" s="29">
        <f t="shared" si="370"/>
        <v>0</v>
      </c>
      <c r="AX321" s="29">
        <f t="shared" si="371"/>
        <v>0</v>
      </c>
      <c r="AY321" s="54" t="s">
        <v>643</v>
      </c>
      <c r="AZ321" s="54" t="s">
        <v>1537</v>
      </c>
      <c r="BA321" s="48" t="s">
        <v>1542</v>
      </c>
      <c r="BC321" s="29">
        <f t="shared" si="372"/>
        <v>0</v>
      </c>
      <c r="BD321" s="29">
        <f t="shared" si="373"/>
        <v>0</v>
      </c>
      <c r="BE321" s="29">
        <v>0</v>
      </c>
      <c r="BF321" s="29">
        <f t="shared" si="374"/>
        <v>0</v>
      </c>
      <c r="BH321" s="55">
        <f t="shared" si="375"/>
        <v>0</v>
      </c>
      <c r="BI321" s="55">
        <f t="shared" si="376"/>
        <v>0</v>
      </c>
      <c r="BJ321" s="55">
        <f t="shared" si="377"/>
        <v>0</v>
      </c>
    </row>
    <row r="322" spans="1:62" ht="12.75">
      <c r="A322" s="36" t="s">
        <v>773</v>
      </c>
      <c r="B322" s="36" t="s">
        <v>60</v>
      </c>
      <c r="C322" s="36" t="s">
        <v>304</v>
      </c>
      <c r="D322" s="36" t="s">
        <v>1300</v>
      </c>
      <c r="E322" s="36" t="s">
        <v>609</v>
      </c>
      <c r="F322" s="55">
        <f>'Stavební rozpočet'!F324</f>
        <v>0.5</v>
      </c>
      <c r="G322" s="55">
        <f>'Stavební rozpočet'!G324</f>
        <v>0</v>
      </c>
      <c r="H322" s="55">
        <f t="shared" si="352"/>
        <v>0</v>
      </c>
      <c r="I322" s="55">
        <f t="shared" si="353"/>
        <v>0</v>
      </c>
      <c r="J322" s="55">
        <f t="shared" si="354"/>
        <v>0</v>
      </c>
      <c r="K322" s="55">
        <f>'Stavební rozpočet'!K324</f>
        <v>0</v>
      </c>
      <c r="L322" s="55">
        <f t="shared" si="355"/>
        <v>0</v>
      </c>
      <c r="M322" s="51" t="s">
        <v>622</v>
      </c>
      <c r="Z322" s="29">
        <f t="shared" si="356"/>
        <v>0</v>
      </c>
      <c r="AB322" s="29">
        <f t="shared" si="357"/>
        <v>0</v>
      </c>
      <c r="AC322" s="29">
        <f t="shared" si="358"/>
        <v>0</v>
      </c>
      <c r="AD322" s="29">
        <f t="shared" si="359"/>
        <v>0</v>
      </c>
      <c r="AE322" s="29">
        <f t="shared" si="360"/>
        <v>0</v>
      </c>
      <c r="AF322" s="29">
        <f t="shared" si="361"/>
        <v>0</v>
      </c>
      <c r="AG322" s="29">
        <f t="shared" si="362"/>
        <v>0</v>
      </c>
      <c r="AH322" s="29">
        <f t="shared" si="363"/>
        <v>0</v>
      </c>
      <c r="AI322" s="48" t="s">
        <v>60</v>
      </c>
      <c r="AJ322" s="55">
        <f t="shared" si="364"/>
        <v>0</v>
      </c>
      <c r="AK322" s="55">
        <f t="shared" si="365"/>
        <v>0</v>
      </c>
      <c r="AL322" s="55">
        <f t="shared" si="366"/>
        <v>0</v>
      </c>
      <c r="AN322" s="29">
        <v>15</v>
      </c>
      <c r="AO322" s="29">
        <f t="shared" si="367"/>
        <v>0</v>
      </c>
      <c r="AP322" s="29">
        <f t="shared" si="368"/>
        <v>0</v>
      </c>
      <c r="AQ322" s="51" t="s">
        <v>85</v>
      </c>
      <c r="AV322" s="29">
        <f t="shared" si="369"/>
        <v>0</v>
      </c>
      <c r="AW322" s="29">
        <f t="shared" si="370"/>
        <v>0</v>
      </c>
      <c r="AX322" s="29">
        <f t="shared" si="371"/>
        <v>0</v>
      </c>
      <c r="AY322" s="54" t="s">
        <v>643</v>
      </c>
      <c r="AZ322" s="54" t="s">
        <v>1537</v>
      </c>
      <c r="BA322" s="48" t="s">
        <v>1542</v>
      </c>
      <c r="BC322" s="29">
        <f t="shared" si="372"/>
        <v>0</v>
      </c>
      <c r="BD322" s="29">
        <f t="shared" si="373"/>
        <v>0</v>
      </c>
      <c r="BE322" s="29">
        <v>0</v>
      </c>
      <c r="BF322" s="29">
        <f t="shared" si="374"/>
        <v>0</v>
      </c>
      <c r="BH322" s="55">
        <f t="shared" si="375"/>
        <v>0</v>
      </c>
      <c r="BI322" s="55">
        <f t="shared" si="376"/>
        <v>0</v>
      </c>
      <c r="BJ322" s="55">
        <f t="shared" si="377"/>
        <v>0</v>
      </c>
    </row>
    <row r="323" spans="1:62" ht="12.75">
      <c r="A323" s="36" t="s">
        <v>774</v>
      </c>
      <c r="B323" s="36" t="s">
        <v>60</v>
      </c>
      <c r="C323" s="36" t="s">
        <v>1012</v>
      </c>
      <c r="D323" s="36" t="s">
        <v>1301</v>
      </c>
      <c r="E323" s="36" t="s">
        <v>609</v>
      </c>
      <c r="F323" s="55">
        <f>'Stavební rozpočet'!F325</f>
        <v>3.1</v>
      </c>
      <c r="G323" s="55">
        <f>'Stavební rozpočet'!G325</f>
        <v>0</v>
      </c>
      <c r="H323" s="55">
        <f t="shared" si="352"/>
        <v>0</v>
      </c>
      <c r="I323" s="55">
        <f t="shared" si="353"/>
        <v>0</v>
      </c>
      <c r="J323" s="55">
        <f t="shared" si="354"/>
        <v>0</v>
      </c>
      <c r="K323" s="55">
        <f>'Stavební rozpočet'!K325</f>
        <v>0</v>
      </c>
      <c r="L323" s="55">
        <f t="shared" si="355"/>
        <v>0</v>
      </c>
      <c r="M323" s="51" t="s">
        <v>622</v>
      </c>
      <c r="Z323" s="29">
        <f t="shared" si="356"/>
        <v>0</v>
      </c>
      <c r="AB323" s="29">
        <f t="shared" si="357"/>
        <v>0</v>
      </c>
      <c r="AC323" s="29">
        <f t="shared" si="358"/>
        <v>0</v>
      </c>
      <c r="AD323" s="29">
        <f t="shared" si="359"/>
        <v>0</v>
      </c>
      <c r="AE323" s="29">
        <f t="shared" si="360"/>
        <v>0</v>
      </c>
      <c r="AF323" s="29">
        <f t="shared" si="361"/>
        <v>0</v>
      </c>
      <c r="AG323" s="29">
        <f t="shared" si="362"/>
        <v>0</v>
      </c>
      <c r="AH323" s="29">
        <f t="shared" si="363"/>
        <v>0</v>
      </c>
      <c r="AI323" s="48" t="s">
        <v>60</v>
      </c>
      <c r="AJ323" s="55">
        <f t="shared" si="364"/>
        <v>0</v>
      </c>
      <c r="AK323" s="55">
        <f t="shared" si="365"/>
        <v>0</v>
      </c>
      <c r="AL323" s="55">
        <f t="shared" si="366"/>
        <v>0</v>
      </c>
      <c r="AN323" s="29">
        <v>15</v>
      </c>
      <c r="AO323" s="29">
        <f t="shared" si="367"/>
        <v>0</v>
      </c>
      <c r="AP323" s="29">
        <f t="shared" si="368"/>
        <v>0</v>
      </c>
      <c r="AQ323" s="51" t="s">
        <v>85</v>
      </c>
      <c r="AV323" s="29">
        <f t="shared" si="369"/>
        <v>0</v>
      </c>
      <c r="AW323" s="29">
        <f t="shared" si="370"/>
        <v>0</v>
      </c>
      <c r="AX323" s="29">
        <f t="shared" si="371"/>
        <v>0</v>
      </c>
      <c r="AY323" s="54" t="s">
        <v>643</v>
      </c>
      <c r="AZ323" s="54" t="s">
        <v>1537</v>
      </c>
      <c r="BA323" s="48" t="s">
        <v>1542</v>
      </c>
      <c r="BC323" s="29">
        <f t="shared" si="372"/>
        <v>0</v>
      </c>
      <c r="BD323" s="29">
        <f t="shared" si="373"/>
        <v>0</v>
      </c>
      <c r="BE323" s="29">
        <v>0</v>
      </c>
      <c r="BF323" s="29">
        <f t="shared" si="374"/>
        <v>0</v>
      </c>
      <c r="BH323" s="55">
        <f t="shared" si="375"/>
        <v>0</v>
      </c>
      <c r="BI323" s="55">
        <f t="shared" si="376"/>
        <v>0</v>
      </c>
      <c r="BJ323" s="55">
        <f t="shared" si="377"/>
        <v>0</v>
      </c>
    </row>
    <row r="324" spans="1:62" ht="12.75">
      <c r="A324" s="36" t="s">
        <v>775</v>
      </c>
      <c r="B324" s="36" t="s">
        <v>60</v>
      </c>
      <c r="C324" s="36" t="s">
        <v>305</v>
      </c>
      <c r="D324" s="36" t="s">
        <v>1302</v>
      </c>
      <c r="E324" s="36" t="s">
        <v>609</v>
      </c>
      <c r="F324" s="55">
        <f>'Stavební rozpočet'!F326</f>
        <v>18.9</v>
      </c>
      <c r="G324" s="55">
        <f>'Stavební rozpočet'!G326</f>
        <v>0</v>
      </c>
      <c r="H324" s="55">
        <f t="shared" si="352"/>
        <v>0</v>
      </c>
      <c r="I324" s="55">
        <f t="shared" si="353"/>
        <v>0</v>
      </c>
      <c r="J324" s="55">
        <f t="shared" si="354"/>
        <v>0</v>
      </c>
      <c r="K324" s="55">
        <f>'Stavební rozpočet'!K326</f>
        <v>0</v>
      </c>
      <c r="L324" s="55">
        <f t="shared" si="355"/>
        <v>0</v>
      </c>
      <c r="M324" s="51" t="s">
        <v>622</v>
      </c>
      <c r="Z324" s="29">
        <f t="shared" si="356"/>
        <v>0</v>
      </c>
      <c r="AB324" s="29">
        <f t="shared" si="357"/>
        <v>0</v>
      </c>
      <c r="AC324" s="29">
        <f t="shared" si="358"/>
        <v>0</v>
      </c>
      <c r="AD324" s="29">
        <f t="shared" si="359"/>
        <v>0</v>
      </c>
      <c r="AE324" s="29">
        <f t="shared" si="360"/>
        <v>0</v>
      </c>
      <c r="AF324" s="29">
        <f t="shared" si="361"/>
        <v>0</v>
      </c>
      <c r="AG324" s="29">
        <f t="shared" si="362"/>
        <v>0</v>
      </c>
      <c r="AH324" s="29">
        <f t="shared" si="363"/>
        <v>0</v>
      </c>
      <c r="AI324" s="48" t="s">
        <v>60</v>
      </c>
      <c r="AJ324" s="55">
        <f t="shared" si="364"/>
        <v>0</v>
      </c>
      <c r="AK324" s="55">
        <f t="shared" si="365"/>
        <v>0</v>
      </c>
      <c r="AL324" s="55">
        <f t="shared" si="366"/>
        <v>0</v>
      </c>
      <c r="AN324" s="29">
        <v>15</v>
      </c>
      <c r="AO324" s="29">
        <f t="shared" si="367"/>
        <v>0</v>
      </c>
      <c r="AP324" s="29">
        <f t="shared" si="368"/>
        <v>0</v>
      </c>
      <c r="AQ324" s="51" t="s">
        <v>85</v>
      </c>
      <c r="AV324" s="29">
        <f t="shared" si="369"/>
        <v>0</v>
      </c>
      <c r="AW324" s="29">
        <f t="shared" si="370"/>
        <v>0</v>
      </c>
      <c r="AX324" s="29">
        <f t="shared" si="371"/>
        <v>0</v>
      </c>
      <c r="AY324" s="54" t="s">
        <v>643</v>
      </c>
      <c r="AZ324" s="54" t="s">
        <v>1537</v>
      </c>
      <c r="BA324" s="48" t="s">
        <v>1542</v>
      </c>
      <c r="BC324" s="29">
        <f t="shared" si="372"/>
        <v>0</v>
      </c>
      <c r="BD324" s="29">
        <f t="shared" si="373"/>
        <v>0</v>
      </c>
      <c r="BE324" s="29">
        <v>0</v>
      </c>
      <c r="BF324" s="29">
        <f t="shared" si="374"/>
        <v>0</v>
      </c>
      <c r="BH324" s="55">
        <f t="shared" si="375"/>
        <v>0</v>
      </c>
      <c r="BI324" s="55">
        <f t="shared" si="376"/>
        <v>0</v>
      </c>
      <c r="BJ324" s="55">
        <f t="shared" si="377"/>
        <v>0</v>
      </c>
    </row>
    <row r="325" spans="1:62" ht="12.75">
      <c r="A325" s="36" t="s">
        <v>776</v>
      </c>
      <c r="B325" s="36" t="s">
        <v>60</v>
      </c>
      <c r="C325" s="36" t="s">
        <v>306</v>
      </c>
      <c r="D325" s="36" t="s">
        <v>1303</v>
      </c>
      <c r="E325" s="36" t="s">
        <v>609</v>
      </c>
      <c r="F325" s="55">
        <f>'Stavební rozpočet'!F327</f>
        <v>5.9</v>
      </c>
      <c r="G325" s="55">
        <f>'Stavební rozpočet'!G327</f>
        <v>0</v>
      </c>
      <c r="H325" s="55">
        <f t="shared" si="352"/>
        <v>0</v>
      </c>
      <c r="I325" s="55">
        <f t="shared" si="353"/>
        <v>0</v>
      </c>
      <c r="J325" s="55">
        <f t="shared" si="354"/>
        <v>0</v>
      </c>
      <c r="K325" s="55">
        <f>'Stavební rozpočet'!K327</f>
        <v>0</v>
      </c>
      <c r="L325" s="55">
        <f t="shared" si="355"/>
        <v>0</v>
      </c>
      <c r="M325" s="51" t="s">
        <v>622</v>
      </c>
      <c r="Z325" s="29">
        <f t="shared" si="356"/>
        <v>0</v>
      </c>
      <c r="AB325" s="29">
        <f t="shared" si="357"/>
        <v>0</v>
      </c>
      <c r="AC325" s="29">
        <f t="shared" si="358"/>
        <v>0</v>
      </c>
      <c r="AD325" s="29">
        <f t="shared" si="359"/>
        <v>0</v>
      </c>
      <c r="AE325" s="29">
        <f t="shared" si="360"/>
        <v>0</v>
      </c>
      <c r="AF325" s="29">
        <f t="shared" si="361"/>
        <v>0</v>
      </c>
      <c r="AG325" s="29">
        <f t="shared" si="362"/>
        <v>0</v>
      </c>
      <c r="AH325" s="29">
        <f t="shared" si="363"/>
        <v>0</v>
      </c>
      <c r="AI325" s="48" t="s">
        <v>60</v>
      </c>
      <c r="AJ325" s="55">
        <f t="shared" si="364"/>
        <v>0</v>
      </c>
      <c r="AK325" s="55">
        <f t="shared" si="365"/>
        <v>0</v>
      </c>
      <c r="AL325" s="55">
        <f t="shared" si="366"/>
        <v>0</v>
      </c>
      <c r="AN325" s="29">
        <v>15</v>
      </c>
      <c r="AO325" s="29">
        <f t="shared" si="367"/>
        <v>0</v>
      </c>
      <c r="AP325" s="29">
        <f t="shared" si="368"/>
        <v>0</v>
      </c>
      <c r="AQ325" s="51" t="s">
        <v>85</v>
      </c>
      <c r="AV325" s="29">
        <f t="shared" si="369"/>
        <v>0</v>
      </c>
      <c r="AW325" s="29">
        <f t="shared" si="370"/>
        <v>0</v>
      </c>
      <c r="AX325" s="29">
        <f t="shared" si="371"/>
        <v>0</v>
      </c>
      <c r="AY325" s="54" t="s">
        <v>643</v>
      </c>
      <c r="AZ325" s="54" t="s">
        <v>1537</v>
      </c>
      <c r="BA325" s="48" t="s">
        <v>1542</v>
      </c>
      <c r="BC325" s="29">
        <f t="shared" si="372"/>
        <v>0</v>
      </c>
      <c r="BD325" s="29">
        <f t="shared" si="373"/>
        <v>0</v>
      </c>
      <c r="BE325" s="29">
        <v>0</v>
      </c>
      <c r="BF325" s="29">
        <f t="shared" si="374"/>
        <v>0</v>
      </c>
      <c r="BH325" s="55">
        <f t="shared" si="375"/>
        <v>0</v>
      </c>
      <c r="BI325" s="55">
        <f t="shared" si="376"/>
        <v>0</v>
      </c>
      <c r="BJ325" s="55">
        <f t="shared" si="377"/>
        <v>0</v>
      </c>
    </row>
    <row r="326" spans="1:62" ht="12.75">
      <c r="A326" s="36" t="s">
        <v>777</v>
      </c>
      <c r="B326" s="36" t="s">
        <v>60</v>
      </c>
      <c r="C326" s="36" t="s">
        <v>307</v>
      </c>
      <c r="D326" s="36" t="s">
        <v>1304</v>
      </c>
      <c r="E326" s="36" t="s">
        <v>609</v>
      </c>
      <c r="F326" s="55">
        <f>'Stavební rozpočet'!F328</f>
        <v>58.7</v>
      </c>
      <c r="G326" s="55">
        <f>'Stavební rozpočet'!G328</f>
        <v>0</v>
      </c>
      <c r="H326" s="55">
        <f t="shared" si="352"/>
        <v>0</v>
      </c>
      <c r="I326" s="55">
        <f t="shared" si="353"/>
        <v>0</v>
      </c>
      <c r="J326" s="55">
        <f t="shared" si="354"/>
        <v>0</v>
      </c>
      <c r="K326" s="55">
        <f>'Stavební rozpočet'!K328</f>
        <v>0</v>
      </c>
      <c r="L326" s="55">
        <f t="shared" si="355"/>
        <v>0</v>
      </c>
      <c r="M326" s="51" t="s">
        <v>622</v>
      </c>
      <c r="Z326" s="29">
        <f t="shared" si="356"/>
        <v>0</v>
      </c>
      <c r="AB326" s="29">
        <f t="shared" si="357"/>
        <v>0</v>
      </c>
      <c r="AC326" s="29">
        <f t="shared" si="358"/>
        <v>0</v>
      </c>
      <c r="AD326" s="29">
        <f t="shared" si="359"/>
        <v>0</v>
      </c>
      <c r="AE326" s="29">
        <f t="shared" si="360"/>
        <v>0</v>
      </c>
      <c r="AF326" s="29">
        <f t="shared" si="361"/>
        <v>0</v>
      </c>
      <c r="AG326" s="29">
        <f t="shared" si="362"/>
        <v>0</v>
      </c>
      <c r="AH326" s="29">
        <f t="shared" si="363"/>
        <v>0</v>
      </c>
      <c r="AI326" s="48" t="s">
        <v>60</v>
      </c>
      <c r="AJ326" s="55">
        <f t="shared" si="364"/>
        <v>0</v>
      </c>
      <c r="AK326" s="55">
        <f t="shared" si="365"/>
        <v>0</v>
      </c>
      <c r="AL326" s="55">
        <f t="shared" si="366"/>
        <v>0</v>
      </c>
      <c r="AN326" s="29">
        <v>15</v>
      </c>
      <c r="AO326" s="29">
        <f t="shared" si="367"/>
        <v>0</v>
      </c>
      <c r="AP326" s="29">
        <f t="shared" si="368"/>
        <v>0</v>
      </c>
      <c r="AQ326" s="51" t="s">
        <v>85</v>
      </c>
      <c r="AV326" s="29">
        <f t="shared" si="369"/>
        <v>0</v>
      </c>
      <c r="AW326" s="29">
        <f t="shared" si="370"/>
        <v>0</v>
      </c>
      <c r="AX326" s="29">
        <f t="shared" si="371"/>
        <v>0</v>
      </c>
      <c r="AY326" s="54" t="s">
        <v>643</v>
      </c>
      <c r="AZ326" s="54" t="s">
        <v>1537</v>
      </c>
      <c r="BA326" s="48" t="s">
        <v>1542</v>
      </c>
      <c r="BC326" s="29">
        <f t="shared" si="372"/>
        <v>0</v>
      </c>
      <c r="BD326" s="29">
        <f t="shared" si="373"/>
        <v>0</v>
      </c>
      <c r="BE326" s="29">
        <v>0</v>
      </c>
      <c r="BF326" s="29">
        <f t="shared" si="374"/>
        <v>0</v>
      </c>
      <c r="BH326" s="55">
        <f t="shared" si="375"/>
        <v>0</v>
      </c>
      <c r="BI326" s="55">
        <f t="shared" si="376"/>
        <v>0</v>
      </c>
      <c r="BJ326" s="55">
        <f t="shared" si="377"/>
        <v>0</v>
      </c>
    </row>
    <row r="327" spans="1:62" ht="12.75">
      <c r="A327" s="36" t="s">
        <v>778</v>
      </c>
      <c r="B327" s="36" t="s">
        <v>60</v>
      </c>
      <c r="C327" s="36" t="s">
        <v>308</v>
      </c>
      <c r="D327" s="36" t="s">
        <v>1305</v>
      </c>
      <c r="E327" s="36" t="s">
        <v>609</v>
      </c>
      <c r="F327" s="55">
        <f>'Stavební rozpočet'!F329</f>
        <v>3.5</v>
      </c>
      <c r="G327" s="55">
        <f>'Stavební rozpočet'!G329</f>
        <v>0</v>
      </c>
      <c r="H327" s="55">
        <f t="shared" si="352"/>
        <v>0</v>
      </c>
      <c r="I327" s="55">
        <f t="shared" si="353"/>
        <v>0</v>
      </c>
      <c r="J327" s="55">
        <f t="shared" si="354"/>
        <v>0</v>
      </c>
      <c r="K327" s="55">
        <f>'Stavební rozpočet'!K329</f>
        <v>0</v>
      </c>
      <c r="L327" s="55">
        <f t="shared" si="355"/>
        <v>0</v>
      </c>
      <c r="M327" s="51" t="s">
        <v>622</v>
      </c>
      <c r="Z327" s="29">
        <f t="shared" si="356"/>
        <v>0</v>
      </c>
      <c r="AB327" s="29">
        <f t="shared" si="357"/>
        <v>0</v>
      </c>
      <c r="AC327" s="29">
        <f t="shared" si="358"/>
        <v>0</v>
      </c>
      <c r="AD327" s="29">
        <f t="shared" si="359"/>
        <v>0</v>
      </c>
      <c r="AE327" s="29">
        <f t="shared" si="360"/>
        <v>0</v>
      </c>
      <c r="AF327" s="29">
        <f t="shared" si="361"/>
        <v>0</v>
      </c>
      <c r="AG327" s="29">
        <f t="shared" si="362"/>
        <v>0</v>
      </c>
      <c r="AH327" s="29">
        <f t="shared" si="363"/>
        <v>0</v>
      </c>
      <c r="AI327" s="48" t="s">
        <v>60</v>
      </c>
      <c r="AJ327" s="55">
        <f t="shared" si="364"/>
        <v>0</v>
      </c>
      <c r="AK327" s="55">
        <f t="shared" si="365"/>
        <v>0</v>
      </c>
      <c r="AL327" s="55">
        <f t="shared" si="366"/>
        <v>0</v>
      </c>
      <c r="AN327" s="29">
        <v>15</v>
      </c>
      <c r="AO327" s="29">
        <f t="shared" si="367"/>
        <v>0</v>
      </c>
      <c r="AP327" s="29">
        <f t="shared" si="368"/>
        <v>0</v>
      </c>
      <c r="AQ327" s="51" t="s">
        <v>85</v>
      </c>
      <c r="AV327" s="29">
        <f t="shared" si="369"/>
        <v>0</v>
      </c>
      <c r="AW327" s="29">
        <f t="shared" si="370"/>
        <v>0</v>
      </c>
      <c r="AX327" s="29">
        <f t="shared" si="371"/>
        <v>0</v>
      </c>
      <c r="AY327" s="54" t="s">
        <v>643</v>
      </c>
      <c r="AZ327" s="54" t="s">
        <v>1537</v>
      </c>
      <c r="BA327" s="48" t="s">
        <v>1542</v>
      </c>
      <c r="BC327" s="29">
        <f t="shared" si="372"/>
        <v>0</v>
      </c>
      <c r="BD327" s="29">
        <f t="shared" si="373"/>
        <v>0</v>
      </c>
      <c r="BE327" s="29">
        <v>0</v>
      </c>
      <c r="BF327" s="29">
        <f t="shared" si="374"/>
        <v>0</v>
      </c>
      <c r="BH327" s="55">
        <f t="shared" si="375"/>
        <v>0</v>
      </c>
      <c r="BI327" s="55">
        <f t="shared" si="376"/>
        <v>0</v>
      </c>
      <c r="BJ327" s="55">
        <f t="shared" si="377"/>
        <v>0</v>
      </c>
    </row>
    <row r="328" spans="1:62" ht="12.75">
      <c r="A328" s="36" t="s">
        <v>779</v>
      </c>
      <c r="B328" s="36" t="s">
        <v>60</v>
      </c>
      <c r="C328" s="36" t="s">
        <v>309</v>
      </c>
      <c r="D328" s="36" t="s">
        <v>1306</v>
      </c>
      <c r="E328" s="36" t="s">
        <v>609</v>
      </c>
      <c r="F328" s="55">
        <f>'Stavební rozpočet'!F330</f>
        <v>5.8</v>
      </c>
      <c r="G328" s="55">
        <f>'Stavební rozpočet'!G330</f>
        <v>0</v>
      </c>
      <c r="H328" s="55">
        <f t="shared" si="352"/>
        <v>0</v>
      </c>
      <c r="I328" s="55">
        <f t="shared" si="353"/>
        <v>0</v>
      </c>
      <c r="J328" s="55">
        <f t="shared" si="354"/>
        <v>0</v>
      </c>
      <c r="K328" s="55">
        <f>'Stavební rozpočet'!K330</f>
        <v>0</v>
      </c>
      <c r="L328" s="55">
        <f t="shared" si="355"/>
        <v>0</v>
      </c>
      <c r="M328" s="51" t="s">
        <v>622</v>
      </c>
      <c r="Z328" s="29">
        <f t="shared" si="356"/>
        <v>0</v>
      </c>
      <c r="AB328" s="29">
        <f t="shared" si="357"/>
        <v>0</v>
      </c>
      <c r="AC328" s="29">
        <f t="shared" si="358"/>
        <v>0</v>
      </c>
      <c r="AD328" s="29">
        <f t="shared" si="359"/>
        <v>0</v>
      </c>
      <c r="AE328" s="29">
        <f t="shared" si="360"/>
        <v>0</v>
      </c>
      <c r="AF328" s="29">
        <f t="shared" si="361"/>
        <v>0</v>
      </c>
      <c r="AG328" s="29">
        <f t="shared" si="362"/>
        <v>0</v>
      </c>
      <c r="AH328" s="29">
        <f t="shared" si="363"/>
        <v>0</v>
      </c>
      <c r="AI328" s="48" t="s">
        <v>60</v>
      </c>
      <c r="AJ328" s="55">
        <f t="shared" si="364"/>
        <v>0</v>
      </c>
      <c r="AK328" s="55">
        <f t="shared" si="365"/>
        <v>0</v>
      </c>
      <c r="AL328" s="55">
        <f t="shared" si="366"/>
        <v>0</v>
      </c>
      <c r="AN328" s="29">
        <v>15</v>
      </c>
      <c r="AO328" s="29">
        <f t="shared" si="367"/>
        <v>0</v>
      </c>
      <c r="AP328" s="29">
        <f t="shared" si="368"/>
        <v>0</v>
      </c>
      <c r="AQ328" s="51" t="s">
        <v>85</v>
      </c>
      <c r="AV328" s="29">
        <f t="shared" si="369"/>
        <v>0</v>
      </c>
      <c r="AW328" s="29">
        <f t="shared" si="370"/>
        <v>0</v>
      </c>
      <c r="AX328" s="29">
        <f t="shared" si="371"/>
        <v>0</v>
      </c>
      <c r="AY328" s="54" t="s">
        <v>643</v>
      </c>
      <c r="AZ328" s="54" t="s">
        <v>1537</v>
      </c>
      <c r="BA328" s="48" t="s">
        <v>1542</v>
      </c>
      <c r="BC328" s="29">
        <f t="shared" si="372"/>
        <v>0</v>
      </c>
      <c r="BD328" s="29">
        <f t="shared" si="373"/>
        <v>0</v>
      </c>
      <c r="BE328" s="29">
        <v>0</v>
      </c>
      <c r="BF328" s="29">
        <f t="shared" si="374"/>
        <v>0</v>
      </c>
      <c r="BH328" s="55">
        <f t="shared" si="375"/>
        <v>0</v>
      </c>
      <c r="BI328" s="55">
        <f t="shared" si="376"/>
        <v>0</v>
      </c>
      <c r="BJ328" s="55">
        <f t="shared" si="377"/>
        <v>0</v>
      </c>
    </row>
    <row r="329" spans="1:62" ht="12.75">
      <c r="A329" s="36" t="s">
        <v>780</v>
      </c>
      <c r="B329" s="36" t="s">
        <v>60</v>
      </c>
      <c r="C329" s="36" t="s">
        <v>1013</v>
      </c>
      <c r="D329" s="36" t="s">
        <v>1307</v>
      </c>
      <c r="E329" s="36" t="s">
        <v>606</v>
      </c>
      <c r="F329" s="55">
        <f>'Stavební rozpočet'!F331</f>
        <v>3</v>
      </c>
      <c r="G329" s="55">
        <f>'Stavební rozpočet'!G331</f>
        <v>0</v>
      </c>
      <c r="H329" s="55">
        <f t="shared" si="352"/>
        <v>0</v>
      </c>
      <c r="I329" s="55">
        <f t="shared" si="353"/>
        <v>0</v>
      </c>
      <c r="J329" s="55">
        <f t="shared" si="354"/>
        <v>0</v>
      </c>
      <c r="K329" s="55">
        <f>'Stavební rozpočet'!K331</f>
        <v>0</v>
      </c>
      <c r="L329" s="55">
        <f t="shared" si="355"/>
        <v>0</v>
      </c>
      <c r="M329" s="51" t="s">
        <v>622</v>
      </c>
      <c r="Z329" s="29">
        <f t="shared" si="356"/>
        <v>0</v>
      </c>
      <c r="AB329" s="29">
        <f t="shared" si="357"/>
        <v>0</v>
      </c>
      <c r="AC329" s="29">
        <f t="shared" si="358"/>
        <v>0</v>
      </c>
      <c r="AD329" s="29">
        <f t="shared" si="359"/>
        <v>0</v>
      </c>
      <c r="AE329" s="29">
        <f t="shared" si="360"/>
        <v>0</v>
      </c>
      <c r="AF329" s="29">
        <f t="shared" si="361"/>
        <v>0</v>
      </c>
      <c r="AG329" s="29">
        <f t="shared" si="362"/>
        <v>0</v>
      </c>
      <c r="AH329" s="29">
        <f t="shared" si="363"/>
        <v>0</v>
      </c>
      <c r="AI329" s="48" t="s">
        <v>60</v>
      </c>
      <c r="AJ329" s="55">
        <f t="shared" si="364"/>
        <v>0</v>
      </c>
      <c r="AK329" s="55">
        <f t="shared" si="365"/>
        <v>0</v>
      </c>
      <c r="AL329" s="55">
        <f t="shared" si="366"/>
        <v>0</v>
      </c>
      <c r="AN329" s="29">
        <v>15</v>
      </c>
      <c r="AO329" s="29">
        <f t="shared" si="367"/>
        <v>0</v>
      </c>
      <c r="AP329" s="29">
        <f t="shared" si="368"/>
        <v>0</v>
      </c>
      <c r="AQ329" s="51" t="s">
        <v>85</v>
      </c>
      <c r="AV329" s="29">
        <f t="shared" si="369"/>
        <v>0</v>
      </c>
      <c r="AW329" s="29">
        <f t="shared" si="370"/>
        <v>0</v>
      </c>
      <c r="AX329" s="29">
        <f t="shared" si="371"/>
        <v>0</v>
      </c>
      <c r="AY329" s="54" t="s">
        <v>643</v>
      </c>
      <c r="AZ329" s="54" t="s">
        <v>1537</v>
      </c>
      <c r="BA329" s="48" t="s">
        <v>1542</v>
      </c>
      <c r="BC329" s="29">
        <f t="shared" si="372"/>
        <v>0</v>
      </c>
      <c r="BD329" s="29">
        <f t="shared" si="373"/>
        <v>0</v>
      </c>
      <c r="BE329" s="29">
        <v>0</v>
      </c>
      <c r="BF329" s="29">
        <f t="shared" si="374"/>
        <v>0</v>
      </c>
      <c r="BH329" s="55">
        <f t="shared" si="375"/>
        <v>0</v>
      </c>
      <c r="BI329" s="55">
        <f t="shared" si="376"/>
        <v>0</v>
      </c>
      <c r="BJ329" s="55">
        <f t="shared" si="377"/>
        <v>0</v>
      </c>
    </row>
    <row r="330" spans="1:62" ht="12.75">
      <c r="A330" s="36" t="s">
        <v>781</v>
      </c>
      <c r="B330" s="36" t="s">
        <v>60</v>
      </c>
      <c r="C330" s="36" t="s">
        <v>1014</v>
      </c>
      <c r="D330" s="36" t="s">
        <v>1308</v>
      </c>
      <c r="E330" s="36" t="s">
        <v>606</v>
      </c>
      <c r="F330" s="55">
        <f>'Stavební rozpočet'!F332</f>
        <v>1</v>
      </c>
      <c r="G330" s="55">
        <f>'Stavební rozpočet'!G332</f>
        <v>0</v>
      </c>
      <c r="H330" s="55">
        <f t="shared" si="352"/>
        <v>0</v>
      </c>
      <c r="I330" s="55">
        <f t="shared" si="353"/>
        <v>0</v>
      </c>
      <c r="J330" s="55">
        <f t="shared" si="354"/>
        <v>0</v>
      </c>
      <c r="K330" s="55">
        <f>'Stavební rozpočet'!K332</f>
        <v>0</v>
      </c>
      <c r="L330" s="55">
        <f t="shared" si="355"/>
        <v>0</v>
      </c>
      <c r="M330" s="51" t="s">
        <v>622</v>
      </c>
      <c r="Z330" s="29">
        <f t="shared" si="356"/>
        <v>0</v>
      </c>
      <c r="AB330" s="29">
        <f t="shared" si="357"/>
        <v>0</v>
      </c>
      <c r="AC330" s="29">
        <f t="shared" si="358"/>
        <v>0</v>
      </c>
      <c r="AD330" s="29">
        <f t="shared" si="359"/>
        <v>0</v>
      </c>
      <c r="AE330" s="29">
        <f t="shared" si="360"/>
        <v>0</v>
      </c>
      <c r="AF330" s="29">
        <f t="shared" si="361"/>
        <v>0</v>
      </c>
      <c r="AG330" s="29">
        <f t="shared" si="362"/>
        <v>0</v>
      </c>
      <c r="AH330" s="29">
        <f t="shared" si="363"/>
        <v>0</v>
      </c>
      <c r="AI330" s="48" t="s">
        <v>60</v>
      </c>
      <c r="AJ330" s="55">
        <f t="shared" si="364"/>
        <v>0</v>
      </c>
      <c r="AK330" s="55">
        <f t="shared" si="365"/>
        <v>0</v>
      </c>
      <c r="AL330" s="55">
        <f t="shared" si="366"/>
        <v>0</v>
      </c>
      <c r="AN330" s="29">
        <v>15</v>
      </c>
      <c r="AO330" s="29">
        <f t="shared" si="367"/>
        <v>0</v>
      </c>
      <c r="AP330" s="29">
        <f t="shared" si="368"/>
        <v>0</v>
      </c>
      <c r="AQ330" s="51" t="s">
        <v>85</v>
      </c>
      <c r="AV330" s="29">
        <f t="shared" si="369"/>
        <v>0</v>
      </c>
      <c r="AW330" s="29">
        <f t="shared" si="370"/>
        <v>0</v>
      </c>
      <c r="AX330" s="29">
        <f t="shared" si="371"/>
        <v>0</v>
      </c>
      <c r="AY330" s="54" t="s">
        <v>643</v>
      </c>
      <c r="AZ330" s="54" t="s">
        <v>1537</v>
      </c>
      <c r="BA330" s="48" t="s">
        <v>1542</v>
      </c>
      <c r="BC330" s="29">
        <f t="shared" si="372"/>
        <v>0</v>
      </c>
      <c r="BD330" s="29">
        <f t="shared" si="373"/>
        <v>0</v>
      </c>
      <c r="BE330" s="29">
        <v>0</v>
      </c>
      <c r="BF330" s="29">
        <f t="shared" si="374"/>
        <v>0</v>
      </c>
      <c r="BH330" s="55">
        <f t="shared" si="375"/>
        <v>0</v>
      </c>
      <c r="BI330" s="55">
        <f t="shared" si="376"/>
        <v>0</v>
      </c>
      <c r="BJ330" s="55">
        <f t="shared" si="377"/>
        <v>0</v>
      </c>
    </row>
    <row r="331" spans="1:62" ht="12.75">
      <c r="A331" s="36" t="s">
        <v>782</v>
      </c>
      <c r="B331" s="36" t="s">
        <v>60</v>
      </c>
      <c r="C331" s="36" t="s">
        <v>1015</v>
      </c>
      <c r="D331" s="36" t="s">
        <v>1309</v>
      </c>
      <c r="E331" s="36" t="s">
        <v>606</v>
      </c>
      <c r="F331" s="55">
        <f>'Stavební rozpočet'!F333</f>
        <v>1</v>
      </c>
      <c r="G331" s="55">
        <f>'Stavební rozpočet'!G333</f>
        <v>0</v>
      </c>
      <c r="H331" s="55">
        <f t="shared" si="352"/>
        <v>0</v>
      </c>
      <c r="I331" s="55">
        <f t="shared" si="353"/>
        <v>0</v>
      </c>
      <c r="J331" s="55">
        <f t="shared" si="354"/>
        <v>0</v>
      </c>
      <c r="K331" s="55">
        <f>'Stavební rozpočet'!K333</f>
        <v>0</v>
      </c>
      <c r="L331" s="55">
        <f t="shared" si="355"/>
        <v>0</v>
      </c>
      <c r="M331" s="51" t="s">
        <v>622</v>
      </c>
      <c r="Z331" s="29">
        <f t="shared" si="356"/>
        <v>0</v>
      </c>
      <c r="AB331" s="29">
        <f t="shared" si="357"/>
        <v>0</v>
      </c>
      <c r="AC331" s="29">
        <f t="shared" si="358"/>
        <v>0</v>
      </c>
      <c r="AD331" s="29">
        <f t="shared" si="359"/>
        <v>0</v>
      </c>
      <c r="AE331" s="29">
        <f t="shared" si="360"/>
        <v>0</v>
      </c>
      <c r="AF331" s="29">
        <f t="shared" si="361"/>
        <v>0</v>
      </c>
      <c r="AG331" s="29">
        <f t="shared" si="362"/>
        <v>0</v>
      </c>
      <c r="AH331" s="29">
        <f t="shared" si="363"/>
        <v>0</v>
      </c>
      <c r="AI331" s="48" t="s">
        <v>60</v>
      </c>
      <c r="AJ331" s="55">
        <f t="shared" si="364"/>
        <v>0</v>
      </c>
      <c r="AK331" s="55">
        <f t="shared" si="365"/>
        <v>0</v>
      </c>
      <c r="AL331" s="55">
        <f t="shared" si="366"/>
        <v>0</v>
      </c>
      <c r="AN331" s="29">
        <v>15</v>
      </c>
      <c r="AO331" s="29">
        <f t="shared" si="367"/>
        <v>0</v>
      </c>
      <c r="AP331" s="29">
        <f t="shared" si="368"/>
        <v>0</v>
      </c>
      <c r="AQ331" s="51" t="s">
        <v>85</v>
      </c>
      <c r="AV331" s="29">
        <f t="shared" si="369"/>
        <v>0</v>
      </c>
      <c r="AW331" s="29">
        <f t="shared" si="370"/>
        <v>0</v>
      </c>
      <c r="AX331" s="29">
        <f t="shared" si="371"/>
        <v>0</v>
      </c>
      <c r="AY331" s="54" t="s">
        <v>643</v>
      </c>
      <c r="AZ331" s="54" t="s">
        <v>1537</v>
      </c>
      <c r="BA331" s="48" t="s">
        <v>1542</v>
      </c>
      <c r="BC331" s="29">
        <f t="shared" si="372"/>
        <v>0</v>
      </c>
      <c r="BD331" s="29">
        <f t="shared" si="373"/>
        <v>0</v>
      </c>
      <c r="BE331" s="29">
        <v>0</v>
      </c>
      <c r="BF331" s="29">
        <f t="shared" si="374"/>
        <v>0</v>
      </c>
      <c r="BH331" s="55">
        <f t="shared" si="375"/>
        <v>0</v>
      </c>
      <c r="BI331" s="55">
        <f t="shared" si="376"/>
        <v>0</v>
      </c>
      <c r="BJ331" s="55">
        <f t="shared" si="377"/>
        <v>0</v>
      </c>
    </row>
    <row r="332" spans="1:62" ht="12.75">
      <c r="A332" s="36" t="s">
        <v>783</v>
      </c>
      <c r="B332" s="36" t="s">
        <v>60</v>
      </c>
      <c r="C332" s="36" t="s">
        <v>1016</v>
      </c>
      <c r="D332" s="36" t="s">
        <v>1310</v>
      </c>
      <c r="E332" s="36" t="s">
        <v>606</v>
      </c>
      <c r="F332" s="55">
        <f>'Stavební rozpočet'!F334</f>
        <v>3</v>
      </c>
      <c r="G332" s="55">
        <f>'Stavební rozpočet'!G334</f>
        <v>0</v>
      </c>
      <c r="H332" s="55">
        <f t="shared" si="352"/>
        <v>0</v>
      </c>
      <c r="I332" s="55">
        <f t="shared" si="353"/>
        <v>0</v>
      </c>
      <c r="J332" s="55">
        <f t="shared" si="354"/>
        <v>0</v>
      </c>
      <c r="K332" s="55">
        <f>'Stavební rozpočet'!K334</f>
        <v>0</v>
      </c>
      <c r="L332" s="55">
        <f t="shared" si="355"/>
        <v>0</v>
      </c>
      <c r="M332" s="51" t="s">
        <v>622</v>
      </c>
      <c r="Z332" s="29">
        <f t="shared" si="356"/>
        <v>0</v>
      </c>
      <c r="AB332" s="29">
        <f t="shared" si="357"/>
        <v>0</v>
      </c>
      <c r="AC332" s="29">
        <f t="shared" si="358"/>
        <v>0</v>
      </c>
      <c r="AD332" s="29">
        <f t="shared" si="359"/>
        <v>0</v>
      </c>
      <c r="AE332" s="29">
        <f t="shared" si="360"/>
        <v>0</v>
      </c>
      <c r="AF332" s="29">
        <f t="shared" si="361"/>
        <v>0</v>
      </c>
      <c r="AG332" s="29">
        <f t="shared" si="362"/>
        <v>0</v>
      </c>
      <c r="AH332" s="29">
        <f t="shared" si="363"/>
        <v>0</v>
      </c>
      <c r="AI332" s="48" t="s">
        <v>60</v>
      </c>
      <c r="AJ332" s="55">
        <f t="shared" si="364"/>
        <v>0</v>
      </c>
      <c r="AK332" s="55">
        <f t="shared" si="365"/>
        <v>0</v>
      </c>
      <c r="AL332" s="55">
        <f t="shared" si="366"/>
        <v>0</v>
      </c>
      <c r="AN332" s="29">
        <v>15</v>
      </c>
      <c r="AO332" s="29">
        <f t="shared" si="367"/>
        <v>0</v>
      </c>
      <c r="AP332" s="29">
        <f t="shared" si="368"/>
        <v>0</v>
      </c>
      <c r="AQ332" s="51" t="s">
        <v>85</v>
      </c>
      <c r="AV332" s="29">
        <f t="shared" si="369"/>
        <v>0</v>
      </c>
      <c r="AW332" s="29">
        <f t="shared" si="370"/>
        <v>0</v>
      </c>
      <c r="AX332" s="29">
        <f t="shared" si="371"/>
        <v>0</v>
      </c>
      <c r="AY332" s="54" t="s">
        <v>643</v>
      </c>
      <c r="AZ332" s="54" t="s">
        <v>1537</v>
      </c>
      <c r="BA332" s="48" t="s">
        <v>1542</v>
      </c>
      <c r="BC332" s="29">
        <f t="shared" si="372"/>
        <v>0</v>
      </c>
      <c r="BD332" s="29">
        <f t="shared" si="373"/>
        <v>0</v>
      </c>
      <c r="BE332" s="29">
        <v>0</v>
      </c>
      <c r="BF332" s="29">
        <f t="shared" si="374"/>
        <v>0</v>
      </c>
      <c r="BH332" s="55">
        <f t="shared" si="375"/>
        <v>0</v>
      </c>
      <c r="BI332" s="55">
        <f t="shared" si="376"/>
        <v>0</v>
      </c>
      <c r="BJ332" s="55">
        <f t="shared" si="377"/>
        <v>0</v>
      </c>
    </row>
    <row r="333" spans="1:62" ht="12.75">
      <c r="A333" s="36" t="s">
        <v>784</v>
      </c>
      <c r="B333" s="36" t="s">
        <v>60</v>
      </c>
      <c r="C333" s="36" t="s">
        <v>1017</v>
      </c>
      <c r="D333" s="36" t="s">
        <v>1311</v>
      </c>
      <c r="E333" s="36" t="s">
        <v>606</v>
      </c>
      <c r="F333" s="55">
        <f>'Stavební rozpočet'!F335</f>
        <v>1</v>
      </c>
      <c r="G333" s="55">
        <f>'Stavební rozpočet'!G335</f>
        <v>0</v>
      </c>
      <c r="H333" s="55">
        <f t="shared" si="352"/>
        <v>0</v>
      </c>
      <c r="I333" s="55">
        <f t="shared" si="353"/>
        <v>0</v>
      </c>
      <c r="J333" s="55">
        <f t="shared" si="354"/>
        <v>0</v>
      </c>
      <c r="K333" s="55">
        <f>'Stavební rozpočet'!K335</f>
        <v>0</v>
      </c>
      <c r="L333" s="55">
        <f t="shared" si="355"/>
        <v>0</v>
      </c>
      <c r="M333" s="51" t="s">
        <v>622</v>
      </c>
      <c r="Z333" s="29">
        <f t="shared" si="356"/>
        <v>0</v>
      </c>
      <c r="AB333" s="29">
        <f t="shared" si="357"/>
        <v>0</v>
      </c>
      <c r="AC333" s="29">
        <f t="shared" si="358"/>
        <v>0</v>
      </c>
      <c r="AD333" s="29">
        <f t="shared" si="359"/>
        <v>0</v>
      </c>
      <c r="AE333" s="29">
        <f t="shared" si="360"/>
        <v>0</v>
      </c>
      <c r="AF333" s="29">
        <f t="shared" si="361"/>
        <v>0</v>
      </c>
      <c r="AG333" s="29">
        <f t="shared" si="362"/>
        <v>0</v>
      </c>
      <c r="AH333" s="29">
        <f t="shared" si="363"/>
        <v>0</v>
      </c>
      <c r="AI333" s="48" t="s">
        <v>60</v>
      </c>
      <c r="AJ333" s="55">
        <f t="shared" si="364"/>
        <v>0</v>
      </c>
      <c r="AK333" s="55">
        <f t="shared" si="365"/>
        <v>0</v>
      </c>
      <c r="AL333" s="55">
        <f t="shared" si="366"/>
        <v>0</v>
      </c>
      <c r="AN333" s="29">
        <v>15</v>
      </c>
      <c r="AO333" s="29">
        <f t="shared" si="367"/>
        <v>0</v>
      </c>
      <c r="AP333" s="29">
        <f t="shared" si="368"/>
        <v>0</v>
      </c>
      <c r="AQ333" s="51" t="s">
        <v>85</v>
      </c>
      <c r="AV333" s="29">
        <f t="shared" si="369"/>
        <v>0</v>
      </c>
      <c r="AW333" s="29">
        <f t="shared" si="370"/>
        <v>0</v>
      </c>
      <c r="AX333" s="29">
        <f t="shared" si="371"/>
        <v>0</v>
      </c>
      <c r="AY333" s="54" t="s">
        <v>643</v>
      </c>
      <c r="AZ333" s="54" t="s">
        <v>1537</v>
      </c>
      <c r="BA333" s="48" t="s">
        <v>1542</v>
      </c>
      <c r="BC333" s="29">
        <f t="shared" si="372"/>
        <v>0</v>
      </c>
      <c r="BD333" s="29">
        <f t="shared" si="373"/>
        <v>0</v>
      </c>
      <c r="BE333" s="29">
        <v>0</v>
      </c>
      <c r="BF333" s="29">
        <f t="shared" si="374"/>
        <v>0</v>
      </c>
      <c r="BH333" s="55">
        <f t="shared" si="375"/>
        <v>0</v>
      </c>
      <c r="BI333" s="55">
        <f t="shared" si="376"/>
        <v>0</v>
      </c>
      <c r="BJ333" s="55">
        <f t="shared" si="377"/>
        <v>0</v>
      </c>
    </row>
    <row r="334" spans="1:62" ht="12.75">
      <c r="A334" s="36" t="s">
        <v>785</v>
      </c>
      <c r="B334" s="36" t="s">
        <v>60</v>
      </c>
      <c r="C334" s="36" t="s">
        <v>1018</v>
      </c>
      <c r="D334" s="36" t="s">
        <v>1312</v>
      </c>
      <c r="E334" s="36" t="s">
        <v>606</v>
      </c>
      <c r="F334" s="55">
        <f>'Stavební rozpočet'!F336</f>
        <v>1</v>
      </c>
      <c r="G334" s="55">
        <f>'Stavební rozpočet'!G336</f>
        <v>0</v>
      </c>
      <c r="H334" s="55">
        <f t="shared" si="352"/>
        <v>0</v>
      </c>
      <c r="I334" s="55">
        <f t="shared" si="353"/>
        <v>0</v>
      </c>
      <c r="J334" s="55">
        <f t="shared" si="354"/>
        <v>0</v>
      </c>
      <c r="K334" s="55">
        <f>'Stavební rozpočet'!K336</f>
        <v>0</v>
      </c>
      <c r="L334" s="55">
        <f t="shared" si="355"/>
        <v>0</v>
      </c>
      <c r="M334" s="51" t="s">
        <v>622</v>
      </c>
      <c r="Z334" s="29">
        <f t="shared" si="356"/>
        <v>0</v>
      </c>
      <c r="AB334" s="29">
        <f t="shared" si="357"/>
        <v>0</v>
      </c>
      <c r="AC334" s="29">
        <f t="shared" si="358"/>
        <v>0</v>
      </c>
      <c r="AD334" s="29">
        <f t="shared" si="359"/>
        <v>0</v>
      </c>
      <c r="AE334" s="29">
        <f t="shared" si="360"/>
        <v>0</v>
      </c>
      <c r="AF334" s="29">
        <f t="shared" si="361"/>
        <v>0</v>
      </c>
      <c r="AG334" s="29">
        <f t="shared" si="362"/>
        <v>0</v>
      </c>
      <c r="AH334" s="29">
        <f t="shared" si="363"/>
        <v>0</v>
      </c>
      <c r="AI334" s="48" t="s">
        <v>60</v>
      </c>
      <c r="AJ334" s="55">
        <f t="shared" si="364"/>
        <v>0</v>
      </c>
      <c r="AK334" s="55">
        <f t="shared" si="365"/>
        <v>0</v>
      </c>
      <c r="AL334" s="55">
        <f t="shared" si="366"/>
        <v>0</v>
      </c>
      <c r="AN334" s="29">
        <v>15</v>
      </c>
      <c r="AO334" s="29">
        <f t="shared" si="367"/>
        <v>0</v>
      </c>
      <c r="AP334" s="29">
        <f t="shared" si="368"/>
        <v>0</v>
      </c>
      <c r="AQ334" s="51" t="s">
        <v>85</v>
      </c>
      <c r="AV334" s="29">
        <f t="shared" si="369"/>
        <v>0</v>
      </c>
      <c r="AW334" s="29">
        <f t="shared" si="370"/>
        <v>0</v>
      </c>
      <c r="AX334" s="29">
        <f t="shared" si="371"/>
        <v>0</v>
      </c>
      <c r="AY334" s="54" t="s">
        <v>643</v>
      </c>
      <c r="AZ334" s="54" t="s">
        <v>1537</v>
      </c>
      <c r="BA334" s="48" t="s">
        <v>1542</v>
      </c>
      <c r="BC334" s="29">
        <f t="shared" si="372"/>
        <v>0</v>
      </c>
      <c r="BD334" s="29">
        <f t="shared" si="373"/>
        <v>0</v>
      </c>
      <c r="BE334" s="29">
        <v>0</v>
      </c>
      <c r="BF334" s="29">
        <f t="shared" si="374"/>
        <v>0</v>
      </c>
      <c r="BH334" s="55">
        <f t="shared" si="375"/>
        <v>0</v>
      </c>
      <c r="BI334" s="55">
        <f t="shared" si="376"/>
        <v>0</v>
      </c>
      <c r="BJ334" s="55">
        <f t="shared" si="377"/>
        <v>0</v>
      </c>
    </row>
    <row r="335" spans="1:62" ht="12.75">
      <c r="A335" s="36" t="s">
        <v>786</v>
      </c>
      <c r="B335" s="36" t="s">
        <v>60</v>
      </c>
      <c r="C335" s="36" t="s">
        <v>1019</v>
      </c>
      <c r="D335" s="36" t="s">
        <v>1313</v>
      </c>
      <c r="E335" s="36" t="s">
        <v>606</v>
      </c>
      <c r="F335" s="55">
        <f>'Stavební rozpočet'!F337</f>
        <v>0</v>
      </c>
      <c r="G335" s="55">
        <f>'Stavební rozpočet'!G337</f>
        <v>0</v>
      </c>
      <c r="H335" s="55">
        <f t="shared" si="352"/>
        <v>0</v>
      </c>
      <c r="I335" s="55">
        <f t="shared" si="353"/>
        <v>0</v>
      </c>
      <c r="J335" s="55">
        <f t="shared" si="354"/>
        <v>0</v>
      </c>
      <c r="K335" s="55">
        <f>'Stavební rozpočet'!K337</f>
        <v>0</v>
      </c>
      <c r="L335" s="55">
        <f t="shared" si="355"/>
        <v>0</v>
      </c>
      <c r="M335" s="51" t="s">
        <v>622</v>
      </c>
      <c r="Z335" s="29">
        <f t="shared" si="356"/>
        <v>0</v>
      </c>
      <c r="AB335" s="29">
        <f t="shared" si="357"/>
        <v>0</v>
      </c>
      <c r="AC335" s="29">
        <f t="shared" si="358"/>
        <v>0</v>
      </c>
      <c r="AD335" s="29">
        <f t="shared" si="359"/>
        <v>0</v>
      </c>
      <c r="AE335" s="29">
        <f t="shared" si="360"/>
        <v>0</v>
      </c>
      <c r="AF335" s="29">
        <f t="shared" si="361"/>
        <v>0</v>
      </c>
      <c r="AG335" s="29">
        <f t="shared" si="362"/>
        <v>0</v>
      </c>
      <c r="AH335" s="29">
        <f t="shared" si="363"/>
        <v>0</v>
      </c>
      <c r="AI335" s="48" t="s">
        <v>60</v>
      </c>
      <c r="AJ335" s="55">
        <f t="shared" si="364"/>
        <v>0</v>
      </c>
      <c r="AK335" s="55">
        <f t="shared" si="365"/>
        <v>0</v>
      </c>
      <c r="AL335" s="55">
        <f t="shared" si="366"/>
        <v>0</v>
      </c>
      <c r="AN335" s="29">
        <v>15</v>
      </c>
      <c r="AO335" s="29">
        <f t="shared" si="367"/>
        <v>0</v>
      </c>
      <c r="AP335" s="29">
        <f t="shared" si="368"/>
        <v>0</v>
      </c>
      <c r="AQ335" s="51" t="s">
        <v>85</v>
      </c>
      <c r="AV335" s="29">
        <f t="shared" si="369"/>
        <v>0</v>
      </c>
      <c r="AW335" s="29">
        <f t="shared" si="370"/>
        <v>0</v>
      </c>
      <c r="AX335" s="29">
        <f t="shared" si="371"/>
        <v>0</v>
      </c>
      <c r="AY335" s="54" t="s">
        <v>643</v>
      </c>
      <c r="AZ335" s="54" t="s">
        <v>1537</v>
      </c>
      <c r="BA335" s="48" t="s">
        <v>1542</v>
      </c>
      <c r="BC335" s="29">
        <f t="shared" si="372"/>
        <v>0</v>
      </c>
      <c r="BD335" s="29">
        <f t="shared" si="373"/>
        <v>0</v>
      </c>
      <c r="BE335" s="29">
        <v>0</v>
      </c>
      <c r="BF335" s="29">
        <f t="shared" si="374"/>
        <v>0</v>
      </c>
      <c r="BH335" s="55">
        <f t="shared" si="375"/>
        <v>0</v>
      </c>
      <c r="BI335" s="55">
        <f t="shared" si="376"/>
        <v>0</v>
      </c>
      <c r="BJ335" s="55">
        <f t="shared" si="377"/>
        <v>0</v>
      </c>
    </row>
    <row r="336" spans="1:62" ht="12.75">
      <c r="A336" s="36" t="s">
        <v>787</v>
      </c>
      <c r="B336" s="36" t="s">
        <v>60</v>
      </c>
      <c r="C336" s="36" t="s">
        <v>1020</v>
      </c>
      <c r="D336" s="36" t="s">
        <v>1314</v>
      </c>
      <c r="E336" s="36" t="s">
        <v>606</v>
      </c>
      <c r="F336" s="55">
        <f>'Stavební rozpočet'!F338</f>
        <v>1</v>
      </c>
      <c r="G336" s="55">
        <f>'Stavební rozpočet'!G338</f>
        <v>0</v>
      </c>
      <c r="H336" s="55">
        <f t="shared" si="352"/>
        <v>0</v>
      </c>
      <c r="I336" s="55">
        <f t="shared" si="353"/>
        <v>0</v>
      </c>
      <c r="J336" s="55">
        <f t="shared" si="354"/>
        <v>0</v>
      </c>
      <c r="K336" s="55">
        <f>'Stavební rozpočet'!K338</f>
        <v>0</v>
      </c>
      <c r="L336" s="55">
        <f t="shared" si="355"/>
        <v>0</v>
      </c>
      <c r="M336" s="51" t="s">
        <v>622</v>
      </c>
      <c r="Z336" s="29">
        <f t="shared" si="356"/>
        <v>0</v>
      </c>
      <c r="AB336" s="29">
        <f t="shared" si="357"/>
        <v>0</v>
      </c>
      <c r="AC336" s="29">
        <f t="shared" si="358"/>
        <v>0</v>
      </c>
      <c r="AD336" s="29">
        <f t="shared" si="359"/>
        <v>0</v>
      </c>
      <c r="AE336" s="29">
        <f t="shared" si="360"/>
        <v>0</v>
      </c>
      <c r="AF336" s="29">
        <f t="shared" si="361"/>
        <v>0</v>
      </c>
      <c r="AG336" s="29">
        <f t="shared" si="362"/>
        <v>0</v>
      </c>
      <c r="AH336" s="29">
        <f t="shared" si="363"/>
        <v>0</v>
      </c>
      <c r="AI336" s="48" t="s">
        <v>60</v>
      </c>
      <c r="AJ336" s="55">
        <f t="shared" si="364"/>
        <v>0</v>
      </c>
      <c r="AK336" s="55">
        <f t="shared" si="365"/>
        <v>0</v>
      </c>
      <c r="AL336" s="55">
        <f t="shared" si="366"/>
        <v>0</v>
      </c>
      <c r="AN336" s="29">
        <v>15</v>
      </c>
      <c r="AO336" s="29">
        <f t="shared" si="367"/>
        <v>0</v>
      </c>
      <c r="AP336" s="29">
        <f t="shared" si="368"/>
        <v>0</v>
      </c>
      <c r="AQ336" s="51" t="s">
        <v>85</v>
      </c>
      <c r="AV336" s="29">
        <f t="shared" si="369"/>
        <v>0</v>
      </c>
      <c r="AW336" s="29">
        <f t="shared" si="370"/>
        <v>0</v>
      </c>
      <c r="AX336" s="29">
        <f t="shared" si="371"/>
        <v>0</v>
      </c>
      <c r="AY336" s="54" t="s">
        <v>643</v>
      </c>
      <c r="AZ336" s="54" t="s">
        <v>1537</v>
      </c>
      <c r="BA336" s="48" t="s">
        <v>1542</v>
      </c>
      <c r="BC336" s="29">
        <f t="shared" si="372"/>
        <v>0</v>
      </c>
      <c r="BD336" s="29">
        <f t="shared" si="373"/>
        <v>0</v>
      </c>
      <c r="BE336" s="29">
        <v>0</v>
      </c>
      <c r="BF336" s="29">
        <f t="shared" si="374"/>
        <v>0</v>
      </c>
      <c r="BH336" s="55">
        <f t="shared" si="375"/>
        <v>0</v>
      </c>
      <c r="BI336" s="55">
        <f t="shared" si="376"/>
        <v>0</v>
      </c>
      <c r="BJ336" s="55">
        <f t="shared" si="377"/>
        <v>0</v>
      </c>
    </row>
    <row r="337" spans="1:62" ht="12.75">
      <c r="A337" s="36" t="s">
        <v>788</v>
      </c>
      <c r="B337" s="36" t="s">
        <v>60</v>
      </c>
      <c r="C337" s="36" t="s">
        <v>1021</v>
      </c>
      <c r="D337" s="36" t="s">
        <v>1315</v>
      </c>
      <c r="E337" s="36" t="s">
        <v>606</v>
      </c>
      <c r="F337" s="55">
        <f>'Stavební rozpočet'!F339</f>
        <v>1</v>
      </c>
      <c r="G337" s="55">
        <f>'Stavební rozpočet'!G339</f>
        <v>0</v>
      </c>
      <c r="H337" s="55">
        <f t="shared" si="352"/>
        <v>0</v>
      </c>
      <c r="I337" s="55">
        <f t="shared" si="353"/>
        <v>0</v>
      </c>
      <c r="J337" s="55">
        <f t="shared" si="354"/>
        <v>0</v>
      </c>
      <c r="K337" s="55">
        <f>'Stavební rozpočet'!K339</f>
        <v>0</v>
      </c>
      <c r="L337" s="55">
        <f t="shared" si="355"/>
        <v>0</v>
      </c>
      <c r="M337" s="51" t="s">
        <v>622</v>
      </c>
      <c r="Z337" s="29">
        <f t="shared" si="356"/>
        <v>0</v>
      </c>
      <c r="AB337" s="29">
        <f t="shared" si="357"/>
        <v>0</v>
      </c>
      <c r="AC337" s="29">
        <f t="shared" si="358"/>
        <v>0</v>
      </c>
      <c r="AD337" s="29">
        <f t="shared" si="359"/>
        <v>0</v>
      </c>
      <c r="AE337" s="29">
        <f t="shared" si="360"/>
        <v>0</v>
      </c>
      <c r="AF337" s="29">
        <f t="shared" si="361"/>
        <v>0</v>
      </c>
      <c r="AG337" s="29">
        <f t="shared" si="362"/>
        <v>0</v>
      </c>
      <c r="AH337" s="29">
        <f t="shared" si="363"/>
        <v>0</v>
      </c>
      <c r="AI337" s="48" t="s">
        <v>60</v>
      </c>
      <c r="AJ337" s="55">
        <f t="shared" si="364"/>
        <v>0</v>
      </c>
      <c r="AK337" s="55">
        <f t="shared" si="365"/>
        <v>0</v>
      </c>
      <c r="AL337" s="55">
        <f t="shared" si="366"/>
        <v>0</v>
      </c>
      <c r="AN337" s="29">
        <v>15</v>
      </c>
      <c r="AO337" s="29">
        <f t="shared" si="367"/>
        <v>0</v>
      </c>
      <c r="AP337" s="29">
        <f t="shared" si="368"/>
        <v>0</v>
      </c>
      <c r="AQ337" s="51" t="s">
        <v>85</v>
      </c>
      <c r="AV337" s="29">
        <f t="shared" si="369"/>
        <v>0</v>
      </c>
      <c r="AW337" s="29">
        <f t="shared" si="370"/>
        <v>0</v>
      </c>
      <c r="AX337" s="29">
        <f t="shared" si="371"/>
        <v>0</v>
      </c>
      <c r="AY337" s="54" t="s">
        <v>643</v>
      </c>
      <c r="AZ337" s="54" t="s">
        <v>1537</v>
      </c>
      <c r="BA337" s="48" t="s">
        <v>1542</v>
      </c>
      <c r="BC337" s="29">
        <f t="shared" si="372"/>
        <v>0</v>
      </c>
      <c r="BD337" s="29">
        <f t="shared" si="373"/>
        <v>0</v>
      </c>
      <c r="BE337" s="29">
        <v>0</v>
      </c>
      <c r="BF337" s="29">
        <f t="shared" si="374"/>
        <v>0</v>
      </c>
      <c r="BH337" s="55">
        <f t="shared" si="375"/>
        <v>0</v>
      </c>
      <c r="BI337" s="55">
        <f t="shared" si="376"/>
        <v>0</v>
      </c>
      <c r="BJ337" s="55">
        <f t="shared" si="377"/>
        <v>0</v>
      </c>
    </row>
    <row r="338" spans="1:62" ht="12.75">
      <c r="A338" s="36" t="s">
        <v>789</v>
      </c>
      <c r="B338" s="36" t="s">
        <v>60</v>
      </c>
      <c r="C338" s="36" t="s">
        <v>1022</v>
      </c>
      <c r="D338" s="36" t="s">
        <v>1316</v>
      </c>
      <c r="E338" s="36" t="s">
        <v>606</v>
      </c>
      <c r="F338" s="55">
        <f>'Stavební rozpočet'!F340</f>
        <v>1</v>
      </c>
      <c r="G338" s="55">
        <f>'Stavební rozpočet'!G340</f>
        <v>0</v>
      </c>
      <c r="H338" s="55">
        <f t="shared" si="352"/>
        <v>0</v>
      </c>
      <c r="I338" s="55">
        <f t="shared" si="353"/>
        <v>0</v>
      </c>
      <c r="J338" s="55">
        <f t="shared" si="354"/>
        <v>0</v>
      </c>
      <c r="K338" s="55">
        <f>'Stavební rozpočet'!K340</f>
        <v>0</v>
      </c>
      <c r="L338" s="55">
        <f t="shared" si="355"/>
        <v>0</v>
      </c>
      <c r="M338" s="51" t="s">
        <v>622</v>
      </c>
      <c r="Z338" s="29">
        <f t="shared" si="356"/>
        <v>0</v>
      </c>
      <c r="AB338" s="29">
        <f t="shared" si="357"/>
        <v>0</v>
      </c>
      <c r="AC338" s="29">
        <f t="shared" si="358"/>
        <v>0</v>
      </c>
      <c r="AD338" s="29">
        <f t="shared" si="359"/>
        <v>0</v>
      </c>
      <c r="AE338" s="29">
        <f t="shared" si="360"/>
        <v>0</v>
      </c>
      <c r="AF338" s="29">
        <f t="shared" si="361"/>
        <v>0</v>
      </c>
      <c r="AG338" s="29">
        <f t="shared" si="362"/>
        <v>0</v>
      </c>
      <c r="AH338" s="29">
        <f t="shared" si="363"/>
        <v>0</v>
      </c>
      <c r="AI338" s="48" t="s">
        <v>60</v>
      </c>
      <c r="AJ338" s="55">
        <f t="shared" si="364"/>
        <v>0</v>
      </c>
      <c r="AK338" s="55">
        <f t="shared" si="365"/>
        <v>0</v>
      </c>
      <c r="AL338" s="55">
        <f t="shared" si="366"/>
        <v>0</v>
      </c>
      <c r="AN338" s="29">
        <v>15</v>
      </c>
      <c r="AO338" s="29">
        <f t="shared" si="367"/>
        <v>0</v>
      </c>
      <c r="AP338" s="29">
        <f t="shared" si="368"/>
        <v>0</v>
      </c>
      <c r="AQ338" s="51" t="s">
        <v>85</v>
      </c>
      <c r="AV338" s="29">
        <f t="shared" si="369"/>
        <v>0</v>
      </c>
      <c r="AW338" s="29">
        <f t="shared" si="370"/>
        <v>0</v>
      </c>
      <c r="AX338" s="29">
        <f t="shared" si="371"/>
        <v>0</v>
      </c>
      <c r="AY338" s="54" t="s">
        <v>643</v>
      </c>
      <c r="AZ338" s="54" t="s">
        <v>1537</v>
      </c>
      <c r="BA338" s="48" t="s">
        <v>1542</v>
      </c>
      <c r="BC338" s="29">
        <f t="shared" si="372"/>
        <v>0</v>
      </c>
      <c r="BD338" s="29">
        <f t="shared" si="373"/>
        <v>0</v>
      </c>
      <c r="BE338" s="29">
        <v>0</v>
      </c>
      <c r="BF338" s="29">
        <f t="shared" si="374"/>
        <v>0</v>
      </c>
      <c r="BH338" s="55">
        <f t="shared" si="375"/>
        <v>0</v>
      </c>
      <c r="BI338" s="55">
        <f t="shared" si="376"/>
        <v>0</v>
      </c>
      <c r="BJ338" s="55">
        <f t="shared" si="377"/>
        <v>0</v>
      </c>
    </row>
    <row r="339" spans="1:62" ht="12.75">
      <c r="A339" s="36" t="s">
        <v>790</v>
      </c>
      <c r="B339" s="36" t="s">
        <v>60</v>
      </c>
      <c r="C339" s="36" t="s">
        <v>1023</v>
      </c>
      <c r="D339" s="36" t="s">
        <v>1317</v>
      </c>
      <c r="E339" s="36" t="s">
        <v>606</v>
      </c>
      <c r="F339" s="55">
        <f>'Stavební rozpočet'!F341</f>
        <v>1</v>
      </c>
      <c r="G339" s="55">
        <f>'Stavební rozpočet'!G341</f>
        <v>0</v>
      </c>
      <c r="H339" s="55">
        <f t="shared" si="352"/>
        <v>0</v>
      </c>
      <c r="I339" s="55">
        <f t="shared" si="353"/>
        <v>0</v>
      </c>
      <c r="J339" s="55">
        <f t="shared" si="354"/>
        <v>0</v>
      </c>
      <c r="K339" s="55">
        <f>'Stavební rozpočet'!K341</f>
        <v>0</v>
      </c>
      <c r="L339" s="55">
        <f t="shared" si="355"/>
        <v>0</v>
      </c>
      <c r="M339" s="51" t="s">
        <v>622</v>
      </c>
      <c r="Z339" s="29">
        <f t="shared" si="356"/>
        <v>0</v>
      </c>
      <c r="AB339" s="29">
        <f t="shared" si="357"/>
        <v>0</v>
      </c>
      <c r="AC339" s="29">
        <f t="shared" si="358"/>
        <v>0</v>
      </c>
      <c r="AD339" s="29">
        <f t="shared" si="359"/>
        <v>0</v>
      </c>
      <c r="AE339" s="29">
        <f t="shared" si="360"/>
        <v>0</v>
      </c>
      <c r="AF339" s="29">
        <f t="shared" si="361"/>
        <v>0</v>
      </c>
      <c r="AG339" s="29">
        <f t="shared" si="362"/>
        <v>0</v>
      </c>
      <c r="AH339" s="29">
        <f t="shared" si="363"/>
        <v>0</v>
      </c>
      <c r="AI339" s="48" t="s">
        <v>60</v>
      </c>
      <c r="AJ339" s="55">
        <f t="shared" si="364"/>
        <v>0</v>
      </c>
      <c r="AK339" s="55">
        <f t="shared" si="365"/>
        <v>0</v>
      </c>
      <c r="AL339" s="55">
        <f t="shared" si="366"/>
        <v>0</v>
      </c>
      <c r="AN339" s="29">
        <v>15</v>
      </c>
      <c r="AO339" s="29">
        <f t="shared" si="367"/>
        <v>0</v>
      </c>
      <c r="AP339" s="29">
        <f t="shared" si="368"/>
        <v>0</v>
      </c>
      <c r="AQ339" s="51" t="s">
        <v>85</v>
      </c>
      <c r="AV339" s="29">
        <f t="shared" si="369"/>
        <v>0</v>
      </c>
      <c r="AW339" s="29">
        <f t="shared" si="370"/>
        <v>0</v>
      </c>
      <c r="AX339" s="29">
        <f t="shared" si="371"/>
        <v>0</v>
      </c>
      <c r="AY339" s="54" t="s">
        <v>643</v>
      </c>
      <c r="AZ339" s="54" t="s">
        <v>1537</v>
      </c>
      <c r="BA339" s="48" t="s">
        <v>1542</v>
      </c>
      <c r="BC339" s="29">
        <f t="shared" si="372"/>
        <v>0</v>
      </c>
      <c r="BD339" s="29">
        <f t="shared" si="373"/>
        <v>0</v>
      </c>
      <c r="BE339" s="29">
        <v>0</v>
      </c>
      <c r="BF339" s="29">
        <f t="shared" si="374"/>
        <v>0</v>
      </c>
      <c r="BH339" s="55">
        <f t="shared" si="375"/>
        <v>0</v>
      </c>
      <c r="BI339" s="55">
        <f t="shared" si="376"/>
        <v>0</v>
      </c>
      <c r="BJ339" s="55">
        <f t="shared" si="377"/>
        <v>0</v>
      </c>
    </row>
    <row r="340" spans="1:62" ht="12.75">
      <c r="A340" s="36" t="s">
        <v>791</v>
      </c>
      <c r="B340" s="36" t="s">
        <v>60</v>
      </c>
      <c r="C340" s="36" t="s">
        <v>1024</v>
      </c>
      <c r="D340" s="36" t="s">
        <v>1318</v>
      </c>
      <c r="E340" s="36" t="s">
        <v>606</v>
      </c>
      <c r="F340" s="55">
        <f>'Stavební rozpočet'!F342</f>
        <v>1</v>
      </c>
      <c r="G340" s="55">
        <f>'Stavební rozpočet'!G342</f>
        <v>0</v>
      </c>
      <c r="H340" s="55">
        <f t="shared" si="352"/>
        <v>0</v>
      </c>
      <c r="I340" s="55">
        <f t="shared" si="353"/>
        <v>0</v>
      </c>
      <c r="J340" s="55">
        <f t="shared" si="354"/>
        <v>0</v>
      </c>
      <c r="K340" s="55">
        <f>'Stavební rozpočet'!K342</f>
        <v>0</v>
      </c>
      <c r="L340" s="55">
        <f t="shared" si="355"/>
        <v>0</v>
      </c>
      <c r="M340" s="51" t="s">
        <v>622</v>
      </c>
      <c r="Z340" s="29">
        <f t="shared" si="356"/>
        <v>0</v>
      </c>
      <c r="AB340" s="29">
        <f t="shared" si="357"/>
        <v>0</v>
      </c>
      <c r="AC340" s="29">
        <f t="shared" si="358"/>
        <v>0</v>
      </c>
      <c r="AD340" s="29">
        <f t="shared" si="359"/>
        <v>0</v>
      </c>
      <c r="AE340" s="29">
        <f t="shared" si="360"/>
        <v>0</v>
      </c>
      <c r="AF340" s="29">
        <f t="shared" si="361"/>
        <v>0</v>
      </c>
      <c r="AG340" s="29">
        <f t="shared" si="362"/>
        <v>0</v>
      </c>
      <c r="AH340" s="29">
        <f t="shared" si="363"/>
        <v>0</v>
      </c>
      <c r="AI340" s="48" t="s">
        <v>60</v>
      </c>
      <c r="AJ340" s="55">
        <f t="shared" si="364"/>
        <v>0</v>
      </c>
      <c r="AK340" s="55">
        <f t="shared" si="365"/>
        <v>0</v>
      </c>
      <c r="AL340" s="55">
        <f t="shared" si="366"/>
        <v>0</v>
      </c>
      <c r="AN340" s="29">
        <v>15</v>
      </c>
      <c r="AO340" s="29">
        <f t="shared" si="367"/>
        <v>0</v>
      </c>
      <c r="AP340" s="29">
        <f t="shared" si="368"/>
        <v>0</v>
      </c>
      <c r="AQ340" s="51" t="s">
        <v>85</v>
      </c>
      <c r="AV340" s="29">
        <f t="shared" si="369"/>
        <v>0</v>
      </c>
      <c r="AW340" s="29">
        <f t="shared" si="370"/>
        <v>0</v>
      </c>
      <c r="AX340" s="29">
        <f t="shared" si="371"/>
        <v>0</v>
      </c>
      <c r="AY340" s="54" t="s">
        <v>643</v>
      </c>
      <c r="AZ340" s="54" t="s">
        <v>1537</v>
      </c>
      <c r="BA340" s="48" t="s">
        <v>1542</v>
      </c>
      <c r="BC340" s="29">
        <f t="shared" si="372"/>
        <v>0</v>
      </c>
      <c r="BD340" s="29">
        <f t="shared" si="373"/>
        <v>0</v>
      </c>
      <c r="BE340" s="29">
        <v>0</v>
      </c>
      <c r="BF340" s="29">
        <f t="shared" si="374"/>
        <v>0</v>
      </c>
      <c r="BH340" s="55">
        <f t="shared" si="375"/>
        <v>0</v>
      </c>
      <c r="BI340" s="55">
        <f t="shared" si="376"/>
        <v>0</v>
      </c>
      <c r="BJ340" s="55">
        <f t="shared" si="377"/>
        <v>0</v>
      </c>
    </row>
    <row r="341" spans="1:62" ht="12.75">
      <c r="A341" s="36" t="s">
        <v>792</v>
      </c>
      <c r="B341" s="36" t="s">
        <v>60</v>
      </c>
      <c r="C341" s="36" t="s">
        <v>1025</v>
      </c>
      <c r="D341" s="36" t="s">
        <v>1319</v>
      </c>
      <c r="E341" s="36" t="s">
        <v>606</v>
      </c>
      <c r="F341" s="55">
        <f>'Stavební rozpočet'!F343</f>
        <v>19</v>
      </c>
      <c r="G341" s="55">
        <f>'Stavební rozpočet'!G343</f>
        <v>0</v>
      </c>
      <c r="H341" s="55">
        <f t="shared" si="352"/>
        <v>0</v>
      </c>
      <c r="I341" s="55">
        <f t="shared" si="353"/>
        <v>0</v>
      </c>
      <c r="J341" s="55">
        <f t="shared" si="354"/>
        <v>0</v>
      </c>
      <c r="K341" s="55">
        <f>'Stavební rozpočet'!K343</f>
        <v>0</v>
      </c>
      <c r="L341" s="55">
        <f t="shared" si="355"/>
        <v>0</v>
      </c>
      <c r="M341" s="51" t="s">
        <v>622</v>
      </c>
      <c r="Z341" s="29">
        <f t="shared" si="356"/>
        <v>0</v>
      </c>
      <c r="AB341" s="29">
        <f t="shared" si="357"/>
        <v>0</v>
      </c>
      <c r="AC341" s="29">
        <f t="shared" si="358"/>
        <v>0</v>
      </c>
      <c r="AD341" s="29">
        <f t="shared" si="359"/>
        <v>0</v>
      </c>
      <c r="AE341" s="29">
        <f t="shared" si="360"/>
        <v>0</v>
      </c>
      <c r="AF341" s="29">
        <f t="shared" si="361"/>
        <v>0</v>
      </c>
      <c r="AG341" s="29">
        <f t="shared" si="362"/>
        <v>0</v>
      </c>
      <c r="AH341" s="29">
        <f t="shared" si="363"/>
        <v>0</v>
      </c>
      <c r="AI341" s="48" t="s">
        <v>60</v>
      </c>
      <c r="AJ341" s="55">
        <f t="shared" si="364"/>
        <v>0</v>
      </c>
      <c r="AK341" s="55">
        <f t="shared" si="365"/>
        <v>0</v>
      </c>
      <c r="AL341" s="55">
        <f t="shared" si="366"/>
        <v>0</v>
      </c>
      <c r="AN341" s="29">
        <v>15</v>
      </c>
      <c r="AO341" s="29">
        <f t="shared" si="367"/>
        <v>0</v>
      </c>
      <c r="AP341" s="29">
        <f t="shared" si="368"/>
        <v>0</v>
      </c>
      <c r="AQ341" s="51" t="s">
        <v>85</v>
      </c>
      <c r="AV341" s="29">
        <f t="shared" si="369"/>
        <v>0</v>
      </c>
      <c r="AW341" s="29">
        <f t="shared" si="370"/>
        <v>0</v>
      </c>
      <c r="AX341" s="29">
        <f t="shared" si="371"/>
        <v>0</v>
      </c>
      <c r="AY341" s="54" t="s">
        <v>643</v>
      </c>
      <c r="AZ341" s="54" t="s">
        <v>1537</v>
      </c>
      <c r="BA341" s="48" t="s">
        <v>1542</v>
      </c>
      <c r="BC341" s="29">
        <f t="shared" si="372"/>
        <v>0</v>
      </c>
      <c r="BD341" s="29">
        <f t="shared" si="373"/>
        <v>0</v>
      </c>
      <c r="BE341" s="29">
        <v>0</v>
      </c>
      <c r="BF341" s="29">
        <f t="shared" si="374"/>
        <v>0</v>
      </c>
      <c r="BH341" s="55">
        <f t="shared" si="375"/>
        <v>0</v>
      </c>
      <c r="BI341" s="55">
        <f t="shared" si="376"/>
        <v>0</v>
      </c>
      <c r="BJ341" s="55">
        <f t="shared" si="377"/>
        <v>0</v>
      </c>
    </row>
    <row r="342" spans="1:62" ht="12.75">
      <c r="A342" s="36" t="s">
        <v>793</v>
      </c>
      <c r="B342" s="36" t="s">
        <v>60</v>
      </c>
      <c r="C342" s="36" t="s">
        <v>1026</v>
      </c>
      <c r="D342" s="36" t="s">
        <v>1320</v>
      </c>
      <c r="E342" s="36" t="s">
        <v>606</v>
      </c>
      <c r="F342" s="55">
        <f>'Stavební rozpočet'!F344</f>
        <v>12</v>
      </c>
      <c r="G342" s="55">
        <f>'Stavební rozpočet'!G344</f>
        <v>0</v>
      </c>
      <c r="H342" s="55">
        <f t="shared" si="352"/>
        <v>0</v>
      </c>
      <c r="I342" s="55">
        <f t="shared" si="353"/>
        <v>0</v>
      </c>
      <c r="J342" s="55">
        <f t="shared" si="354"/>
        <v>0</v>
      </c>
      <c r="K342" s="55">
        <f>'Stavební rozpočet'!K344</f>
        <v>0</v>
      </c>
      <c r="L342" s="55">
        <f t="shared" si="355"/>
        <v>0</v>
      </c>
      <c r="M342" s="51" t="s">
        <v>622</v>
      </c>
      <c r="Z342" s="29">
        <f t="shared" si="356"/>
        <v>0</v>
      </c>
      <c r="AB342" s="29">
        <f t="shared" si="357"/>
        <v>0</v>
      </c>
      <c r="AC342" s="29">
        <f t="shared" si="358"/>
        <v>0</v>
      </c>
      <c r="AD342" s="29">
        <f t="shared" si="359"/>
        <v>0</v>
      </c>
      <c r="AE342" s="29">
        <f t="shared" si="360"/>
        <v>0</v>
      </c>
      <c r="AF342" s="29">
        <f t="shared" si="361"/>
        <v>0</v>
      </c>
      <c r="AG342" s="29">
        <f t="shared" si="362"/>
        <v>0</v>
      </c>
      <c r="AH342" s="29">
        <f t="shared" si="363"/>
        <v>0</v>
      </c>
      <c r="AI342" s="48" t="s">
        <v>60</v>
      </c>
      <c r="AJ342" s="55">
        <f t="shared" si="364"/>
        <v>0</v>
      </c>
      <c r="AK342" s="55">
        <f t="shared" si="365"/>
        <v>0</v>
      </c>
      <c r="AL342" s="55">
        <f t="shared" si="366"/>
        <v>0</v>
      </c>
      <c r="AN342" s="29">
        <v>15</v>
      </c>
      <c r="AO342" s="29">
        <f t="shared" si="367"/>
        <v>0</v>
      </c>
      <c r="AP342" s="29">
        <f t="shared" si="368"/>
        <v>0</v>
      </c>
      <c r="AQ342" s="51" t="s">
        <v>85</v>
      </c>
      <c r="AV342" s="29">
        <f t="shared" si="369"/>
        <v>0</v>
      </c>
      <c r="AW342" s="29">
        <f t="shared" si="370"/>
        <v>0</v>
      </c>
      <c r="AX342" s="29">
        <f t="shared" si="371"/>
        <v>0</v>
      </c>
      <c r="AY342" s="54" t="s">
        <v>643</v>
      </c>
      <c r="AZ342" s="54" t="s">
        <v>1537</v>
      </c>
      <c r="BA342" s="48" t="s">
        <v>1542</v>
      </c>
      <c r="BC342" s="29">
        <f t="shared" si="372"/>
        <v>0</v>
      </c>
      <c r="BD342" s="29">
        <f t="shared" si="373"/>
        <v>0</v>
      </c>
      <c r="BE342" s="29">
        <v>0</v>
      </c>
      <c r="BF342" s="29">
        <f t="shared" si="374"/>
        <v>0</v>
      </c>
      <c r="BH342" s="55">
        <f t="shared" si="375"/>
        <v>0</v>
      </c>
      <c r="BI342" s="55">
        <f t="shared" si="376"/>
        <v>0</v>
      </c>
      <c r="BJ342" s="55">
        <f t="shared" si="377"/>
        <v>0</v>
      </c>
    </row>
    <row r="343" spans="1:62" ht="12.75">
      <c r="A343" s="36" t="s">
        <v>794</v>
      </c>
      <c r="B343" s="36" t="s">
        <v>60</v>
      </c>
      <c r="C343" s="36" t="s">
        <v>1027</v>
      </c>
      <c r="D343" s="36" t="s">
        <v>1321</v>
      </c>
      <c r="E343" s="36" t="s">
        <v>606</v>
      </c>
      <c r="F343" s="55">
        <f>'Stavební rozpočet'!F345</f>
        <v>3</v>
      </c>
      <c r="G343" s="55">
        <f>'Stavební rozpočet'!G345</f>
        <v>0</v>
      </c>
      <c r="H343" s="55">
        <f t="shared" si="352"/>
        <v>0</v>
      </c>
      <c r="I343" s="55">
        <f t="shared" si="353"/>
        <v>0</v>
      </c>
      <c r="J343" s="55">
        <f t="shared" si="354"/>
        <v>0</v>
      </c>
      <c r="K343" s="55">
        <f>'Stavební rozpočet'!K345</f>
        <v>0</v>
      </c>
      <c r="L343" s="55">
        <f t="shared" si="355"/>
        <v>0</v>
      </c>
      <c r="M343" s="51" t="s">
        <v>622</v>
      </c>
      <c r="Z343" s="29">
        <f t="shared" si="356"/>
        <v>0</v>
      </c>
      <c r="AB343" s="29">
        <f t="shared" si="357"/>
        <v>0</v>
      </c>
      <c r="AC343" s="29">
        <f t="shared" si="358"/>
        <v>0</v>
      </c>
      <c r="AD343" s="29">
        <f t="shared" si="359"/>
        <v>0</v>
      </c>
      <c r="AE343" s="29">
        <f t="shared" si="360"/>
        <v>0</v>
      </c>
      <c r="AF343" s="29">
        <f t="shared" si="361"/>
        <v>0</v>
      </c>
      <c r="AG343" s="29">
        <f t="shared" si="362"/>
        <v>0</v>
      </c>
      <c r="AH343" s="29">
        <f t="shared" si="363"/>
        <v>0</v>
      </c>
      <c r="AI343" s="48" t="s">
        <v>60</v>
      </c>
      <c r="AJ343" s="55">
        <f t="shared" si="364"/>
        <v>0</v>
      </c>
      <c r="AK343" s="55">
        <f t="shared" si="365"/>
        <v>0</v>
      </c>
      <c r="AL343" s="55">
        <f t="shared" si="366"/>
        <v>0</v>
      </c>
      <c r="AN343" s="29">
        <v>15</v>
      </c>
      <c r="AO343" s="29">
        <f t="shared" si="367"/>
        <v>0</v>
      </c>
      <c r="AP343" s="29">
        <f t="shared" si="368"/>
        <v>0</v>
      </c>
      <c r="AQ343" s="51" t="s">
        <v>85</v>
      </c>
      <c r="AV343" s="29">
        <f t="shared" si="369"/>
        <v>0</v>
      </c>
      <c r="AW343" s="29">
        <f t="shared" si="370"/>
        <v>0</v>
      </c>
      <c r="AX343" s="29">
        <f t="shared" si="371"/>
        <v>0</v>
      </c>
      <c r="AY343" s="54" t="s">
        <v>643</v>
      </c>
      <c r="AZ343" s="54" t="s">
        <v>1537</v>
      </c>
      <c r="BA343" s="48" t="s">
        <v>1542</v>
      </c>
      <c r="BC343" s="29">
        <f t="shared" si="372"/>
        <v>0</v>
      </c>
      <c r="BD343" s="29">
        <f t="shared" si="373"/>
        <v>0</v>
      </c>
      <c r="BE343" s="29">
        <v>0</v>
      </c>
      <c r="BF343" s="29">
        <f t="shared" si="374"/>
        <v>0</v>
      </c>
      <c r="BH343" s="55">
        <f t="shared" si="375"/>
        <v>0</v>
      </c>
      <c r="BI343" s="55">
        <f t="shared" si="376"/>
        <v>0</v>
      </c>
      <c r="BJ343" s="55">
        <f t="shared" si="377"/>
        <v>0</v>
      </c>
    </row>
    <row r="344" spans="1:62" ht="12.75">
      <c r="A344" s="36" t="s">
        <v>795</v>
      </c>
      <c r="B344" s="36" t="s">
        <v>60</v>
      </c>
      <c r="C344" s="36" t="s">
        <v>1028</v>
      </c>
      <c r="D344" s="36" t="s">
        <v>1322</v>
      </c>
      <c r="E344" s="36" t="s">
        <v>606</v>
      </c>
      <c r="F344" s="55">
        <f>'Stavební rozpočet'!F346</f>
        <v>3</v>
      </c>
      <c r="G344" s="55">
        <f>'Stavební rozpočet'!G346</f>
        <v>0</v>
      </c>
      <c r="H344" s="55">
        <f t="shared" si="352"/>
        <v>0</v>
      </c>
      <c r="I344" s="55">
        <f t="shared" si="353"/>
        <v>0</v>
      </c>
      <c r="J344" s="55">
        <f t="shared" si="354"/>
        <v>0</v>
      </c>
      <c r="K344" s="55">
        <f>'Stavební rozpočet'!K346</f>
        <v>0</v>
      </c>
      <c r="L344" s="55">
        <f t="shared" si="355"/>
        <v>0</v>
      </c>
      <c r="M344" s="51" t="s">
        <v>622</v>
      </c>
      <c r="Z344" s="29">
        <f t="shared" si="356"/>
        <v>0</v>
      </c>
      <c r="AB344" s="29">
        <f t="shared" si="357"/>
        <v>0</v>
      </c>
      <c r="AC344" s="29">
        <f t="shared" si="358"/>
        <v>0</v>
      </c>
      <c r="AD344" s="29">
        <f t="shared" si="359"/>
        <v>0</v>
      </c>
      <c r="AE344" s="29">
        <f t="shared" si="360"/>
        <v>0</v>
      </c>
      <c r="AF344" s="29">
        <f t="shared" si="361"/>
        <v>0</v>
      </c>
      <c r="AG344" s="29">
        <f t="shared" si="362"/>
        <v>0</v>
      </c>
      <c r="AH344" s="29">
        <f t="shared" si="363"/>
        <v>0</v>
      </c>
      <c r="AI344" s="48" t="s">
        <v>60</v>
      </c>
      <c r="AJ344" s="55">
        <f t="shared" si="364"/>
        <v>0</v>
      </c>
      <c r="AK344" s="55">
        <f t="shared" si="365"/>
        <v>0</v>
      </c>
      <c r="AL344" s="55">
        <f t="shared" si="366"/>
        <v>0</v>
      </c>
      <c r="AN344" s="29">
        <v>15</v>
      </c>
      <c r="AO344" s="29">
        <f t="shared" si="367"/>
        <v>0</v>
      </c>
      <c r="AP344" s="29">
        <f t="shared" si="368"/>
        <v>0</v>
      </c>
      <c r="AQ344" s="51" t="s">
        <v>85</v>
      </c>
      <c r="AV344" s="29">
        <f t="shared" si="369"/>
        <v>0</v>
      </c>
      <c r="AW344" s="29">
        <f t="shared" si="370"/>
        <v>0</v>
      </c>
      <c r="AX344" s="29">
        <f t="shared" si="371"/>
        <v>0</v>
      </c>
      <c r="AY344" s="54" t="s">
        <v>643</v>
      </c>
      <c r="AZ344" s="54" t="s">
        <v>1537</v>
      </c>
      <c r="BA344" s="48" t="s">
        <v>1542</v>
      </c>
      <c r="BC344" s="29">
        <f t="shared" si="372"/>
        <v>0</v>
      </c>
      <c r="BD344" s="29">
        <f t="shared" si="373"/>
        <v>0</v>
      </c>
      <c r="BE344" s="29">
        <v>0</v>
      </c>
      <c r="BF344" s="29">
        <f t="shared" si="374"/>
        <v>0</v>
      </c>
      <c r="BH344" s="55">
        <f t="shared" si="375"/>
        <v>0</v>
      </c>
      <c r="BI344" s="55">
        <f t="shared" si="376"/>
        <v>0</v>
      </c>
      <c r="BJ344" s="55">
        <f t="shared" si="377"/>
        <v>0</v>
      </c>
    </row>
    <row r="345" spans="1:62" ht="12.75">
      <c r="A345" s="36" t="s">
        <v>796</v>
      </c>
      <c r="B345" s="36" t="s">
        <v>60</v>
      </c>
      <c r="C345" s="36" t="s">
        <v>1029</v>
      </c>
      <c r="D345" s="36" t="s">
        <v>1323</v>
      </c>
      <c r="E345" s="36" t="s">
        <v>606</v>
      </c>
      <c r="F345" s="55">
        <f>'Stavební rozpočet'!F347</f>
        <v>1</v>
      </c>
      <c r="G345" s="55">
        <f>'Stavební rozpočet'!G347</f>
        <v>0</v>
      </c>
      <c r="H345" s="55">
        <f t="shared" si="352"/>
        <v>0</v>
      </c>
      <c r="I345" s="55">
        <f t="shared" si="353"/>
        <v>0</v>
      </c>
      <c r="J345" s="55">
        <f t="shared" si="354"/>
        <v>0</v>
      </c>
      <c r="K345" s="55">
        <f>'Stavební rozpočet'!K347</f>
        <v>0</v>
      </c>
      <c r="L345" s="55">
        <f t="shared" si="355"/>
        <v>0</v>
      </c>
      <c r="M345" s="51" t="s">
        <v>622</v>
      </c>
      <c r="Z345" s="29">
        <f t="shared" si="356"/>
        <v>0</v>
      </c>
      <c r="AB345" s="29">
        <f t="shared" si="357"/>
        <v>0</v>
      </c>
      <c r="AC345" s="29">
        <f t="shared" si="358"/>
        <v>0</v>
      </c>
      <c r="AD345" s="29">
        <f t="shared" si="359"/>
        <v>0</v>
      </c>
      <c r="AE345" s="29">
        <f t="shared" si="360"/>
        <v>0</v>
      </c>
      <c r="AF345" s="29">
        <f t="shared" si="361"/>
        <v>0</v>
      </c>
      <c r="AG345" s="29">
        <f t="shared" si="362"/>
        <v>0</v>
      </c>
      <c r="AH345" s="29">
        <f t="shared" si="363"/>
        <v>0</v>
      </c>
      <c r="AI345" s="48" t="s">
        <v>60</v>
      </c>
      <c r="AJ345" s="55">
        <f t="shared" si="364"/>
        <v>0</v>
      </c>
      <c r="AK345" s="55">
        <f t="shared" si="365"/>
        <v>0</v>
      </c>
      <c r="AL345" s="55">
        <f t="shared" si="366"/>
        <v>0</v>
      </c>
      <c r="AN345" s="29">
        <v>15</v>
      </c>
      <c r="AO345" s="29">
        <f t="shared" si="367"/>
        <v>0</v>
      </c>
      <c r="AP345" s="29">
        <f t="shared" si="368"/>
        <v>0</v>
      </c>
      <c r="AQ345" s="51" t="s">
        <v>85</v>
      </c>
      <c r="AV345" s="29">
        <f t="shared" si="369"/>
        <v>0</v>
      </c>
      <c r="AW345" s="29">
        <f t="shared" si="370"/>
        <v>0</v>
      </c>
      <c r="AX345" s="29">
        <f t="shared" si="371"/>
        <v>0</v>
      </c>
      <c r="AY345" s="54" t="s">
        <v>643</v>
      </c>
      <c r="AZ345" s="54" t="s">
        <v>1537</v>
      </c>
      <c r="BA345" s="48" t="s">
        <v>1542</v>
      </c>
      <c r="BC345" s="29">
        <f t="shared" si="372"/>
        <v>0</v>
      </c>
      <c r="BD345" s="29">
        <f t="shared" si="373"/>
        <v>0</v>
      </c>
      <c r="BE345" s="29">
        <v>0</v>
      </c>
      <c r="BF345" s="29">
        <f t="shared" si="374"/>
        <v>0</v>
      </c>
      <c r="BH345" s="55">
        <f t="shared" si="375"/>
        <v>0</v>
      </c>
      <c r="BI345" s="55">
        <f t="shared" si="376"/>
        <v>0</v>
      </c>
      <c r="BJ345" s="55">
        <f t="shared" si="377"/>
        <v>0</v>
      </c>
    </row>
    <row r="346" spans="1:62" ht="12.75">
      <c r="A346" s="36" t="s">
        <v>797</v>
      </c>
      <c r="B346" s="36" t="s">
        <v>60</v>
      </c>
      <c r="C346" s="36" t="s">
        <v>1030</v>
      </c>
      <c r="D346" s="36" t="s">
        <v>1324</v>
      </c>
      <c r="E346" s="36" t="s">
        <v>606</v>
      </c>
      <c r="F346" s="55">
        <f>'Stavební rozpočet'!F348</f>
        <v>1</v>
      </c>
      <c r="G346" s="55">
        <f>'Stavební rozpočet'!G348</f>
        <v>0</v>
      </c>
      <c r="H346" s="55">
        <f t="shared" si="352"/>
        <v>0</v>
      </c>
      <c r="I346" s="55">
        <f t="shared" si="353"/>
        <v>0</v>
      </c>
      <c r="J346" s="55">
        <f t="shared" si="354"/>
        <v>0</v>
      </c>
      <c r="K346" s="55">
        <f>'Stavební rozpočet'!K348</f>
        <v>0</v>
      </c>
      <c r="L346" s="55">
        <f t="shared" si="355"/>
        <v>0</v>
      </c>
      <c r="M346" s="51" t="s">
        <v>622</v>
      </c>
      <c r="Z346" s="29">
        <f t="shared" si="356"/>
        <v>0</v>
      </c>
      <c r="AB346" s="29">
        <f t="shared" si="357"/>
        <v>0</v>
      </c>
      <c r="AC346" s="29">
        <f t="shared" si="358"/>
        <v>0</v>
      </c>
      <c r="AD346" s="29">
        <f t="shared" si="359"/>
        <v>0</v>
      </c>
      <c r="AE346" s="29">
        <f t="shared" si="360"/>
        <v>0</v>
      </c>
      <c r="AF346" s="29">
        <f t="shared" si="361"/>
        <v>0</v>
      </c>
      <c r="AG346" s="29">
        <f t="shared" si="362"/>
        <v>0</v>
      </c>
      <c r="AH346" s="29">
        <f t="shared" si="363"/>
        <v>0</v>
      </c>
      <c r="AI346" s="48" t="s">
        <v>60</v>
      </c>
      <c r="AJ346" s="55">
        <f t="shared" si="364"/>
        <v>0</v>
      </c>
      <c r="AK346" s="55">
        <f t="shared" si="365"/>
        <v>0</v>
      </c>
      <c r="AL346" s="55">
        <f t="shared" si="366"/>
        <v>0</v>
      </c>
      <c r="AN346" s="29">
        <v>15</v>
      </c>
      <c r="AO346" s="29">
        <f t="shared" si="367"/>
        <v>0</v>
      </c>
      <c r="AP346" s="29">
        <f t="shared" si="368"/>
        <v>0</v>
      </c>
      <c r="AQ346" s="51" t="s">
        <v>85</v>
      </c>
      <c r="AV346" s="29">
        <f t="shared" si="369"/>
        <v>0</v>
      </c>
      <c r="AW346" s="29">
        <f t="shared" si="370"/>
        <v>0</v>
      </c>
      <c r="AX346" s="29">
        <f t="shared" si="371"/>
        <v>0</v>
      </c>
      <c r="AY346" s="54" t="s">
        <v>643</v>
      </c>
      <c r="AZ346" s="54" t="s">
        <v>1537</v>
      </c>
      <c r="BA346" s="48" t="s">
        <v>1542</v>
      </c>
      <c r="BC346" s="29">
        <f t="shared" si="372"/>
        <v>0</v>
      </c>
      <c r="BD346" s="29">
        <f t="shared" si="373"/>
        <v>0</v>
      </c>
      <c r="BE346" s="29">
        <v>0</v>
      </c>
      <c r="BF346" s="29">
        <f t="shared" si="374"/>
        <v>0</v>
      </c>
      <c r="BH346" s="55">
        <f t="shared" si="375"/>
        <v>0</v>
      </c>
      <c r="BI346" s="55">
        <f t="shared" si="376"/>
        <v>0</v>
      </c>
      <c r="BJ346" s="55">
        <f t="shared" si="377"/>
        <v>0</v>
      </c>
    </row>
    <row r="347" spans="1:62" ht="12.75">
      <c r="A347" s="36" t="s">
        <v>798</v>
      </c>
      <c r="B347" s="36" t="s">
        <v>60</v>
      </c>
      <c r="C347" s="36" t="s">
        <v>1031</v>
      </c>
      <c r="D347" s="36" t="s">
        <v>1325</v>
      </c>
      <c r="E347" s="36" t="s">
        <v>606</v>
      </c>
      <c r="F347" s="55">
        <f>'Stavební rozpočet'!F349</f>
        <v>1</v>
      </c>
      <c r="G347" s="55">
        <f>'Stavební rozpočet'!G349</f>
        <v>0</v>
      </c>
      <c r="H347" s="55">
        <f t="shared" si="352"/>
        <v>0</v>
      </c>
      <c r="I347" s="55">
        <f t="shared" si="353"/>
        <v>0</v>
      </c>
      <c r="J347" s="55">
        <f t="shared" si="354"/>
        <v>0</v>
      </c>
      <c r="K347" s="55">
        <f>'Stavební rozpočet'!K349</f>
        <v>0</v>
      </c>
      <c r="L347" s="55">
        <f t="shared" si="355"/>
        <v>0</v>
      </c>
      <c r="M347" s="51" t="s">
        <v>622</v>
      </c>
      <c r="Z347" s="29">
        <f t="shared" si="356"/>
        <v>0</v>
      </c>
      <c r="AB347" s="29">
        <f t="shared" si="357"/>
        <v>0</v>
      </c>
      <c r="AC347" s="29">
        <f t="shared" si="358"/>
        <v>0</v>
      </c>
      <c r="AD347" s="29">
        <f t="shared" si="359"/>
        <v>0</v>
      </c>
      <c r="AE347" s="29">
        <f t="shared" si="360"/>
        <v>0</v>
      </c>
      <c r="AF347" s="29">
        <f t="shared" si="361"/>
        <v>0</v>
      </c>
      <c r="AG347" s="29">
        <f t="shared" si="362"/>
        <v>0</v>
      </c>
      <c r="AH347" s="29">
        <f t="shared" si="363"/>
        <v>0</v>
      </c>
      <c r="AI347" s="48" t="s">
        <v>60</v>
      </c>
      <c r="AJ347" s="55">
        <f t="shared" si="364"/>
        <v>0</v>
      </c>
      <c r="AK347" s="55">
        <f t="shared" si="365"/>
        <v>0</v>
      </c>
      <c r="AL347" s="55">
        <f t="shared" si="366"/>
        <v>0</v>
      </c>
      <c r="AN347" s="29">
        <v>15</v>
      </c>
      <c r="AO347" s="29">
        <f t="shared" si="367"/>
        <v>0</v>
      </c>
      <c r="AP347" s="29">
        <f t="shared" si="368"/>
        <v>0</v>
      </c>
      <c r="AQ347" s="51" t="s">
        <v>85</v>
      </c>
      <c r="AV347" s="29">
        <f t="shared" si="369"/>
        <v>0</v>
      </c>
      <c r="AW347" s="29">
        <f t="shared" si="370"/>
        <v>0</v>
      </c>
      <c r="AX347" s="29">
        <f t="shared" si="371"/>
        <v>0</v>
      </c>
      <c r="AY347" s="54" t="s">
        <v>643</v>
      </c>
      <c r="AZ347" s="54" t="s">
        <v>1537</v>
      </c>
      <c r="BA347" s="48" t="s">
        <v>1542</v>
      </c>
      <c r="BC347" s="29">
        <f t="shared" si="372"/>
        <v>0</v>
      </c>
      <c r="BD347" s="29">
        <f t="shared" si="373"/>
        <v>0</v>
      </c>
      <c r="BE347" s="29">
        <v>0</v>
      </c>
      <c r="BF347" s="29">
        <f t="shared" si="374"/>
        <v>0</v>
      </c>
      <c r="BH347" s="55">
        <f t="shared" si="375"/>
        <v>0</v>
      </c>
      <c r="BI347" s="55">
        <f t="shared" si="376"/>
        <v>0</v>
      </c>
      <c r="BJ347" s="55">
        <f t="shared" si="377"/>
        <v>0</v>
      </c>
    </row>
    <row r="348" spans="1:62" ht="12.75">
      <c r="A348" s="36" t="s">
        <v>799</v>
      </c>
      <c r="B348" s="36" t="s">
        <v>60</v>
      </c>
      <c r="C348" s="36" t="s">
        <v>1032</v>
      </c>
      <c r="D348" s="36" t="s">
        <v>1326</v>
      </c>
      <c r="E348" s="36" t="s">
        <v>606</v>
      </c>
      <c r="F348" s="55">
        <f>'Stavební rozpočet'!F350</f>
        <v>1</v>
      </c>
      <c r="G348" s="55">
        <f>'Stavební rozpočet'!G350</f>
        <v>0</v>
      </c>
      <c r="H348" s="55">
        <f t="shared" si="352"/>
        <v>0</v>
      </c>
      <c r="I348" s="55">
        <f t="shared" si="353"/>
        <v>0</v>
      </c>
      <c r="J348" s="55">
        <f t="shared" si="354"/>
        <v>0</v>
      </c>
      <c r="K348" s="55">
        <f>'Stavební rozpočet'!K350</f>
        <v>0</v>
      </c>
      <c r="L348" s="55">
        <f t="shared" si="355"/>
        <v>0</v>
      </c>
      <c r="M348" s="51" t="s">
        <v>622</v>
      </c>
      <c r="Z348" s="29">
        <f t="shared" si="356"/>
        <v>0</v>
      </c>
      <c r="AB348" s="29">
        <f t="shared" si="357"/>
        <v>0</v>
      </c>
      <c r="AC348" s="29">
        <f t="shared" si="358"/>
        <v>0</v>
      </c>
      <c r="AD348" s="29">
        <f t="shared" si="359"/>
        <v>0</v>
      </c>
      <c r="AE348" s="29">
        <f t="shared" si="360"/>
        <v>0</v>
      </c>
      <c r="AF348" s="29">
        <f t="shared" si="361"/>
        <v>0</v>
      </c>
      <c r="AG348" s="29">
        <f t="shared" si="362"/>
        <v>0</v>
      </c>
      <c r="AH348" s="29">
        <f t="shared" si="363"/>
        <v>0</v>
      </c>
      <c r="AI348" s="48" t="s">
        <v>60</v>
      </c>
      <c r="AJ348" s="55">
        <f t="shared" si="364"/>
        <v>0</v>
      </c>
      <c r="AK348" s="55">
        <f t="shared" si="365"/>
        <v>0</v>
      </c>
      <c r="AL348" s="55">
        <f t="shared" si="366"/>
        <v>0</v>
      </c>
      <c r="AN348" s="29">
        <v>15</v>
      </c>
      <c r="AO348" s="29">
        <f t="shared" si="367"/>
        <v>0</v>
      </c>
      <c r="AP348" s="29">
        <f t="shared" si="368"/>
        <v>0</v>
      </c>
      <c r="AQ348" s="51" t="s">
        <v>85</v>
      </c>
      <c r="AV348" s="29">
        <f t="shared" si="369"/>
        <v>0</v>
      </c>
      <c r="AW348" s="29">
        <f t="shared" si="370"/>
        <v>0</v>
      </c>
      <c r="AX348" s="29">
        <f t="shared" si="371"/>
        <v>0</v>
      </c>
      <c r="AY348" s="54" t="s">
        <v>643</v>
      </c>
      <c r="AZ348" s="54" t="s">
        <v>1537</v>
      </c>
      <c r="BA348" s="48" t="s">
        <v>1542</v>
      </c>
      <c r="BC348" s="29">
        <f t="shared" si="372"/>
        <v>0</v>
      </c>
      <c r="BD348" s="29">
        <f t="shared" si="373"/>
        <v>0</v>
      </c>
      <c r="BE348" s="29">
        <v>0</v>
      </c>
      <c r="BF348" s="29">
        <f t="shared" si="374"/>
        <v>0</v>
      </c>
      <c r="BH348" s="55">
        <f t="shared" si="375"/>
        <v>0</v>
      </c>
      <c r="BI348" s="55">
        <f t="shared" si="376"/>
        <v>0</v>
      </c>
      <c r="BJ348" s="55">
        <f t="shared" si="377"/>
        <v>0</v>
      </c>
    </row>
    <row r="349" spans="1:62" ht="12.75">
      <c r="A349" s="36" t="s">
        <v>800</v>
      </c>
      <c r="B349" s="36" t="s">
        <v>60</v>
      </c>
      <c r="C349" s="36" t="s">
        <v>1033</v>
      </c>
      <c r="D349" s="36" t="s">
        <v>1327</v>
      </c>
      <c r="E349" s="36" t="s">
        <v>606</v>
      </c>
      <c r="F349" s="55">
        <f>'Stavební rozpočet'!F351</f>
        <v>2</v>
      </c>
      <c r="G349" s="55">
        <f>'Stavební rozpočet'!G351</f>
        <v>0</v>
      </c>
      <c r="H349" s="55">
        <f t="shared" si="352"/>
        <v>0</v>
      </c>
      <c r="I349" s="55">
        <f t="shared" si="353"/>
        <v>0</v>
      </c>
      <c r="J349" s="55">
        <f t="shared" si="354"/>
        <v>0</v>
      </c>
      <c r="K349" s="55">
        <f>'Stavební rozpočet'!K351</f>
        <v>0</v>
      </c>
      <c r="L349" s="55">
        <f t="shared" si="355"/>
        <v>0</v>
      </c>
      <c r="M349" s="51" t="s">
        <v>622</v>
      </c>
      <c r="Z349" s="29">
        <f t="shared" si="356"/>
        <v>0</v>
      </c>
      <c r="AB349" s="29">
        <f t="shared" si="357"/>
        <v>0</v>
      </c>
      <c r="AC349" s="29">
        <f t="shared" si="358"/>
        <v>0</v>
      </c>
      <c r="AD349" s="29">
        <f t="shared" si="359"/>
        <v>0</v>
      </c>
      <c r="AE349" s="29">
        <f t="shared" si="360"/>
        <v>0</v>
      </c>
      <c r="AF349" s="29">
        <f t="shared" si="361"/>
        <v>0</v>
      </c>
      <c r="AG349" s="29">
        <f t="shared" si="362"/>
        <v>0</v>
      </c>
      <c r="AH349" s="29">
        <f t="shared" si="363"/>
        <v>0</v>
      </c>
      <c r="AI349" s="48" t="s">
        <v>60</v>
      </c>
      <c r="AJ349" s="55">
        <f t="shared" si="364"/>
        <v>0</v>
      </c>
      <c r="AK349" s="55">
        <f t="shared" si="365"/>
        <v>0</v>
      </c>
      <c r="AL349" s="55">
        <f t="shared" si="366"/>
        <v>0</v>
      </c>
      <c r="AN349" s="29">
        <v>15</v>
      </c>
      <c r="AO349" s="29">
        <f t="shared" si="367"/>
        <v>0</v>
      </c>
      <c r="AP349" s="29">
        <f t="shared" si="368"/>
        <v>0</v>
      </c>
      <c r="AQ349" s="51" t="s">
        <v>85</v>
      </c>
      <c r="AV349" s="29">
        <f t="shared" si="369"/>
        <v>0</v>
      </c>
      <c r="AW349" s="29">
        <f t="shared" si="370"/>
        <v>0</v>
      </c>
      <c r="AX349" s="29">
        <f t="shared" si="371"/>
        <v>0</v>
      </c>
      <c r="AY349" s="54" t="s">
        <v>643</v>
      </c>
      <c r="AZ349" s="54" t="s">
        <v>1537</v>
      </c>
      <c r="BA349" s="48" t="s">
        <v>1542</v>
      </c>
      <c r="BC349" s="29">
        <f t="shared" si="372"/>
        <v>0</v>
      </c>
      <c r="BD349" s="29">
        <f t="shared" si="373"/>
        <v>0</v>
      </c>
      <c r="BE349" s="29">
        <v>0</v>
      </c>
      <c r="BF349" s="29">
        <f t="shared" si="374"/>
        <v>0</v>
      </c>
      <c r="BH349" s="55">
        <f t="shared" si="375"/>
        <v>0</v>
      </c>
      <c r="BI349" s="55">
        <f t="shared" si="376"/>
        <v>0</v>
      </c>
      <c r="BJ349" s="55">
        <f t="shared" si="377"/>
        <v>0</v>
      </c>
    </row>
    <row r="350" spans="1:62" ht="12.75">
      <c r="A350" s="36" t="s">
        <v>801</v>
      </c>
      <c r="B350" s="36" t="s">
        <v>60</v>
      </c>
      <c r="C350" s="36" t="s">
        <v>1034</v>
      </c>
      <c r="D350" s="36" t="s">
        <v>1328</v>
      </c>
      <c r="E350" s="36" t="s">
        <v>606</v>
      </c>
      <c r="F350" s="55">
        <f>'Stavební rozpočet'!F352</f>
        <v>0</v>
      </c>
      <c r="G350" s="55">
        <f>'Stavební rozpočet'!G352</f>
        <v>0</v>
      </c>
      <c r="H350" s="55">
        <f t="shared" si="352"/>
        <v>0</v>
      </c>
      <c r="I350" s="55">
        <f t="shared" si="353"/>
        <v>0</v>
      </c>
      <c r="J350" s="55">
        <f t="shared" si="354"/>
        <v>0</v>
      </c>
      <c r="K350" s="55">
        <f>'Stavební rozpočet'!K352</f>
        <v>0</v>
      </c>
      <c r="L350" s="55">
        <f t="shared" si="355"/>
        <v>0</v>
      </c>
      <c r="M350" s="51" t="s">
        <v>622</v>
      </c>
      <c r="Z350" s="29">
        <f t="shared" si="356"/>
        <v>0</v>
      </c>
      <c r="AB350" s="29">
        <f t="shared" si="357"/>
        <v>0</v>
      </c>
      <c r="AC350" s="29">
        <f t="shared" si="358"/>
        <v>0</v>
      </c>
      <c r="AD350" s="29">
        <f t="shared" si="359"/>
        <v>0</v>
      </c>
      <c r="AE350" s="29">
        <f t="shared" si="360"/>
        <v>0</v>
      </c>
      <c r="AF350" s="29">
        <f t="shared" si="361"/>
        <v>0</v>
      </c>
      <c r="AG350" s="29">
        <f t="shared" si="362"/>
        <v>0</v>
      </c>
      <c r="AH350" s="29">
        <f t="shared" si="363"/>
        <v>0</v>
      </c>
      <c r="AI350" s="48" t="s">
        <v>60</v>
      </c>
      <c r="AJ350" s="55">
        <f t="shared" si="364"/>
        <v>0</v>
      </c>
      <c r="AK350" s="55">
        <f t="shared" si="365"/>
        <v>0</v>
      </c>
      <c r="AL350" s="55">
        <f t="shared" si="366"/>
        <v>0</v>
      </c>
      <c r="AN350" s="29">
        <v>15</v>
      </c>
      <c r="AO350" s="29">
        <f t="shared" si="367"/>
        <v>0</v>
      </c>
      <c r="AP350" s="29">
        <f t="shared" si="368"/>
        <v>0</v>
      </c>
      <c r="AQ350" s="51" t="s">
        <v>85</v>
      </c>
      <c r="AV350" s="29">
        <f t="shared" si="369"/>
        <v>0</v>
      </c>
      <c r="AW350" s="29">
        <f t="shared" si="370"/>
        <v>0</v>
      </c>
      <c r="AX350" s="29">
        <f t="shared" si="371"/>
        <v>0</v>
      </c>
      <c r="AY350" s="54" t="s">
        <v>643</v>
      </c>
      <c r="AZ350" s="54" t="s">
        <v>1537</v>
      </c>
      <c r="BA350" s="48" t="s">
        <v>1542</v>
      </c>
      <c r="BC350" s="29">
        <f t="shared" si="372"/>
        <v>0</v>
      </c>
      <c r="BD350" s="29">
        <f t="shared" si="373"/>
        <v>0</v>
      </c>
      <c r="BE350" s="29">
        <v>0</v>
      </c>
      <c r="BF350" s="29">
        <f t="shared" si="374"/>
        <v>0</v>
      </c>
      <c r="BH350" s="55">
        <f t="shared" si="375"/>
        <v>0</v>
      </c>
      <c r="BI350" s="55">
        <f t="shared" si="376"/>
        <v>0</v>
      </c>
      <c r="BJ350" s="55">
        <f t="shared" si="377"/>
        <v>0</v>
      </c>
    </row>
    <row r="351" spans="1:62" ht="12.75">
      <c r="A351" s="36" t="s">
        <v>802</v>
      </c>
      <c r="B351" s="36" t="s">
        <v>60</v>
      </c>
      <c r="C351" s="36" t="s">
        <v>1035</v>
      </c>
      <c r="D351" s="36" t="s">
        <v>1329</v>
      </c>
      <c r="E351" s="36" t="s">
        <v>609</v>
      </c>
      <c r="F351" s="55">
        <f>'Stavební rozpočet'!F353</f>
        <v>28.1</v>
      </c>
      <c r="G351" s="55">
        <f>'Stavební rozpočet'!G353</f>
        <v>0</v>
      </c>
      <c r="H351" s="55">
        <f t="shared" si="352"/>
        <v>0</v>
      </c>
      <c r="I351" s="55">
        <f t="shared" si="353"/>
        <v>0</v>
      </c>
      <c r="J351" s="55">
        <f t="shared" si="354"/>
        <v>0</v>
      </c>
      <c r="K351" s="55">
        <f>'Stavební rozpočet'!K353</f>
        <v>0</v>
      </c>
      <c r="L351" s="55">
        <f t="shared" si="355"/>
        <v>0</v>
      </c>
      <c r="M351" s="51" t="s">
        <v>622</v>
      </c>
      <c r="Z351" s="29">
        <f t="shared" si="356"/>
        <v>0</v>
      </c>
      <c r="AB351" s="29">
        <f t="shared" si="357"/>
        <v>0</v>
      </c>
      <c r="AC351" s="29">
        <f t="shared" si="358"/>
        <v>0</v>
      </c>
      <c r="AD351" s="29">
        <f t="shared" si="359"/>
        <v>0</v>
      </c>
      <c r="AE351" s="29">
        <f t="shared" si="360"/>
        <v>0</v>
      </c>
      <c r="AF351" s="29">
        <f t="shared" si="361"/>
        <v>0</v>
      </c>
      <c r="AG351" s="29">
        <f t="shared" si="362"/>
        <v>0</v>
      </c>
      <c r="AH351" s="29">
        <f t="shared" si="363"/>
        <v>0</v>
      </c>
      <c r="AI351" s="48" t="s">
        <v>60</v>
      </c>
      <c r="AJ351" s="55">
        <f t="shared" si="364"/>
        <v>0</v>
      </c>
      <c r="AK351" s="55">
        <f t="shared" si="365"/>
        <v>0</v>
      </c>
      <c r="AL351" s="55">
        <f t="shared" si="366"/>
        <v>0</v>
      </c>
      <c r="AN351" s="29">
        <v>15</v>
      </c>
      <c r="AO351" s="29">
        <f t="shared" si="367"/>
        <v>0</v>
      </c>
      <c r="AP351" s="29">
        <f t="shared" si="368"/>
        <v>0</v>
      </c>
      <c r="AQ351" s="51" t="s">
        <v>85</v>
      </c>
      <c r="AV351" s="29">
        <f t="shared" si="369"/>
        <v>0</v>
      </c>
      <c r="AW351" s="29">
        <f t="shared" si="370"/>
        <v>0</v>
      </c>
      <c r="AX351" s="29">
        <f t="shared" si="371"/>
        <v>0</v>
      </c>
      <c r="AY351" s="54" t="s">
        <v>643</v>
      </c>
      <c r="AZ351" s="54" t="s">
        <v>1537</v>
      </c>
      <c r="BA351" s="48" t="s">
        <v>1542</v>
      </c>
      <c r="BC351" s="29">
        <f t="shared" si="372"/>
        <v>0</v>
      </c>
      <c r="BD351" s="29">
        <f t="shared" si="373"/>
        <v>0</v>
      </c>
      <c r="BE351" s="29">
        <v>0</v>
      </c>
      <c r="BF351" s="29">
        <f t="shared" si="374"/>
        <v>0</v>
      </c>
      <c r="BH351" s="55">
        <f t="shared" si="375"/>
        <v>0</v>
      </c>
      <c r="BI351" s="55">
        <f t="shared" si="376"/>
        <v>0</v>
      </c>
      <c r="BJ351" s="55">
        <f t="shared" si="377"/>
        <v>0</v>
      </c>
    </row>
    <row r="352" spans="1:62" ht="12.75">
      <c r="A352" s="36" t="s">
        <v>803</v>
      </c>
      <c r="B352" s="36" t="s">
        <v>60</v>
      </c>
      <c r="C352" s="36" t="s">
        <v>1036</v>
      </c>
      <c r="D352" s="36" t="s">
        <v>1330</v>
      </c>
      <c r="E352" s="36" t="s">
        <v>606</v>
      </c>
      <c r="F352" s="55">
        <f>'Stavební rozpočet'!F354</f>
        <v>2</v>
      </c>
      <c r="G352" s="55">
        <f>'Stavební rozpočet'!G354</f>
        <v>0</v>
      </c>
      <c r="H352" s="55">
        <f t="shared" si="352"/>
        <v>0</v>
      </c>
      <c r="I352" s="55">
        <f t="shared" si="353"/>
        <v>0</v>
      </c>
      <c r="J352" s="55">
        <f t="shared" si="354"/>
        <v>0</v>
      </c>
      <c r="K352" s="55">
        <f>'Stavební rozpočet'!K354</f>
        <v>0</v>
      </c>
      <c r="L352" s="55">
        <f t="shared" si="355"/>
        <v>0</v>
      </c>
      <c r="M352" s="51" t="s">
        <v>622</v>
      </c>
      <c r="Z352" s="29">
        <f t="shared" si="356"/>
        <v>0</v>
      </c>
      <c r="AB352" s="29">
        <f t="shared" si="357"/>
        <v>0</v>
      </c>
      <c r="AC352" s="29">
        <f t="shared" si="358"/>
        <v>0</v>
      </c>
      <c r="AD352" s="29">
        <f t="shared" si="359"/>
        <v>0</v>
      </c>
      <c r="AE352" s="29">
        <f t="shared" si="360"/>
        <v>0</v>
      </c>
      <c r="AF352" s="29">
        <f t="shared" si="361"/>
        <v>0</v>
      </c>
      <c r="AG352" s="29">
        <f t="shared" si="362"/>
        <v>0</v>
      </c>
      <c r="AH352" s="29">
        <f t="shared" si="363"/>
        <v>0</v>
      </c>
      <c r="AI352" s="48" t="s">
        <v>60</v>
      </c>
      <c r="AJ352" s="55">
        <f t="shared" si="364"/>
        <v>0</v>
      </c>
      <c r="AK352" s="55">
        <f t="shared" si="365"/>
        <v>0</v>
      </c>
      <c r="AL352" s="55">
        <f t="shared" si="366"/>
        <v>0</v>
      </c>
      <c r="AN352" s="29">
        <v>15</v>
      </c>
      <c r="AO352" s="29">
        <f t="shared" si="367"/>
        <v>0</v>
      </c>
      <c r="AP352" s="29">
        <f t="shared" si="368"/>
        <v>0</v>
      </c>
      <c r="AQ352" s="51" t="s">
        <v>85</v>
      </c>
      <c r="AV352" s="29">
        <f t="shared" si="369"/>
        <v>0</v>
      </c>
      <c r="AW352" s="29">
        <f t="shared" si="370"/>
        <v>0</v>
      </c>
      <c r="AX352" s="29">
        <f t="shared" si="371"/>
        <v>0</v>
      </c>
      <c r="AY352" s="54" t="s">
        <v>643</v>
      </c>
      <c r="AZ352" s="54" t="s">
        <v>1537</v>
      </c>
      <c r="BA352" s="48" t="s">
        <v>1542</v>
      </c>
      <c r="BC352" s="29">
        <f t="shared" si="372"/>
        <v>0</v>
      </c>
      <c r="BD352" s="29">
        <f t="shared" si="373"/>
        <v>0</v>
      </c>
      <c r="BE352" s="29">
        <v>0</v>
      </c>
      <c r="BF352" s="29">
        <f t="shared" si="374"/>
        <v>0</v>
      </c>
      <c r="BH352" s="55">
        <f t="shared" si="375"/>
        <v>0</v>
      </c>
      <c r="BI352" s="55">
        <f t="shared" si="376"/>
        <v>0</v>
      </c>
      <c r="BJ352" s="55">
        <f t="shared" si="377"/>
        <v>0</v>
      </c>
    </row>
    <row r="353" spans="1:62" ht="12.75">
      <c r="A353" s="36" t="s">
        <v>804</v>
      </c>
      <c r="B353" s="36" t="s">
        <v>60</v>
      </c>
      <c r="C353" s="36" t="s">
        <v>1037</v>
      </c>
      <c r="D353" s="36" t="s">
        <v>497</v>
      </c>
      <c r="E353" s="36" t="s">
        <v>611</v>
      </c>
      <c r="F353" s="55">
        <f>'Stavební rozpočet'!F355</f>
        <v>20</v>
      </c>
      <c r="G353" s="55">
        <f>'Stavební rozpočet'!G355</f>
        <v>0</v>
      </c>
      <c r="H353" s="55">
        <f t="shared" si="352"/>
        <v>0</v>
      </c>
      <c r="I353" s="55">
        <f t="shared" si="353"/>
        <v>0</v>
      </c>
      <c r="J353" s="55">
        <f t="shared" si="354"/>
        <v>0</v>
      </c>
      <c r="K353" s="55">
        <f>'Stavební rozpočet'!K355</f>
        <v>0</v>
      </c>
      <c r="L353" s="55">
        <f t="shared" si="355"/>
        <v>0</v>
      </c>
      <c r="M353" s="51" t="s">
        <v>622</v>
      </c>
      <c r="Z353" s="29">
        <f t="shared" si="356"/>
        <v>0</v>
      </c>
      <c r="AB353" s="29">
        <f t="shared" si="357"/>
        <v>0</v>
      </c>
      <c r="AC353" s="29">
        <f t="shared" si="358"/>
        <v>0</v>
      </c>
      <c r="AD353" s="29">
        <f t="shared" si="359"/>
        <v>0</v>
      </c>
      <c r="AE353" s="29">
        <f t="shared" si="360"/>
        <v>0</v>
      </c>
      <c r="AF353" s="29">
        <f t="shared" si="361"/>
        <v>0</v>
      </c>
      <c r="AG353" s="29">
        <f t="shared" si="362"/>
        <v>0</v>
      </c>
      <c r="AH353" s="29">
        <f t="shared" si="363"/>
        <v>0</v>
      </c>
      <c r="AI353" s="48" t="s">
        <v>60</v>
      </c>
      <c r="AJ353" s="55">
        <f t="shared" si="364"/>
        <v>0</v>
      </c>
      <c r="AK353" s="55">
        <f t="shared" si="365"/>
        <v>0</v>
      </c>
      <c r="AL353" s="55">
        <f t="shared" si="366"/>
        <v>0</v>
      </c>
      <c r="AN353" s="29">
        <v>15</v>
      </c>
      <c r="AO353" s="29">
        <f t="shared" si="367"/>
        <v>0</v>
      </c>
      <c r="AP353" s="29">
        <f t="shared" si="368"/>
        <v>0</v>
      </c>
      <c r="AQ353" s="51" t="s">
        <v>85</v>
      </c>
      <c r="AV353" s="29">
        <f t="shared" si="369"/>
        <v>0</v>
      </c>
      <c r="AW353" s="29">
        <f t="shared" si="370"/>
        <v>0</v>
      </c>
      <c r="AX353" s="29">
        <f t="shared" si="371"/>
        <v>0</v>
      </c>
      <c r="AY353" s="54" t="s">
        <v>643</v>
      </c>
      <c r="AZ353" s="54" t="s">
        <v>1537</v>
      </c>
      <c r="BA353" s="48" t="s">
        <v>1542</v>
      </c>
      <c r="BC353" s="29">
        <f t="shared" si="372"/>
        <v>0</v>
      </c>
      <c r="BD353" s="29">
        <f t="shared" si="373"/>
        <v>0</v>
      </c>
      <c r="BE353" s="29">
        <v>0</v>
      </c>
      <c r="BF353" s="29">
        <f t="shared" si="374"/>
        <v>0</v>
      </c>
      <c r="BH353" s="55">
        <f t="shared" si="375"/>
        <v>0</v>
      </c>
      <c r="BI353" s="55">
        <f t="shared" si="376"/>
        <v>0</v>
      </c>
      <c r="BJ353" s="55">
        <f t="shared" si="377"/>
        <v>0</v>
      </c>
    </row>
    <row r="354" spans="1:62" ht="12.75">
      <c r="A354" s="36" t="s">
        <v>805</v>
      </c>
      <c r="B354" s="36" t="s">
        <v>60</v>
      </c>
      <c r="C354" s="36" t="s">
        <v>1038</v>
      </c>
      <c r="D354" s="36" t="s">
        <v>498</v>
      </c>
      <c r="E354" s="36" t="s">
        <v>606</v>
      </c>
      <c r="F354" s="55">
        <f>'Stavební rozpočet'!F356</f>
        <v>2</v>
      </c>
      <c r="G354" s="55">
        <f>'Stavební rozpočet'!G356</f>
        <v>0</v>
      </c>
      <c r="H354" s="55">
        <f t="shared" si="352"/>
        <v>0</v>
      </c>
      <c r="I354" s="55">
        <f t="shared" si="353"/>
        <v>0</v>
      </c>
      <c r="J354" s="55">
        <f t="shared" si="354"/>
        <v>0</v>
      </c>
      <c r="K354" s="55">
        <f>'Stavební rozpočet'!K356</f>
        <v>0</v>
      </c>
      <c r="L354" s="55">
        <f t="shared" si="355"/>
        <v>0</v>
      </c>
      <c r="M354" s="51" t="s">
        <v>622</v>
      </c>
      <c r="Z354" s="29">
        <f t="shared" si="356"/>
        <v>0</v>
      </c>
      <c r="AB354" s="29">
        <f t="shared" si="357"/>
        <v>0</v>
      </c>
      <c r="AC354" s="29">
        <f t="shared" si="358"/>
        <v>0</v>
      </c>
      <c r="AD354" s="29">
        <f t="shared" si="359"/>
        <v>0</v>
      </c>
      <c r="AE354" s="29">
        <f t="shared" si="360"/>
        <v>0</v>
      </c>
      <c r="AF354" s="29">
        <f t="shared" si="361"/>
        <v>0</v>
      </c>
      <c r="AG354" s="29">
        <f t="shared" si="362"/>
        <v>0</v>
      </c>
      <c r="AH354" s="29">
        <f t="shared" si="363"/>
        <v>0</v>
      </c>
      <c r="AI354" s="48" t="s">
        <v>60</v>
      </c>
      <c r="AJ354" s="55">
        <f t="shared" si="364"/>
        <v>0</v>
      </c>
      <c r="AK354" s="55">
        <f t="shared" si="365"/>
        <v>0</v>
      </c>
      <c r="AL354" s="55">
        <f t="shared" si="366"/>
        <v>0</v>
      </c>
      <c r="AN354" s="29">
        <v>15</v>
      </c>
      <c r="AO354" s="29">
        <f t="shared" si="367"/>
        <v>0</v>
      </c>
      <c r="AP354" s="29">
        <f t="shared" si="368"/>
        <v>0</v>
      </c>
      <c r="AQ354" s="51" t="s">
        <v>85</v>
      </c>
      <c r="AV354" s="29">
        <f t="shared" si="369"/>
        <v>0</v>
      </c>
      <c r="AW354" s="29">
        <f t="shared" si="370"/>
        <v>0</v>
      </c>
      <c r="AX354" s="29">
        <f t="shared" si="371"/>
        <v>0</v>
      </c>
      <c r="AY354" s="54" t="s">
        <v>643</v>
      </c>
      <c r="AZ354" s="54" t="s">
        <v>1537</v>
      </c>
      <c r="BA354" s="48" t="s">
        <v>1542</v>
      </c>
      <c r="BC354" s="29">
        <f t="shared" si="372"/>
        <v>0</v>
      </c>
      <c r="BD354" s="29">
        <f t="shared" si="373"/>
        <v>0</v>
      </c>
      <c r="BE354" s="29">
        <v>0</v>
      </c>
      <c r="BF354" s="29">
        <f t="shared" si="374"/>
        <v>0</v>
      </c>
      <c r="BH354" s="55">
        <f t="shared" si="375"/>
        <v>0</v>
      </c>
      <c r="BI354" s="55">
        <f t="shared" si="376"/>
        <v>0</v>
      </c>
      <c r="BJ354" s="55">
        <f t="shared" si="377"/>
        <v>0</v>
      </c>
    </row>
    <row r="355" spans="1:62" ht="12.75">
      <c r="A355" s="36" t="s">
        <v>806</v>
      </c>
      <c r="B355" s="36" t="s">
        <v>60</v>
      </c>
      <c r="C355" s="36" t="s">
        <v>1039</v>
      </c>
      <c r="D355" s="36" t="s">
        <v>499</v>
      </c>
      <c r="E355" s="36" t="s">
        <v>606</v>
      </c>
      <c r="F355" s="55">
        <f>'Stavební rozpočet'!F357</f>
        <v>2</v>
      </c>
      <c r="G355" s="55">
        <f>'Stavební rozpočet'!G357</f>
        <v>0</v>
      </c>
      <c r="H355" s="55">
        <f t="shared" si="352"/>
        <v>0</v>
      </c>
      <c r="I355" s="55">
        <f t="shared" si="353"/>
        <v>0</v>
      </c>
      <c r="J355" s="55">
        <f t="shared" si="354"/>
        <v>0</v>
      </c>
      <c r="K355" s="55">
        <f>'Stavební rozpočet'!K357</f>
        <v>0</v>
      </c>
      <c r="L355" s="55">
        <f t="shared" si="355"/>
        <v>0</v>
      </c>
      <c r="M355" s="51" t="s">
        <v>622</v>
      </c>
      <c r="Z355" s="29">
        <f t="shared" si="356"/>
        <v>0</v>
      </c>
      <c r="AB355" s="29">
        <f t="shared" si="357"/>
        <v>0</v>
      </c>
      <c r="AC355" s="29">
        <f t="shared" si="358"/>
        <v>0</v>
      </c>
      <c r="AD355" s="29">
        <f t="shared" si="359"/>
        <v>0</v>
      </c>
      <c r="AE355" s="29">
        <f t="shared" si="360"/>
        <v>0</v>
      </c>
      <c r="AF355" s="29">
        <f t="shared" si="361"/>
        <v>0</v>
      </c>
      <c r="AG355" s="29">
        <f t="shared" si="362"/>
        <v>0</v>
      </c>
      <c r="AH355" s="29">
        <f t="shared" si="363"/>
        <v>0</v>
      </c>
      <c r="AI355" s="48" t="s">
        <v>60</v>
      </c>
      <c r="AJ355" s="55">
        <f t="shared" si="364"/>
        <v>0</v>
      </c>
      <c r="AK355" s="55">
        <f t="shared" si="365"/>
        <v>0</v>
      </c>
      <c r="AL355" s="55">
        <f t="shared" si="366"/>
        <v>0</v>
      </c>
      <c r="AN355" s="29">
        <v>15</v>
      </c>
      <c r="AO355" s="29">
        <f t="shared" si="367"/>
        <v>0</v>
      </c>
      <c r="AP355" s="29">
        <f t="shared" si="368"/>
        <v>0</v>
      </c>
      <c r="AQ355" s="51" t="s">
        <v>85</v>
      </c>
      <c r="AV355" s="29">
        <f t="shared" si="369"/>
        <v>0</v>
      </c>
      <c r="AW355" s="29">
        <f t="shared" si="370"/>
        <v>0</v>
      </c>
      <c r="AX355" s="29">
        <f t="shared" si="371"/>
        <v>0</v>
      </c>
      <c r="AY355" s="54" t="s">
        <v>643</v>
      </c>
      <c r="AZ355" s="54" t="s">
        <v>1537</v>
      </c>
      <c r="BA355" s="48" t="s">
        <v>1542</v>
      </c>
      <c r="BC355" s="29">
        <f t="shared" si="372"/>
        <v>0</v>
      </c>
      <c r="BD355" s="29">
        <f t="shared" si="373"/>
        <v>0</v>
      </c>
      <c r="BE355" s="29">
        <v>0</v>
      </c>
      <c r="BF355" s="29">
        <f t="shared" si="374"/>
        <v>0</v>
      </c>
      <c r="BH355" s="55">
        <f t="shared" si="375"/>
        <v>0</v>
      </c>
      <c r="BI355" s="55">
        <f t="shared" si="376"/>
        <v>0</v>
      </c>
      <c r="BJ355" s="55">
        <f t="shared" si="377"/>
        <v>0</v>
      </c>
    </row>
    <row r="356" spans="1:62" ht="12.75">
      <c r="A356" s="36" t="s">
        <v>807</v>
      </c>
      <c r="B356" s="36" t="s">
        <v>60</v>
      </c>
      <c r="C356" s="36" t="s">
        <v>1040</v>
      </c>
      <c r="D356" s="36" t="s">
        <v>541</v>
      </c>
      <c r="E356" s="36" t="s">
        <v>606</v>
      </c>
      <c r="F356" s="55">
        <f>'Stavební rozpočet'!F358</f>
        <v>1</v>
      </c>
      <c r="G356" s="55">
        <f>'Stavební rozpočet'!G358</f>
        <v>0</v>
      </c>
      <c r="H356" s="55">
        <f t="shared" si="352"/>
        <v>0</v>
      </c>
      <c r="I356" s="55">
        <f t="shared" si="353"/>
        <v>0</v>
      </c>
      <c r="J356" s="55">
        <f t="shared" si="354"/>
        <v>0</v>
      </c>
      <c r="K356" s="55">
        <f>'Stavební rozpočet'!K358</f>
        <v>0</v>
      </c>
      <c r="L356" s="55">
        <f t="shared" si="355"/>
        <v>0</v>
      </c>
      <c r="M356" s="51" t="s">
        <v>622</v>
      </c>
      <c r="Z356" s="29">
        <f t="shared" si="356"/>
        <v>0</v>
      </c>
      <c r="AB356" s="29">
        <f t="shared" si="357"/>
        <v>0</v>
      </c>
      <c r="AC356" s="29">
        <f t="shared" si="358"/>
        <v>0</v>
      </c>
      <c r="AD356" s="29">
        <f t="shared" si="359"/>
        <v>0</v>
      </c>
      <c r="AE356" s="29">
        <f t="shared" si="360"/>
        <v>0</v>
      </c>
      <c r="AF356" s="29">
        <f t="shared" si="361"/>
        <v>0</v>
      </c>
      <c r="AG356" s="29">
        <f t="shared" si="362"/>
        <v>0</v>
      </c>
      <c r="AH356" s="29">
        <f t="shared" si="363"/>
        <v>0</v>
      </c>
      <c r="AI356" s="48" t="s">
        <v>60</v>
      </c>
      <c r="AJ356" s="55">
        <f t="shared" si="364"/>
        <v>0</v>
      </c>
      <c r="AK356" s="55">
        <f t="shared" si="365"/>
        <v>0</v>
      </c>
      <c r="AL356" s="55">
        <f t="shared" si="366"/>
        <v>0</v>
      </c>
      <c r="AN356" s="29">
        <v>15</v>
      </c>
      <c r="AO356" s="29">
        <f t="shared" si="367"/>
        <v>0</v>
      </c>
      <c r="AP356" s="29">
        <f t="shared" si="368"/>
        <v>0</v>
      </c>
      <c r="AQ356" s="51" t="s">
        <v>85</v>
      </c>
      <c r="AV356" s="29">
        <f t="shared" si="369"/>
        <v>0</v>
      </c>
      <c r="AW356" s="29">
        <f t="shared" si="370"/>
        <v>0</v>
      </c>
      <c r="AX356" s="29">
        <f t="shared" si="371"/>
        <v>0</v>
      </c>
      <c r="AY356" s="54" t="s">
        <v>643</v>
      </c>
      <c r="AZ356" s="54" t="s">
        <v>1537</v>
      </c>
      <c r="BA356" s="48" t="s">
        <v>1542</v>
      </c>
      <c r="BC356" s="29">
        <f t="shared" si="372"/>
        <v>0</v>
      </c>
      <c r="BD356" s="29">
        <f t="shared" si="373"/>
        <v>0</v>
      </c>
      <c r="BE356" s="29">
        <v>0</v>
      </c>
      <c r="BF356" s="29">
        <f t="shared" si="374"/>
        <v>0</v>
      </c>
      <c r="BH356" s="55">
        <f t="shared" si="375"/>
        <v>0</v>
      </c>
      <c r="BI356" s="55">
        <f t="shared" si="376"/>
        <v>0</v>
      </c>
      <c r="BJ356" s="55">
        <f t="shared" si="377"/>
        <v>0</v>
      </c>
    </row>
    <row r="357" spans="1:62" ht="12.75">
      <c r="A357" s="36" t="s">
        <v>808</v>
      </c>
      <c r="B357" s="36" t="s">
        <v>60</v>
      </c>
      <c r="C357" s="36" t="s">
        <v>1041</v>
      </c>
      <c r="D357" s="36" t="s">
        <v>1331</v>
      </c>
      <c r="E357" s="36" t="s">
        <v>609</v>
      </c>
      <c r="F357" s="55">
        <f>'Stavební rozpočet'!F359</f>
        <v>91.6</v>
      </c>
      <c r="G357" s="55">
        <f>'Stavební rozpočet'!G359</f>
        <v>0</v>
      </c>
      <c r="H357" s="55">
        <f t="shared" si="352"/>
        <v>0</v>
      </c>
      <c r="I357" s="55">
        <f t="shared" si="353"/>
        <v>0</v>
      </c>
      <c r="J357" s="55">
        <f t="shared" si="354"/>
        <v>0</v>
      </c>
      <c r="K357" s="55">
        <f>'Stavební rozpočet'!K359</f>
        <v>0</v>
      </c>
      <c r="L357" s="55">
        <f t="shared" si="355"/>
        <v>0</v>
      </c>
      <c r="M357" s="51" t="s">
        <v>622</v>
      </c>
      <c r="Z357" s="29">
        <f t="shared" si="356"/>
        <v>0</v>
      </c>
      <c r="AB357" s="29">
        <f t="shared" si="357"/>
        <v>0</v>
      </c>
      <c r="AC357" s="29">
        <f t="shared" si="358"/>
        <v>0</v>
      </c>
      <c r="AD357" s="29">
        <f t="shared" si="359"/>
        <v>0</v>
      </c>
      <c r="AE357" s="29">
        <f t="shared" si="360"/>
        <v>0</v>
      </c>
      <c r="AF357" s="29">
        <f t="shared" si="361"/>
        <v>0</v>
      </c>
      <c r="AG357" s="29">
        <f t="shared" si="362"/>
        <v>0</v>
      </c>
      <c r="AH357" s="29">
        <f t="shared" si="363"/>
        <v>0</v>
      </c>
      <c r="AI357" s="48" t="s">
        <v>60</v>
      </c>
      <c r="AJ357" s="55">
        <f t="shared" si="364"/>
        <v>0</v>
      </c>
      <c r="AK357" s="55">
        <f t="shared" si="365"/>
        <v>0</v>
      </c>
      <c r="AL357" s="55">
        <f t="shared" si="366"/>
        <v>0</v>
      </c>
      <c r="AN357" s="29">
        <v>15</v>
      </c>
      <c r="AO357" s="29">
        <f t="shared" si="367"/>
        <v>0</v>
      </c>
      <c r="AP357" s="29">
        <f t="shared" si="368"/>
        <v>0</v>
      </c>
      <c r="AQ357" s="51" t="s">
        <v>85</v>
      </c>
      <c r="AV357" s="29">
        <f t="shared" si="369"/>
        <v>0</v>
      </c>
      <c r="AW357" s="29">
        <f t="shared" si="370"/>
        <v>0</v>
      </c>
      <c r="AX357" s="29">
        <f t="shared" si="371"/>
        <v>0</v>
      </c>
      <c r="AY357" s="54" t="s">
        <v>643</v>
      </c>
      <c r="AZ357" s="54" t="s">
        <v>1537</v>
      </c>
      <c r="BA357" s="48" t="s">
        <v>1542</v>
      </c>
      <c r="BC357" s="29">
        <f t="shared" si="372"/>
        <v>0</v>
      </c>
      <c r="BD357" s="29">
        <f t="shared" si="373"/>
        <v>0</v>
      </c>
      <c r="BE357" s="29">
        <v>0</v>
      </c>
      <c r="BF357" s="29">
        <f t="shared" si="374"/>
        <v>0</v>
      </c>
      <c r="BH357" s="55">
        <f t="shared" si="375"/>
        <v>0</v>
      </c>
      <c r="BI357" s="55">
        <f t="shared" si="376"/>
        <v>0</v>
      </c>
      <c r="BJ357" s="55">
        <f t="shared" si="377"/>
        <v>0</v>
      </c>
    </row>
    <row r="358" spans="1:62" ht="12.75">
      <c r="A358" s="36" t="s">
        <v>809</v>
      </c>
      <c r="B358" s="36" t="s">
        <v>60</v>
      </c>
      <c r="C358" s="36" t="s">
        <v>1042</v>
      </c>
      <c r="D358" s="36" t="s">
        <v>1332</v>
      </c>
      <c r="E358" s="36" t="s">
        <v>609</v>
      </c>
      <c r="F358" s="55">
        <f>'Stavební rozpočet'!F360</f>
        <v>91.6</v>
      </c>
      <c r="G358" s="55">
        <f>'Stavební rozpočet'!G360</f>
        <v>0</v>
      </c>
      <c r="H358" s="55">
        <f t="shared" si="352"/>
        <v>0</v>
      </c>
      <c r="I358" s="55">
        <f t="shared" si="353"/>
        <v>0</v>
      </c>
      <c r="J358" s="55">
        <f t="shared" si="354"/>
        <v>0</v>
      </c>
      <c r="K358" s="55">
        <f>'Stavební rozpočet'!K360</f>
        <v>0</v>
      </c>
      <c r="L358" s="55">
        <f t="shared" si="355"/>
        <v>0</v>
      </c>
      <c r="M358" s="51" t="s">
        <v>622</v>
      </c>
      <c r="Z358" s="29">
        <f t="shared" si="356"/>
        <v>0</v>
      </c>
      <c r="AB358" s="29">
        <f t="shared" si="357"/>
        <v>0</v>
      </c>
      <c r="AC358" s="29">
        <f t="shared" si="358"/>
        <v>0</v>
      </c>
      <c r="AD358" s="29">
        <f t="shared" si="359"/>
        <v>0</v>
      </c>
      <c r="AE358" s="29">
        <f t="shared" si="360"/>
        <v>0</v>
      </c>
      <c r="AF358" s="29">
        <f t="shared" si="361"/>
        <v>0</v>
      </c>
      <c r="AG358" s="29">
        <f t="shared" si="362"/>
        <v>0</v>
      </c>
      <c r="AH358" s="29">
        <f t="shared" si="363"/>
        <v>0</v>
      </c>
      <c r="AI358" s="48" t="s">
        <v>60</v>
      </c>
      <c r="AJ358" s="55">
        <f t="shared" si="364"/>
        <v>0</v>
      </c>
      <c r="AK358" s="55">
        <f t="shared" si="365"/>
        <v>0</v>
      </c>
      <c r="AL358" s="55">
        <f t="shared" si="366"/>
        <v>0</v>
      </c>
      <c r="AN358" s="29">
        <v>15</v>
      </c>
      <c r="AO358" s="29">
        <f t="shared" si="367"/>
        <v>0</v>
      </c>
      <c r="AP358" s="29">
        <f t="shared" si="368"/>
        <v>0</v>
      </c>
      <c r="AQ358" s="51" t="s">
        <v>85</v>
      </c>
      <c r="AV358" s="29">
        <f t="shared" si="369"/>
        <v>0</v>
      </c>
      <c r="AW358" s="29">
        <f t="shared" si="370"/>
        <v>0</v>
      </c>
      <c r="AX358" s="29">
        <f t="shared" si="371"/>
        <v>0</v>
      </c>
      <c r="AY358" s="54" t="s">
        <v>643</v>
      </c>
      <c r="AZ358" s="54" t="s">
        <v>1537</v>
      </c>
      <c r="BA358" s="48" t="s">
        <v>1542</v>
      </c>
      <c r="BC358" s="29">
        <f t="shared" si="372"/>
        <v>0</v>
      </c>
      <c r="BD358" s="29">
        <f t="shared" si="373"/>
        <v>0</v>
      </c>
      <c r="BE358" s="29">
        <v>0</v>
      </c>
      <c r="BF358" s="29">
        <f t="shared" si="374"/>
        <v>0</v>
      </c>
      <c r="BH358" s="55">
        <f t="shared" si="375"/>
        <v>0</v>
      </c>
      <c r="BI358" s="55">
        <f t="shared" si="376"/>
        <v>0</v>
      </c>
      <c r="BJ358" s="55">
        <f t="shared" si="377"/>
        <v>0</v>
      </c>
    </row>
    <row r="359" spans="1:62" ht="12.75">
      <c r="A359" s="36" t="s">
        <v>810</v>
      </c>
      <c r="B359" s="36" t="s">
        <v>60</v>
      </c>
      <c r="C359" s="36" t="s">
        <v>1043</v>
      </c>
      <c r="D359" s="36" t="s">
        <v>1333</v>
      </c>
      <c r="E359" s="36" t="s">
        <v>609</v>
      </c>
      <c r="F359" s="55">
        <f>'Stavební rozpočet'!F361</f>
        <v>91.6</v>
      </c>
      <c r="G359" s="55">
        <f>'Stavební rozpočet'!G361</f>
        <v>0</v>
      </c>
      <c r="H359" s="55">
        <f t="shared" si="352"/>
        <v>0</v>
      </c>
      <c r="I359" s="55">
        <f t="shared" si="353"/>
        <v>0</v>
      </c>
      <c r="J359" s="55">
        <f t="shared" si="354"/>
        <v>0</v>
      </c>
      <c r="K359" s="55">
        <f>'Stavební rozpočet'!K361</f>
        <v>0</v>
      </c>
      <c r="L359" s="55">
        <f t="shared" si="355"/>
        <v>0</v>
      </c>
      <c r="M359" s="51" t="s">
        <v>622</v>
      </c>
      <c r="Z359" s="29">
        <f t="shared" si="356"/>
        <v>0</v>
      </c>
      <c r="AB359" s="29">
        <f t="shared" si="357"/>
        <v>0</v>
      </c>
      <c r="AC359" s="29">
        <f t="shared" si="358"/>
        <v>0</v>
      </c>
      <c r="AD359" s="29">
        <f t="shared" si="359"/>
        <v>0</v>
      </c>
      <c r="AE359" s="29">
        <f t="shared" si="360"/>
        <v>0</v>
      </c>
      <c r="AF359" s="29">
        <f t="shared" si="361"/>
        <v>0</v>
      </c>
      <c r="AG359" s="29">
        <f t="shared" si="362"/>
        <v>0</v>
      </c>
      <c r="AH359" s="29">
        <f t="shared" si="363"/>
        <v>0</v>
      </c>
      <c r="AI359" s="48" t="s">
        <v>60</v>
      </c>
      <c r="AJ359" s="55">
        <f t="shared" si="364"/>
        <v>0</v>
      </c>
      <c r="AK359" s="55">
        <f t="shared" si="365"/>
        <v>0</v>
      </c>
      <c r="AL359" s="55">
        <f t="shared" si="366"/>
        <v>0</v>
      </c>
      <c r="AN359" s="29">
        <v>15</v>
      </c>
      <c r="AO359" s="29">
        <f t="shared" si="367"/>
        <v>0</v>
      </c>
      <c r="AP359" s="29">
        <f t="shared" si="368"/>
        <v>0</v>
      </c>
      <c r="AQ359" s="51" t="s">
        <v>85</v>
      </c>
      <c r="AV359" s="29">
        <f t="shared" si="369"/>
        <v>0</v>
      </c>
      <c r="AW359" s="29">
        <f t="shared" si="370"/>
        <v>0</v>
      </c>
      <c r="AX359" s="29">
        <f t="shared" si="371"/>
        <v>0</v>
      </c>
      <c r="AY359" s="54" t="s">
        <v>643</v>
      </c>
      <c r="AZ359" s="54" t="s">
        <v>1537</v>
      </c>
      <c r="BA359" s="48" t="s">
        <v>1542</v>
      </c>
      <c r="BC359" s="29">
        <f t="shared" si="372"/>
        <v>0</v>
      </c>
      <c r="BD359" s="29">
        <f t="shared" si="373"/>
        <v>0</v>
      </c>
      <c r="BE359" s="29">
        <v>0</v>
      </c>
      <c r="BF359" s="29">
        <f t="shared" si="374"/>
        <v>0</v>
      </c>
      <c r="BH359" s="55">
        <f t="shared" si="375"/>
        <v>0</v>
      </c>
      <c r="BI359" s="55">
        <f t="shared" si="376"/>
        <v>0</v>
      </c>
      <c r="BJ359" s="55">
        <f t="shared" si="377"/>
        <v>0</v>
      </c>
    </row>
    <row r="360" spans="1:62" ht="12.75">
      <c r="A360" s="36" t="s">
        <v>811</v>
      </c>
      <c r="B360" s="36" t="s">
        <v>60</v>
      </c>
      <c r="C360" s="36" t="s">
        <v>1044</v>
      </c>
      <c r="D360" s="36" t="s">
        <v>489</v>
      </c>
      <c r="E360" s="36" t="s">
        <v>606</v>
      </c>
      <c r="F360" s="55">
        <f>'Stavební rozpočet'!F362</f>
        <v>1</v>
      </c>
      <c r="G360" s="55">
        <f>'Stavební rozpočet'!G362</f>
        <v>0</v>
      </c>
      <c r="H360" s="55">
        <f t="shared" si="352"/>
        <v>0</v>
      </c>
      <c r="I360" s="55">
        <f t="shared" si="353"/>
        <v>0</v>
      </c>
      <c r="J360" s="55">
        <f t="shared" si="354"/>
        <v>0</v>
      </c>
      <c r="K360" s="55">
        <f>'Stavební rozpočet'!K362</f>
        <v>0</v>
      </c>
      <c r="L360" s="55">
        <f t="shared" si="355"/>
        <v>0</v>
      </c>
      <c r="M360" s="51" t="s">
        <v>622</v>
      </c>
      <c r="Z360" s="29">
        <f t="shared" si="356"/>
        <v>0</v>
      </c>
      <c r="AB360" s="29">
        <f t="shared" si="357"/>
        <v>0</v>
      </c>
      <c r="AC360" s="29">
        <f t="shared" si="358"/>
        <v>0</v>
      </c>
      <c r="AD360" s="29">
        <f t="shared" si="359"/>
        <v>0</v>
      </c>
      <c r="AE360" s="29">
        <f t="shared" si="360"/>
        <v>0</v>
      </c>
      <c r="AF360" s="29">
        <f t="shared" si="361"/>
        <v>0</v>
      </c>
      <c r="AG360" s="29">
        <f t="shared" si="362"/>
        <v>0</v>
      </c>
      <c r="AH360" s="29">
        <f t="shared" si="363"/>
        <v>0</v>
      </c>
      <c r="AI360" s="48" t="s">
        <v>60</v>
      </c>
      <c r="AJ360" s="55">
        <f t="shared" si="364"/>
        <v>0</v>
      </c>
      <c r="AK360" s="55">
        <f t="shared" si="365"/>
        <v>0</v>
      </c>
      <c r="AL360" s="55">
        <f t="shared" si="366"/>
        <v>0</v>
      </c>
      <c r="AN360" s="29">
        <v>15</v>
      </c>
      <c r="AO360" s="29">
        <f t="shared" si="367"/>
        <v>0</v>
      </c>
      <c r="AP360" s="29">
        <f t="shared" si="368"/>
        <v>0</v>
      </c>
      <c r="AQ360" s="51" t="s">
        <v>85</v>
      </c>
      <c r="AV360" s="29">
        <f t="shared" si="369"/>
        <v>0</v>
      </c>
      <c r="AW360" s="29">
        <f t="shared" si="370"/>
        <v>0</v>
      </c>
      <c r="AX360" s="29">
        <f t="shared" si="371"/>
        <v>0</v>
      </c>
      <c r="AY360" s="54" t="s">
        <v>643</v>
      </c>
      <c r="AZ360" s="54" t="s">
        <v>1537</v>
      </c>
      <c r="BA360" s="48" t="s">
        <v>1542</v>
      </c>
      <c r="BC360" s="29">
        <f t="shared" si="372"/>
        <v>0</v>
      </c>
      <c r="BD360" s="29">
        <f t="shared" si="373"/>
        <v>0</v>
      </c>
      <c r="BE360" s="29">
        <v>0</v>
      </c>
      <c r="BF360" s="29">
        <f t="shared" si="374"/>
        <v>0</v>
      </c>
      <c r="BH360" s="55">
        <f t="shared" si="375"/>
        <v>0</v>
      </c>
      <c r="BI360" s="55">
        <f t="shared" si="376"/>
        <v>0</v>
      </c>
      <c r="BJ360" s="55">
        <f t="shared" si="377"/>
        <v>0</v>
      </c>
    </row>
    <row r="361" spans="1:62" ht="12.75">
      <c r="A361" s="36" t="s">
        <v>812</v>
      </c>
      <c r="B361" s="36" t="s">
        <v>60</v>
      </c>
      <c r="C361" s="36" t="s">
        <v>1045</v>
      </c>
      <c r="D361" s="36" t="s">
        <v>490</v>
      </c>
      <c r="E361" s="36" t="s">
        <v>606</v>
      </c>
      <c r="F361" s="55">
        <f>'Stavební rozpočet'!F363</f>
        <v>1</v>
      </c>
      <c r="G361" s="55">
        <f>'Stavební rozpočet'!G363</f>
        <v>0</v>
      </c>
      <c r="H361" s="55">
        <f t="shared" si="352"/>
        <v>0</v>
      </c>
      <c r="I361" s="55">
        <f t="shared" si="353"/>
        <v>0</v>
      </c>
      <c r="J361" s="55">
        <f t="shared" si="354"/>
        <v>0</v>
      </c>
      <c r="K361" s="55">
        <f>'Stavební rozpočet'!K363</f>
        <v>0</v>
      </c>
      <c r="L361" s="55">
        <f t="shared" si="355"/>
        <v>0</v>
      </c>
      <c r="M361" s="51" t="s">
        <v>622</v>
      </c>
      <c r="Z361" s="29">
        <f t="shared" si="356"/>
        <v>0</v>
      </c>
      <c r="AB361" s="29">
        <f t="shared" si="357"/>
        <v>0</v>
      </c>
      <c r="AC361" s="29">
        <f t="shared" si="358"/>
        <v>0</v>
      </c>
      <c r="AD361" s="29">
        <f t="shared" si="359"/>
        <v>0</v>
      </c>
      <c r="AE361" s="29">
        <f t="shared" si="360"/>
        <v>0</v>
      </c>
      <c r="AF361" s="29">
        <f t="shared" si="361"/>
        <v>0</v>
      </c>
      <c r="AG361" s="29">
        <f t="shared" si="362"/>
        <v>0</v>
      </c>
      <c r="AH361" s="29">
        <f t="shared" si="363"/>
        <v>0</v>
      </c>
      <c r="AI361" s="48" t="s">
        <v>60</v>
      </c>
      <c r="AJ361" s="55">
        <f t="shared" si="364"/>
        <v>0</v>
      </c>
      <c r="AK361" s="55">
        <f t="shared" si="365"/>
        <v>0</v>
      </c>
      <c r="AL361" s="55">
        <f t="shared" si="366"/>
        <v>0</v>
      </c>
      <c r="AN361" s="29">
        <v>15</v>
      </c>
      <c r="AO361" s="29">
        <f t="shared" si="367"/>
        <v>0</v>
      </c>
      <c r="AP361" s="29">
        <f t="shared" si="368"/>
        <v>0</v>
      </c>
      <c r="AQ361" s="51" t="s">
        <v>85</v>
      </c>
      <c r="AV361" s="29">
        <f t="shared" si="369"/>
        <v>0</v>
      </c>
      <c r="AW361" s="29">
        <f t="shared" si="370"/>
        <v>0</v>
      </c>
      <c r="AX361" s="29">
        <f t="shared" si="371"/>
        <v>0</v>
      </c>
      <c r="AY361" s="54" t="s">
        <v>643</v>
      </c>
      <c r="AZ361" s="54" t="s">
        <v>1537</v>
      </c>
      <c r="BA361" s="48" t="s">
        <v>1542</v>
      </c>
      <c r="BC361" s="29">
        <f t="shared" si="372"/>
        <v>0</v>
      </c>
      <c r="BD361" s="29">
        <f t="shared" si="373"/>
        <v>0</v>
      </c>
      <c r="BE361" s="29">
        <v>0</v>
      </c>
      <c r="BF361" s="29">
        <f t="shared" si="374"/>
        <v>0</v>
      </c>
      <c r="BH361" s="55">
        <f t="shared" si="375"/>
        <v>0</v>
      </c>
      <c r="BI361" s="55">
        <f t="shared" si="376"/>
        <v>0</v>
      </c>
      <c r="BJ361" s="55">
        <f t="shared" si="377"/>
        <v>0</v>
      </c>
    </row>
    <row r="362" spans="1:62" ht="12.75">
      <c r="A362" s="36" t="s">
        <v>813</v>
      </c>
      <c r="B362" s="36" t="s">
        <v>60</v>
      </c>
      <c r="C362" s="36" t="s">
        <v>1046</v>
      </c>
      <c r="D362" s="36" t="s">
        <v>491</v>
      </c>
      <c r="E362" s="36" t="s">
        <v>606</v>
      </c>
      <c r="F362" s="55">
        <f>'Stavební rozpočet'!F364</f>
        <v>1</v>
      </c>
      <c r="G362" s="55">
        <f>'Stavební rozpočet'!G364</f>
        <v>0</v>
      </c>
      <c r="H362" s="55">
        <f t="shared" si="352"/>
        <v>0</v>
      </c>
      <c r="I362" s="55">
        <f t="shared" si="353"/>
        <v>0</v>
      </c>
      <c r="J362" s="55">
        <f t="shared" si="354"/>
        <v>0</v>
      </c>
      <c r="K362" s="55">
        <f>'Stavební rozpočet'!K364</f>
        <v>0</v>
      </c>
      <c r="L362" s="55">
        <f t="shared" si="355"/>
        <v>0</v>
      </c>
      <c r="M362" s="51" t="s">
        <v>622</v>
      </c>
      <c r="Z362" s="29">
        <f t="shared" si="356"/>
        <v>0</v>
      </c>
      <c r="AB362" s="29">
        <f t="shared" si="357"/>
        <v>0</v>
      </c>
      <c r="AC362" s="29">
        <f t="shared" si="358"/>
        <v>0</v>
      </c>
      <c r="AD362" s="29">
        <f t="shared" si="359"/>
        <v>0</v>
      </c>
      <c r="AE362" s="29">
        <f t="shared" si="360"/>
        <v>0</v>
      </c>
      <c r="AF362" s="29">
        <f t="shared" si="361"/>
        <v>0</v>
      </c>
      <c r="AG362" s="29">
        <f t="shared" si="362"/>
        <v>0</v>
      </c>
      <c r="AH362" s="29">
        <f t="shared" si="363"/>
        <v>0</v>
      </c>
      <c r="AI362" s="48" t="s">
        <v>60</v>
      </c>
      <c r="AJ362" s="55">
        <f t="shared" si="364"/>
        <v>0</v>
      </c>
      <c r="AK362" s="55">
        <f t="shared" si="365"/>
        <v>0</v>
      </c>
      <c r="AL362" s="55">
        <f t="shared" si="366"/>
        <v>0</v>
      </c>
      <c r="AN362" s="29">
        <v>15</v>
      </c>
      <c r="AO362" s="29">
        <f t="shared" si="367"/>
        <v>0</v>
      </c>
      <c r="AP362" s="29">
        <f t="shared" si="368"/>
        <v>0</v>
      </c>
      <c r="AQ362" s="51" t="s">
        <v>85</v>
      </c>
      <c r="AV362" s="29">
        <f t="shared" si="369"/>
        <v>0</v>
      </c>
      <c r="AW362" s="29">
        <f t="shared" si="370"/>
        <v>0</v>
      </c>
      <c r="AX362" s="29">
        <f t="shared" si="371"/>
        <v>0</v>
      </c>
      <c r="AY362" s="54" t="s">
        <v>643</v>
      </c>
      <c r="AZ362" s="54" t="s">
        <v>1537</v>
      </c>
      <c r="BA362" s="48" t="s">
        <v>1542</v>
      </c>
      <c r="BC362" s="29">
        <f t="shared" si="372"/>
        <v>0</v>
      </c>
      <c r="BD362" s="29">
        <f t="shared" si="373"/>
        <v>0</v>
      </c>
      <c r="BE362" s="29">
        <v>0</v>
      </c>
      <c r="BF362" s="29">
        <f t="shared" si="374"/>
        <v>0</v>
      </c>
      <c r="BH362" s="55">
        <f t="shared" si="375"/>
        <v>0</v>
      </c>
      <c r="BI362" s="55">
        <f t="shared" si="376"/>
        <v>0</v>
      </c>
      <c r="BJ362" s="55">
        <f t="shared" si="377"/>
        <v>0</v>
      </c>
    </row>
    <row r="363" spans="1:62" ht="12.75">
      <c r="A363" s="36" t="s">
        <v>814</v>
      </c>
      <c r="B363" s="36" t="s">
        <v>60</v>
      </c>
      <c r="C363" s="36" t="s">
        <v>1047</v>
      </c>
      <c r="D363" s="36" t="s">
        <v>492</v>
      </c>
      <c r="E363" s="36" t="s">
        <v>606</v>
      </c>
      <c r="F363" s="55">
        <f>'Stavební rozpočet'!F365</f>
        <v>1</v>
      </c>
      <c r="G363" s="55">
        <f>'Stavební rozpočet'!G365</f>
        <v>0</v>
      </c>
      <c r="H363" s="55">
        <f t="shared" si="352"/>
        <v>0</v>
      </c>
      <c r="I363" s="55">
        <f t="shared" si="353"/>
        <v>0</v>
      </c>
      <c r="J363" s="55">
        <f t="shared" si="354"/>
        <v>0</v>
      </c>
      <c r="K363" s="55">
        <f>'Stavební rozpočet'!K365</f>
        <v>0</v>
      </c>
      <c r="L363" s="55">
        <f t="shared" si="355"/>
        <v>0</v>
      </c>
      <c r="M363" s="51" t="s">
        <v>622</v>
      </c>
      <c r="Z363" s="29">
        <f t="shared" si="356"/>
        <v>0</v>
      </c>
      <c r="AB363" s="29">
        <f t="shared" si="357"/>
        <v>0</v>
      </c>
      <c r="AC363" s="29">
        <f t="shared" si="358"/>
        <v>0</v>
      </c>
      <c r="AD363" s="29">
        <f t="shared" si="359"/>
        <v>0</v>
      </c>
      <c r="AE363" s="29">
        <f t="shared" si="360"/>
        <v>0</v>
      </c>
      <c r="AF363" s="29">
        <f t="shared" si="361"/>
        <v>0</v>
      </c>
      <c r="AG363" s="29">
        <f t="shared" si="362"/>
        <v>0</v>
      </c>
      <c r="AH363" s="29">
        <f t="shared" si="363"/>
        <v>0</v>
      </c>
      <c r="AI363" s="48" t="s">
        <v>60</v>
      </c>
      <c r="AJ363" s="55">
        <f t="shared" si="364"/>
        <v>0</v>
      </c>
      <c r="AK363" s="55">
        <f t="shared" si="365"/>
        <v>0</v>
      </c>
      <c r="AL363" s="55">
        <f t="shared" si="366"/>
        <v>0</v>
      </c>
      <c r="AN363" s="29">
        <v>15</v>
      </c>
      <c r="AO363" s="29">
        <f t="shared" si="367"/>
        <v>0</v>
      </c>
      <c r="AP363" s="29">
        <f t="shared" si="368"/>
        <v>0</v>
      </c>
      <c r="AQ363" s="51" t="s">
        <v>85</v>
      </c>
      <c r="AV363" s="29">
        <f t="shared" si="369"/>
        <v>0</v>
      </c>
      <c r="AW363" s="29">
        <f t="shared" si="370"/>
        <v>0</v>
      </c>
      <c r="AX363" s="29">
        <f t="shared" si="371"/>
        <v>0</v>
      </c>
      <c r="AY363" s="54" t="s">
        <v>643</v>
      </c>
      <c r="AZ363" s="54" t="s">
        <v>1537</v>
      </c>
      <c r="BA363" s="48" t="s">
        <v>1542</v>
      </c>
      <c r="BC363" s="29">
        <f t="shared" si="372"/>
        <v>0</v>
      </c>
      <c r="BD363" s="29">
        <f t="shared" si="373"/>
        <v>0</v>
      </c>
      <c r="BE363" s="29">
        <v>0</v>
      </c>
      <c r="BF363" s="29">
        <f t="shared" si="374"/>
        <v>0</v>
      </c>
      <c r="BH363" s="55">
        <f t="shared" si="375"/>
        <v>0</v>
      </c>
      <c r="BI363" s="55">
        <f t="shared" si="376"/>
        <v>0</v>
      </c>
      <c r="BJ363" s="55">
        <f t="shared" si="377"/>
        <v>0</v>
      </c>
    </row>
    <row r="364" spans="1:62" ht="12.75">
      <c r="A364" s="36" t="s">
        <v>815</v>
      </c>
      <c r="B364" s="36" t="s">
        <v>60</v>
      </c>
      <c r="C364" s="36" t="s">
        <v>1048</v>
      </c>
      <c r="D364" s="36" t="s">
        <v>493</v>
      </c>
      <c r="E364" s="36" t="s">
        <v>606</v>
      </c>
      <c r="F364" s="55">
        <f>'Stavební rozpočet'!F366</f>
        <v>1</v>
      </c>
      <c r="G364" s="55">
        <f>'Stavební rozpočet'!G366</f>
        <v>0</v>
      </c>
      <c r="H364" s="55">
        <f t="shared" si="352"/>
        <v>0</v>
      </c>
      <c r="I364" s="55">
        <f t="shared" si="353"/>
        <v>0</v>
      </c>
      <c r="J364" s="55">
        <f t="shared" si="354"/>
        <v>0</v>
      </c>
      <c r="K364" s="55">
        <f>'Stavební rozpočet'!K366</f>
        <v>0</v>
      </c>
      <c r="L364" s="55">
        <f t="shared" si="355"/>
        <v>0</v>
      </c>
      <c r="M364" s="51" t="s">
        <v>622</v>
      </c>
      <c r="Z364" s="29">
        <f t="shared" si="356"/>
        <v>0</v>
      </c>
      <c r="AB364" s="29">
        <f t="shared" si="357"/>
        <v>0</v>
      </c>
      <c r="AC364" s="29">
        <f t="shared" si="358"/>
        <v>0</v>
      </c>
      <c r="AD364" s="29">
        <f t="shared" si="359"/>
        <v>0</v>
      </c>
      <c r="AE364" s="29">
        <f t="shared" si="360"/>
        <v>0</v>
      </c>
      <c r="AF364" s="29">
        <f t="shared" si="361"/>
        <v>0</v>
      </c>
      <c r="AG364" s="29">
        <f t="shared" si="362"/>
        <v>0</v>
      </c>
      <c r="AH364" s="29">
        <f t="shared" si="363"/>
        <v>0</v>
      </c>
      <c r="AI364" s="48" t="s">
        <v>60</v>
      </c>
      <c r="AJ364" s="55">
        <f t="shared" si="364"/>
        <v>0</v>
      </c>
      <c r="AK364" s="55">
        <f t="shared" si="365"/>
        <v>0</v>
      </c>
      <c r="AL364" s="55">
        <f t="shared" si="366"/>
        <v>0</v>
      </c>
      <c r="AN364" s="29">
        <v>15</v>
      </c>
      <c r="AO364" s="29">
        <f t="shared" si="367"/>
        <v>0</v>
      </c>
      <c r="AP364" s="29">
        <f t="shared" si="368"/>
        <v>0</v>
      </c>
      <c r="AQ364" s="51" t="s">
        <v>85</v>
      </c>
      <c r="AV364" s="29">
        <f t="shared" si="369"/>
        <v>0</v>
      </c>
      <c r="AW364" s="29">
        <f t="shared" si="370"/>
        <v>0</v>
      </c>
      <c r="AX364" s="29">
        <f t="shared" si="371"/>
        <v>0</v>
      </c>
      <c r="AY364" s="54" t="s">
        <v>643</v>
      </c>
      <c r="AZ364" s="54" t="s">
        <v>1537</v>
      </c>
      <c r="BA364" s="48" t="s">
        <v>1542</v>
      </c>
      <c r="BC364" s="29">
        <f t="shared" si="372"/>
        <v>0</v>
      </c>
      <c r="BD364" s="29">
        <f t="shared" si="373"/>
        <v>0</v>
      </c>
      <c r="BE364" s="29">
        <v>0</v>
      </c>
      <c r="BF364" s="29">
        <f t="shared" si="374"/>
        <v>0</v>
      </c>
      <c r="BH364" s="55">
        <f t="shared" si="375"/>
        <v>0</v>
      </c>
      <c r="BI364" s="55">
        <f t="shared" si="376"/>
        <v>0</v>
      </c>
      <c r="BJ364" s="55">
        <f t="shared" si="377"/>
        <v>0</v>
      </c>
    </row>
    <row r="365" spans="1:47" ht="12.75">
      <c r="A365" s="35"/>
      <c r="B365" s="42" t="s">
        <v>60</v>
      </c>
      <c r="C365" s="42" t="s">
        <v>314</v>
      </c>
      <c r="D365" s="42" t="s">
        <v>503</v>
      </c>
      <c r="E365" s="35" t="s">
        <v>57</v>
      </c>
      <c r="F365" s="35" t="s">
        <v>57</v>
      </c>
      <c r="G365" s="35" t="s">
        <v>57</v>
      </c>
      <c r="H365" s="59">
        <f>SUM(H366:H414)</f>
        <v>0</v>
      </c>
      <c r="I365" s="59">
        <f>SUM(I366:I414)</f>
        <v>0</v>
      </c>
      <c r="J365" s="59">
        <f>SUM(J366:J414)</f>
        <v>0</v>
      </c>
      <c r="K365" s="48"/>
      <c r="L365" s="59">
        <f>SUM(L366:L414)</f>
        <v>0</v>
      </c>
      <c r="M365" s="48"/>
      <c r="AI365" s="48" t="s">
        <v>60</v>
      </c>
      <c r="AS365" s="59">
        <f>SUM(AJ366:AJ414)</f>
        <v>0</v>
      </c>
      <c r="AT365" s="59">
        <f>SUM(AK366:AK414)</f>
        <v>0</v>
      </c>
      <c r="AU365" s="59">
        <f>SUM(AL366:AL414)</f>
        <v>0</v>
      </c>
    </row>
    <row r="366" spans="1:62" ht="12.75">
      <c r="A366" s="36" t="s">
        <v>816</v>
      </c>
      <c r="B366" s="36" t="s">
        <v>60</v>
      </c>
      <c r="C366" s="36" t="s">
        <v>179</v>
      </c>
      <c r="D366" s="36" t="s">
        <v>1334</v>
      </c>
      <c r="E366" s="36" t="s">
        <v>606</v>
      </c>
      <c r="F366" s="55">
        <f>'Stavební rozpočet'!F368</f>
        <v>1</v>
      </c>
      <c r="G366" s="55">
        <f>'Stavební rozpočet'!G368</f>
        <v>0</v>
      </c>
      <c r="H366" s="55">
        <f aca="true" t="shared" si="378" ref="H366:H397">F366*AO366</f>
        <v>0</v>
      </c>
      <c r="I366" s="55">
        <f aca="true" t="shared" si="379" ref="I366:I397">F366*AP366</f>
        <v>0</v>
      </c>
      <c r="J366" s="55">
        <f aca="true" t="shared" si="380" ref="J366:J397">F366*G366</f>
        <v>0</v>
      </c>
      <c r="K366" s="55">
        <f>'Stavební rozpočet'!K368</f>
        <v>0</v>
      </c>
      <c r="L366" s="55">
        <f aca="true" t="shared" si="381" ref="L366:L397">F366*K366</f>
        <v>0</v>
      </c>
      <c r="M366" s="51" t="s">
        <v>622</v>
      </c>
      <c r="Z366" s="29">
        <f aca="true" t="shared" si="382" ref="Z366:Z397">IF(AQ366="5",BJ366,0)</f>
        <v>0</v>
      </c>
      <c r="AB366" s="29">
        <f aca="true" t="shared" si="383" ref="AB366:AB397">IF(AQ366="1",BH366,0)</f>
        <v>0</v>
      </c>
      <c r="AC366" s="29">
        <f aca="true" t="shared" si="384" ref="AC366:AC397">IF(AQ366="1",BI366,0)</f>
        <v>0</v>
      </c>
      <c r="AD366" s="29">
        <f aca="true" t="shared" si="385" ref="AD366:AD397">IF(AQ366="7",BH366,0)</f>
        <v>0</v>
      </c>
      <c r="AE366" s="29">
        <f aca="true" t="shared" si="386" ref="AE366:AE397">IF(AQ366="7",BI366,0)</f>
        <v>0</v>
      </c>
      <c r="AF366" s="29">
        <f aca="true" t="shared" si="387" ref="AF366:AF397">IF(AQ366="2",BH366,0)</f>
        <v>0</v>
      </c>
      <c r="AG366" s="29">
        <f aca="true" t="shared" si="388" ref="AG366:AG397">IF(AQ366="2",BI366,0)</f>
        <v>0</v>
      </c>
      <c r="AH366" s="29">
        <f aca="true" t="shared" si="389" ref="AH366:AH397">IF(AQ366="0",BJ366,0)</f>
        <v>0</v>
      </c>
      <c r="AI366" s="48" t="s">
        <v>60</v>
      </c>
      <c r="AJ366" s="55">
        <f aca="true" t="shared" si="390" ref="AJ366:AJ397">IF(AN366=0,J366,0)</f>
        <v>0</v>
      </c>
      <c r="AK366" s="55">
        <f aca="true" t="shared" si="391" ref="AK366:AK397">IF(AN366=15,J366,0)</f>
        <v>0</v>
      </c>
      <c r="AL366" s="55">
        <f aca="true" t="shared" si="392" ref="AL366:AL397">IF(AN366=21,J366,0)</f>
        <v>0</v>
      </c>
      <c r="AN366" s="29">
        <v>15</v>
      </c>
      <c r="AO366" s="29">
        <f aca="true" t="shared" si="393" ref="AO366:AO397">G366*0</f>
        <v>0</v>
      </c>
      <c r="AP366" s="29">
        <f aca="true" t="shared" si="394" ref="AP366:AP397">G366*(1-0)</f>
        <v>0</v>
      </c>
      <c r="AQ366" s="51" t="s">
        <v>85</v>
      </c>
      <c r="AV366" s="29">
        <f aca="true" t="shared" si="395" ref="AV366:AV397">AW366+AX366</f>
        <v>0</v>
      </c>
      <c r="AW366" s="29">
        <f aca="true" t="shared" si="396" ref="AW366:AW397">F366*AO366</f>
        <v>0</v>
      </c>
      <c r="AX366" s="29">
        <f aca="true" t="shared" si="397" ref="AX366:AX397">F366*AP366</f>
        <v>0</v>
      </c>
      <c r="AY366" s="54" t="s">
        <v>644</v>
      </c>
      <c r="AZ366" s="54" t="s">
        <v>1537</v>
      </c>
      <c r="BA366" s="48" t="s">
        <v>1542</v>
      </c>
      <c r="BC366" s="29">
        <f aca="true" t="shared" si="398" ref="BC366:BC397">AW366+AX366</f>
        <v>0</v>
      </c>
      <c r="BD366" s="29">
        <f aca="true" t="shared" si="399" ref="BD366:BD397">G366/(100-BE366)*100</f>
        <v>0</v>
      </c>
      <c r="BE366" s="29">
        <v>0</v>
      </c>
      <c r="BF366" s="29">
        <f aca="true" t="shared" si="400" ref="BF366:BF397">L366</f>
        <v>0</v>
      </c>
      <c r="BH366" s="55">
        <f aca="true" t="shared" si="401" ref="BH366:BH397">F366*AO366</f>
        <v>0</v>
      </c>
      <c r="BI366" s="55">
        <f aca="true" t="shared" si="402" ref="BI366:BI397">F366*AP366</f>
        <v>0</v>
      </c>
      <c r="BJ366" s="55">
        <f aca="true" t="shared" si="403" ref="BJ366:BJ397">F366*G366</f>
        <v>0</v>
      </c>
    </row>
    <row r="367" spans="1:62" ht="12.75">
      <c r="A367" s="36" t="s">
        <v>817</v>
      </c>
      <c r="B367" s="36" t="s">
        <v>60</v>
      </c>
      <c r="C367" s="36" t="s">
        <v>1049</v>
      </c>
      <c r="D367" s="36" t="s">
        <v>1335</v>
      </c>
      <c r="E367" s="36" t="s">
        <v>606</v>
      </c>
      <c r="F367" s="55">
        <f>'Stavební rozpočet'!F369</f>
        <v>1</v>
      </c>
      <c r="G367" s="55">
        <f>'Stavební rozpočet'!G369</f>
        <v>0</v>
      </c>
      <c r="H367" s="55">
        <f t="shared" si="378"/>
        <v>0</v>
      </c>
      <c r="I367" s="55">
        <f t="shared" si="379"/>
        <v>0</v>
      </c>
      <c r="J367" s="55">
        <f t="shared" si="380"/>
        <v>0</v>
      </c>
      <c r="K367" s="55">
        <f>'Stavební rozpočet'!K369</f>
        <v>0</v>
      </c>
      <c r="L367" s="55">
        <f t="shared" si="381"/>
        <v>0</v>
      </c>
      <c r="M367" s="51" t="s">
        <v>622</v>
      </c>
      <c r="Z367" s="29">
        <f t="shared" si="382"/>
        <v>0</v>
      </c>
      <c r="AB367" s="29">
        <f t="shared" si="383"/>
        <v>0</v>
      </c>
      <c r="AC367" s="29">
        <f t="shared" si="384"/>
        <v>0</v>
      </c>
      <c r="AD367" s="29">
        <f t="shared" si="385"/>
        <v>0</v>
      </c>
      <c r="AE367" s="29">
        <f t="shared" si="386"/>
        <v>0</v>
      </c>
      <c r="AF367" s="29">
        <f t="shared" si="387"/>
        <v>0</v>
      </c>
      <c r="AG367" s="29">
        <f t="shared" si="388"/>
        <v>0</v>
      </c>
      <c r="AH367" s="29">
        <f t="shared" si="389"/>
        <v>0</v>
      </c>
      <c r="AI367" s="48" t="s">
        <v>60</v>
      </c>
      <c r="AJ367" s="55">
        <f t="shared" si="390"/>
        <v>0</v>
      </c>
      <c r="AK367" s="55">
        <f t="shared" si="391"/>
        <v>0</v>
      </c>
      <c r="AL367" s="55">
        <f t="shared" si="392"/>
        <v>0</v>
      </c>
      <c r="AN367" s="29">
        <v>15</v>
      </c>
      <c r="AO367" s="29">
        <f t="shared" si="393"/>
        <v>0</v>
      </c>
      <c r="AP367" s="29">
        <f t="shared" si="394"/>
        <v>0</v>
      </c>
      <c r="AQ367" s="51" t="s">
        <v>85</v>
      </c>
      <c r="AV367" s="29">
        <f t="shared" si="395"/>
        <v>0</v>
      </c>
      <c r="AW367" s="29">
        <f t="shared" si="396"/>
        <v>0</v>
      </c>
      <c r="AX367" s="29">
        <f t="shared" si="397"/>
        <v>0</v>
      </c>
      <c r="AY367" s="54" t="s">
        <v>644</v>
      </c>
      <c r="AZ367" s="54" t="s">
        <v>1537</v>
      </c>
      <c r="BA367" s="48" t="s">
        <v>1542</v>
      </c>
      <c r="BC367" s="29">
        <f t="shared" si="398"/>
        <v>0</v>
      </c>
      <c r="BD367" s="29">
        <f t="shared" si="399"/>
        <v>0</v>
      </c>
      <c r="BE367" s="29">
        <v>0</v>
      </c>
      <c r="BF367" s="29">
        <f t="shared" si="400"/>
        <v>0</v>
      </c>
      <c r="BH367" s="55">
        <f t="shared" si="401"/>
        <v>0</v>
      </c>
      <c r="BI367" s="55">
        <f t="shared" si="402"/>
        <v>0</v>
      </c>
      <c r="BJ367" s="55">
        <f t="shared" si="403"/>
        <v>0</v>
      </c>
    </row>
    <row r="368" spans="1:62" ht="12.75">
      <c r="A368" s="36" t="s">
        <v>818</v>
      </c>
      <c r="B368" s="36" t="s">
        <v>60</v>
      </c>
      <c r="C368" s="36" t="s">
        <v>1050</v>
      </c>
      <c r="D368" s="36" t="s">
        <v>1336</v>
      </c>
      <c r="E368" s="36" t="s">
        <v>606</v>
      </c>
      <c r="F368" s="55">
        <f>'Stavební rozpočet'!F370</f>
        <v>1</v>
      </c>
      <c r="G368" s="55">
        <f>'Stavební rozpočet'!G370</f>
        <v>0</v>
      </c>
      <c r="H368" s="55">
        <f t="shared" si="378"/>
        <v>0</v>
      </c>
      <c r="I368" s="55">
        <f t="shared" si="379"/>
        <v>0</v>
      </c>
      <c r="J368" s="55">
        <f t="shared" si="380"/>
        <v>0</v>
      </c>
      <c r="K368" s="55">
        <f>'Stavební rozpočet'!K370</f>
        <v>0</v>
      </c>
      <c r="L368" s="55">
        <f t="shared" si="381"/>
        <v>0</v>
      </c>
      <c r="M368" s="51" t="s">
        <v>622</v>
      </c>
      <c r="Z368" s="29">
        <f t="shared" si="382"/>
        <v>0</v>
      </c>
      <c r="AB368" s="29">
        <f t="shared" si="383"/>
        <v>0</v>
      </c>
      <c r="AC368" s="29">
        <f t="shared" si="384"/>
        <v>0</v>
      </c>
      <c r="AD368" s="29">
        <f t="shared" si="385"/>
        <v>0</v>
      </c>
      <c r="AE368" s="29">
        <f t="shared" si="386"/>
        <v>0</v>
      </c>
      <c r="AF368" s="29">
        <f t="shared" si="387"/>
        <v>0</v>
      </c>
      <c r="AG368" s="29">
        <f t="shared" si="388"/>
        <v>0</v>
      </c>
      <c r="AH368" s="29">
        <f t="shared" si="389"/>
        <v>0</v>
      </c>
      <c r="AI368" s="48" t="s">
        <v>60</v>
      </c>
      <c r="AJ368" s="55">
        <f t="shared" si="390"/>
        <v>0</v>
      </c>
      <c r="AK368" s="55">
        <f t="shared" si="391"/>
        <v>0</v>
      </c>
      <c r="AL368" s="55">
        <f t="shared" si="392"/>
        <v>0</v>
      </c>
      <c r="AN368" s="29">
        <v>15</v>
      </c>
      <c r="AO368" s="29">
        <f t="shared" si="393"/>
        <v>0</v>
      </c>
      <c r="AP368" s="29">
        <f t="shared" si="394"/>
        <v>0</v>
      </c>
      <c r="AQ368" s="51" t="s">
        <v>85</v>
      </c>
      <c r="AV368" s="29">
        <f t="shared" si="395"/>
        <v>0</v>
      </c>
      <c r="AW368" s="29">
        <f t="shared" si="396"/>
        <v>0</v>
      </c>
      <c r="AX368" s="29">
        <f t="shared" si="397"/>
        <v>0</v>
      </c>
      <c r="AY368" s="54" t="s">
        <v>644</v>
      </c>
      <c r="AZ368" s="54" t="s">
        <v>1537</v>
      </c>
      <c r="BA368" s="48" t="s">
        <v>1542</v>
      </c>
      <c r="BC368" s="29">
        <f t="shared" si="398"/>
        <v>0</v>
      </c>
      <c r="BD368" s="29">
        <f t="shared" si="399"/>
        <v>0</v>
      </c>
      <c r="BE368" s="29">
        <v>0</v>
      </c>
      <c r="BF368" s="29">
        <f t="shared" si="400"/>
        <v>0</v>
      </c>
      <c r="BH368" s="55">
        <f t="shared" si="401"/>
        <v>0</v>
      </c>
      <c r="BI368" s="55">
        <f t="shared" si="402"/>
        <v>0</v>
      </c>
      <c r="BJ368" s="55">
        <f t="shared" si="403"/>
        <v>0</v>
      </c>
    </row>
    <row r="369" spans="1:62" ht="12.75">
      <c r="A369" s="36" t="s">
        <v>819</v>
      </c>
      <c r="B369" s="36" t="s">
        <v>60</v>
      </c>
      <c r="C369" s="36" t="s">
        <v>1051</v>
      </c>
      <c r="D369" s="36" t="s">
        <v>1337</v>
      </c>
      <c r="E369" s="36" t="s">
        <v>606</v>
      </c>
      <c r="F369" s="55">
        <f>'Stavební rozpočet'!F371</f>
        <v>1</v>
      </c>
      <c r="G369" s="55">
        <f>'Stavební rozpočet'!G371</f>
        <v>0</v>
      </c>
      <c r="H369" s="55">
        <f t="shared" si="378"/>
        <v>0</v>
      </c>
      <c r="I369" s="55">
        <f t="shared" si="379"/>
        <v>0</v>
      </c>
      <c r="J369" s="55">
        <f t="shared" si="380"/>
        <v>0</v>
      </c>
      <c r="K369" s="55">
        <f>'Stavební rozpočet'!K371</f>
        <v>0</v>
      </c>
      <c r="L369" s="55">
        <f t="shared" si="381"/>
        <v>0</v>
      </c>
      <c r="M369" s="51" t="s">
        <v>622</v>
      </c>
      <c r="Z369" s="29">
        <f t="shared" si="382"/>
        <v>0</v>
      </c>
      <c r="AB369" s="29">
        <f t="shared" si="383"/>
        <v>0</v>
      </c>
      <c r="AC369" s="29">
        <f t="shared" si="384"/>
        <v>0</v>
      </c>
      <c r="AD369" s="29">
        <f t="shared" si="385"/>
        <v>0</v>
      </c>
      <c r="AE369" s="29">
        <f t="shared" si="386"/>
        <v>0</v>
      </c>
      <c r="AF369" s="29">
        <f t="shared" si="387"/>
        <v>0</v>
      </c>
      <c r="AG369" s="29">
        <f t="shared" si="388"/>
        <v>0</v>
      </c>
      <c r="AH369" s="29">
        <f t="shared" si="389"/>
        <v>0</v>
      </c>
      <c r="AI369" s="48" t="s">
        <v>60</v>
      </c>
      <c r="AJ369" s="55">
        <f t="shared" si="390"/>
        <v>0</v>
      </c>
      <c r="AK369" s="55">
        <f t="shared" si="391"/>
        <v>0</v>
      </c>
      <c r="AL369" s="55">
        <f t="shared" si="392"/>
        <v>0</v>
      </c>
      <c r="AN369" s="29">
        <v>15</v>
      </c>
      <c r="AO369" s="29">
        <f t="shared" si="393"/>
        <v>0</v>
      </c>
      <c r="AP369" s="29">
        <f t="shared" si="394"/>
        <v>0</v>
      </c>
      <c r="AQ369" s="51" t="s">
        <v>85</v>
      </c>
      <c r="AV369" s="29">
        <f t="shared" si="395"/>
        <v>0</v>
      </c>
      <c r="AW369" s="29">
        <f t="shared" si="396"/>
        <v>0</v>
      </c>
      <c r="AX369" s="29">
        <f t="shared" si="397"/>
        <v>0</v>
      </c>
      <c r="AY369" s="54" t="s">
        <v>644</v>
      </c>
      <c r="AZ369" s="54" t="s">
        <v>1537</v>
      </c>
      <c r="BA369" s="48" t="s">
        <v>1542</v>
      </c>
      <c r="BC369" s="29">
        <f t="shared" si="398"/>
        <v>0</v>
      </c>
      <c r="BD369" s="29">
        <f t="shared" si="399"/>
        <v>0</v>
      </c>
      <c r="BE369" s="29">
        <v>0</v>
      </c>
      <c r="BF369" s="29">
        <f t="shared" si="400"/>
        <v>0</v>
      </c>
      <c r="BH369" s="55">
        <f t="shared" si="401"/>
        <v>0</v>
      </c>
      <c r="BI369" s="55">
        <f t="shared" si="402"/>
        <v>0</v>
      </c>
      <c r="BJ369" s="55">
        <f t="shared" si="403"/>
        <v>0</v>
      </c>
    </row>
    <row r="370" spans="1:62" ht="12.75">
      <c r="A370" s="36" t="s">
        <v>820</v>
      </c>
      <c r="B370" s="36" t="s">
        <v>60</v>
      </c>
      <c r="C370" s="36" t="s">
        <v>1052</v>
      </c>
      <c r="D370" s="36" t="s">
        <v>1338</v>
      </c>
      <c r="E370" s="36" t="s">
        <v>606</v>
      </c>
      <c r="F370" s="55">
        <f>'Stavební rozpočet'!F372</f>
        <v>1</v>
      </c>
      <c r="G370" s="55">
        <f>'Stavební rozpočet'!G372</f>
        <v>0</v>
      </c>
      <c r="H370" s="55">
        <f t="shared" si="378"/>
        <v>0</v>
      </c>
      <c r="I370" s="55">
        <f t="shared" si="379"/>
        <v>0</v>
      </c>
      <c r="J370" s="55">
        <f t="shared" si="380"/>
        <v>0</v>
      </c>
      <c r="K370" s="55">
        <f>'Stavební rozpočet'!K372</f>
        <v>0</v>
      </c>
      <c r="L370" s="55">
        <f t="shared" si="381"/>
        <v>0</v>
      </c>
      <c r="M370" s="51" t="s">
        <v>622</v>
      </c>
      <c r="Z370" s="29">
        <f t="shared" si="382"/>
        <v>0</v>
      </c>
      <c r="AB370" s="29">
        <f t="shared" si="383"/>
        <v>0</v>
      </c>
      <c r="AC370" s="29">
        <f t="shared" si="384"/>
        <v>0</v>
      </c>
      <c r="AD370" s="29">
        <f t="shared" si="385"/>
        <v>0</v>
      </c>
      <c r="AE370" s="29">
        <f t="shared" si="386"/>
        <v>0</v>
      </c>
      <c r="AF370" s="29">
        <f t="shared" si="387"/>
        <v>0</v>
      </c>
      <c r="AG370" s="29">
        <f t="shared" si="388"/>
        <v>0</v>
      </c>
      <c r="AH370" s="29">
        <f t="shared" si="389"/>
        <v>0</v>
      </c>
      <c r="AI370" s="48" t="s">
        <v>60</v>
      </c>
      <c r="AJ370" s="55">
        <f t="shared" si="390"/>
        <v>0</v>
      </c>
      <c r="AK370" s="55">
        <f t="shared" si="391"/>
        <v>0</v>
      </c>
      <c r="AL370" s="55">
        <f t="shared" si="392"/>
        <v>0</v>
      </c>
      <c r="AN370" s="29">
        <v>15</v>
      </c>
      <c r="AO370" s="29">
        <f t="shared" si="393"/>
        <v>0</v>
      </c>
      <c r="AP370" s="29">
        <f t="shared" si="394"/>
        <v>0</v>
      </c>
      <c r="AQ370" s="51" t="s">
        <v>85</v>
      </c>
      <c r="AV370" s="29">
        <f t="shared" si="395"/>
        <v>0</v>
      </c>
      <c r="AW370" s="29">
        <f t="shared" si="396"/>
        <v>0</v>
      </c>
      <c r="AX370" s="29">
        <f t="shared" si="397"/>
        <v>0</v>
      </c>
      <c r="AY370" s="54" t="s">
        <v>644</v>
      </c>
      <c r="AZ370" s="54" t="s">
        <v>1537</v>
      </c>
      <c r="BA370" s="48" t="s">
        <v>1542</v>
      </c>
      <c r="BC370" s="29">
        <f t="shared" si="398"/>
        <v>0</v>
      </c>
      <c r="BD370" s="29">
        <f t="shared" si="399"/>
        <v>0</v>
      </c>
      <c r="BE370" s="29">
        <v>0</v>
      </c>
      <c r="BF370" s="29">
        <f t="shared" si="400"/>
        <v>0</v>
      </c>
      <c r="BH370" s="55">
        <f t="shared" si="401"/>
        <v>0</v>
      </c>
      <c r="BI370" s="55">
        <f t="shared" si="402"/>
        <v>0</v>
      </c>
      <c r="BJ370" s="55">
        <f t="shared" si="403"/>
        <v>0</v>
      </c>
    </row>
    <row r="371" spans="1:62" ht="12.75">
      <c r="A371" s="36" t="s">
        <v>821</v>
      </c>
      <c r="B371" s="36" t="s">
        <v>60</v>
      </c>
      <c r="C371" s="36" t="s">
        <v>1053</v>
      </c>
      <c r="D371" s="36" t="s">
        <v>1339</v>
      </c>
      <c r="E371" s="36" t="s">
        <v>606</v>
      </c>
      <c r="F371" s="55">
        <f>'Stavební rozpočet'!F373</f>
        <v>1</v>
      </c>
      <c r="G371" s="55">
        <f>'Stavební rozpočet'!G373</f>
        <v>0</v>
      </c>
      <c r="H371" s="55">
        <f t="shared" si="378"/>
        <v>0</v>
      </c>
      <c r="I371" s="55">
        <f t="shared" si="379"/>
        <v>0</v>
      </c>
      <c r="J371" s="55">
        <f t="shared" si="380"/>
        <v>0</v>
      </c>
      <c r="K371" s="55">
        <f>'Stavební rozpočet'!K373</f>
        <v>0</v>
      </c>
      <c r="L371" s="55">
        <f t="shared" si="381"/>
        <v>0</v>
      </c>
      <c r="M371" s="51" t="s">
        <v>622</v>
      </c>
      <c r="Z371" s="29">
        <f t="shared" si="382"/>
        <v>0</v>
      </c>
      <c r="AB371" s="29">
        <f t="shared" si="383"/>
        <v>0</v>
      </c>
      <c r="AC371" s="29">
        <f t="shared" si="384"/>
        <v>0</v>
      </c>
      <c r="AD371" s="29">
        <f t="shared" si="385"/>
        <v>0</v>
      </c>
      <c r="AE371" s="29">
        <f t="shared" si="386"/>
        <v>0</v>
      </c>
      <c r="AF371" s="29">
        <f t="shared" si="387"/>
        <v>0</v>
      </c>
      <c r="AG371" s="29">
        <f t="shared" si="388"/>
        <v>0</v>
      </c>
      <c r="AH371" s="29">
        <f t="shared" si="389"/>
        <v>0</v>
      </c>
      <c r="AI371" s="48" t="s">
        <v>60</v>
      </c>
      <c r="AJ371" s="55">
        <f t="shared" si="390"/>
        <v>0</v>
      </c>
      <c r="AK371" s="55">
        <f t="shared" si="391"/>
        <v>0</v>
      </c>
      <c r="AL371" s="55">
        <f t="shared" si="392"/>
        <v>0</v>
      </c>
      <c r="AN371" s="29">
        <v>15</v>
      </c>
      <c r="AO371" s="29">
        <f t="shared" si="393"/>
        <v>0</v>
      </c>
      <c r="AP371" s="29">
        <f t="shared" si="394"/>
        <v>0</v>
      </c>
      <c r="AQ371" s="51" t="s">
        <v>85</v>
      </c>
      <c r="AV371" s="29">
        <f t="shared" si="395"/>
        <v>0</v>
      </c>
      <c r="AW371" s="29">
        <f t="shared" si="396"/>
        <v>0</v>
      </c>
      <c r="AX371" s="29">
        <f t="shared" si="397"/>
        <v>0</v>
      </c>
      <c r="AY371" s="54" t="s">
        <v>644</v>
      </c>
      <c r="AZ371" s="54" t="s">
        <v>1537</v>
      </c>
      <c r="BA371" s="48" t="s">
        <v>1542</v>
      </c>
      <c r="BC371" s="29">
        <f t="shared" si="398"/>
        <v>0</v>
      </c>
      <c r="BD371" s="29">
        <f t="shared" si="399"/>
        <v>0</v>
      </c>
      <c r="BE371" s="29">
        <v>0</v>
      </c>
      <c r="BF371" s="29">
        <f t="shared" si="400"/>
        <v>0</v>
      </c>
      <c r="BH371" s="55">
        <f t="shared" si="401"/>
        <v>0</v>
      </c>
      <c r="BI371" s="55">
        <f t="shared" si="402"/>
        <v>0</v>
      </c>
      <c r="BJ371" s="55">
        <f t="shared" si="403"/>
        <v>0</v>
      </c>
    </row>
    <row r="372" spans="1:62" ht="12.75">
      <c r="A372" s="36" t="s">
        <v>822</v>
      </c>
      <c r="B372" s="36" t="s">
        <v>60</v>
      </c>
      <c r="C372" s="36" t="s">
        <v>180</v>
      </c>
      <c r="D372" s="36" t="s">
        <v>1340</v>
      </c>
      <c r="E372" s="36" t="s">
        <v>606</v>
      </c>
      <c r="F372" s="55">
        <f>'Stavební rozpočet'!F374</f>
        <v>0</v>
      </c>
      <c r="G372" s="55">
        <f>'Stavební rozpočet'!G374</f>
        <v>0</v>
      </c>
      <c r="H372" s="55">
        <f t="shared" si="378"/>
        <v>0</v>
      </c>
      <c r="I372" s="55">
        <f t="shared" si="379"/>
        <v>0</v>
      </c>
      <c r="J372" s="55">
        <f t="shared" si="380"/>
        <v>0</v>
      </c>
      <c r="K372" s="55">
        <f>'Stavební rozpočet'!K374</f>
        <v>0</v>
      </c>
      <c r="L372" s="55">
        <f t="shared" si="381"/>
        <v>0</v>
      </c>
      <c r="M372" s="51" t="s">
        <v>622</v>
      </c>
      <c r="Z372" s="29">
        <f t="shared" si="382"/>
        <v>0</v>
      </c>
      <c r="AB372" s="29">
        <f t="shared" si="383"/>
        <v>0</v>
      </c>
      <c r="AC372" s="29">
        <f t="shared" si="384"/>
        <v>0</v>
      </c>
      <c r="AD372" s="29">
        <f t="shared" si="385"/>
        <v>0</v>
      </c>
      <c r="AE372" s="29">
        <f t="shared" si="386"/>
        <v>0</v>
      </c>
      <c r="AF372" s="29">
        <f t="shared" si="387"/>
        <v>0</v>
      </c>
      <c r="AG372" s="29">
        <f t="shared" si="388"/>
        <v>0</v>
      </c>
      <c r="AH372" s="29">
        <f t="shared" si="389"/>
        <v>0</v>
      </c>
      <c r="AI372" s="48" t="s">
        <v>60</v>
      </c>
      <c r="AJ372" s="55">
        <f t="shared" si="390"/>
        <v>0</v>
      </c>
      <c r="AK372" s="55">
        <f t="shared" si="391"/>
        <v>0</v>
      </c>
      <c r="AL372" s="55">
        <f t="shared" si="392"/>
        <v>0</v>
      </c>
      <c r="AN372" s="29">
        <v>15</v>
      </c>
      <c r="AO372" s="29">
        <f t="shared" si="393"/>
        <v>0</v>
      </c>
      <c r="AP372" s="29">
        <f t="shared" si="394"/>
        <v>0</v>
      </c>
      <c r="AQ372" s="51" t="s">
        <v>85</v>
      </c>
      <c r="AV372" s="29">
        <f t="shared" si="395"/>
        <v>0</v>
      </c>
      <c r="AW372" s="29">
        <f t="shared" si="396"/>
        <v>0</v>
      </c>
      <c r="AX372" s="29">
        <f t="shared" si="397"/>
        <v>0</v>
      </c>
      <c r="AY372" s="54" t="s">
        <v>644</v>
      </c>
      <c r="AZ372" s="54" t="s">
        <v>1537</v>
      </c>
      <c r="BA372" s="48" t="s">
        <v>1542</v>
      </c>
      <c r="BC372" s="29">
        <f t="shared" si="398"/>
        <v>0</v>
      </c>
      <c r="BD372" s="29">
        <f t="shared" si="399"/>
        <v>0</v>
      </c>
      <c r="BE372" s="29">
        <v>0</v>
      </c>
      <c r="BF372" s="29">
        <f t="shared" si="400"/>
        <v>0</v>
      </c>
      <c r="BH372" s="55">
        <f t="shared" si="401"/>
        <v>0</v>
      </c>
      <c r="BI372" s="55">
        <f t="shared" si="402"/>
        <v>0</v>
      </c>
      <c r="BJ372" s="55">
        <f t="shared" si="403"/>
        <v>0</v>
      </c>
    </row>
    <row r="373" spans="1:62" ht="12.75">
      <c r="A373" s="36" t="s">
        <v>823</v>
      </c>
      <c r="B373" s="36" t="s">
        <v>60</v>
      </c>
      <c r="C373" s="36" t="s">
        <v>1054</v>
      </c>
      <c r="D373" s="36" t="s">
        <v>1341</v>
      </c>
      <c r="E373" s="36" t="s">
        <v>606</v>
      </c>
      <c r="F373" s="55">
        <f>'Stavební rozpočet'!F375</f>
        <v>0</v>
      </c>
      <c r="G373" s="55">
        <f>'Stavební rozpočet'!G375</f>
        <v>0</v>
      </c>
      <c r="H373" s="55">
        <f t="shared" si="378"/>
        <v>0</v>
      </c>
      <c r="I373" s="55">
        <f t="shared" si="379"/>
        <v>0</v>
      </c>
      <c r="J373" s="55">
        <f t="shared" si="380"/>
        <v>0</v>
      </c>
      <c r="K373" s="55">
        <f>'Stavební rozpočet'!K375</f>
        <v>0</v>
      </c>
      <c r="L373" s="55">
        <f t="shared" si="381"/>
        <v>0</v>
      </c>
      <c r="M373" s="51" t="s">
        <v>622</v>
      </c>
      <c r="Z373" s="29">
        <f t="shared" si="382"/>
        <v>0</v>
      </c>
      <c r="AB373" s="29">
        <f t="shared" si="383"/>
        <v>0</v>
      </c>
      <c r="AC373" s="29">
        <f t="shared" si="384"/>
        <v>0</v>
      </c>
      <c r="AD373" s="29">
        <f t="shared" si="385"/>
        <v>0</v>
      </c>
      <c r="AE373" s="29">
        <f t="shared" si="386"/>
        <v>0</v>
      </c>
      <c r="AF373" s="29">
        <f t="shared" si="387"/>
        <v>0</v>
      </c>
      <c r="AG373" s="29">
        <f t="shared" si="388"/>
        <v>0</v>
      </c>
      <c r="AH373" s="29">
        <f t="shared" si="389"/>
        <v>0</v>
      </c>
      <c r="AI373" s="48" t="s">
        <v>60</v>
      </c>
      <c r="AJ373" s="55">
        <f t="shared" si="390"/>
        <v>0</v>
      </c>
      <c r="AK373" s="55">
        <f t="shared" si="391"/>
        <v>0</v>
      </c>
      <c r="AL373" s="55">
        <f t="shared" si="392"/>
        <v>0</v>
      </c>
      <c r="AN373" s="29">
        <v>15</v>
      </c>
      <c r="AO373" s="29">
        <f t="shared" si="393"/>
        <v>0</v>
      </c>
      <c r="AP373" s="29">
        <f t="shared" si="394"/>
        <v>0</v>
      </c>
      <c r="AQ373" s="51" t="s">
        <v>85</v>
      </c>
      <c r="AV373" s="29">
        <f t="shared" si="395"/>
        <v>0</v>
      </c>
      <c r="AW373" s="29">
        <f t="shared" si="396"/>
        <v>0</v>
      </c>
      <c r="AX373" s="29">
        <f t="shared" si="397"/>
        <v>0</v>
      </c>
      <c r="AY373" s="54" t="s">
        <v>644</v>
      </c>
      <c r="AZ373" s="54" t="s">
        <v>1537</v>
      </c>
      <c r="BA373" s="48" t="s">
        <v>1542</v>
      </c>
      <c r="BC373" s="29">
        <f t="shared" si="398"/>
        <v>0</v>
      </c>
      <c r="BD373" s="29">
        <f t="shared" si="399"/>
        <v>0</v>
      </c>
      <c r="BE373" s="29">
        <v>0</v>
      </c>
      <c r="BF373" s="29">
        <f t="shared" si="400"/>
        <v>0</v>
      </c>
      <c r="BH373" s="55">
        <f t="shared" si="401"/>
        <v>0</v>
      </c>
      <c r="BI373" s="55">
        <f t="shared" si="402"/>
        <v>0</v>
      </c>
      <c r="BJ373" s="55">
        <f t="shared" si="403"/>
        <v>0</v>
      </c>
    </row>
    <row r="374" spans="1:62" ht="12.75">
      <c r="A374" s="36" t="s">
        <v>824</v>
      </c>
      <c r="B374" s="36" t="s">
        <v>60</v>
      </c>
      <c r="C374" s="36" t="s">
        <v>1055</v>
      </c>
      <c r="D374" s="36" t="s">
        <v>1336</v>
      </c>
      <c r="E374" s="36" t="s">
        <v>606</v>
      </c>
      <c r="F374" s="55">
        <f>'Stavební rozpočet'!F376</f>
        <v>0</v>
      </c>
      <c r="G374" s="55">
        <f>'Stavební rozpočet'!G376</f>
        <v>0</v>
      </c>
      <c r="H374" s="55">
        <f t="shared" si="378"/>
        <v>0</v>
      </c>
      <c r="I374" s="55">
        <f t="shared" si="379"/>
        <v>0</v>
      </c>
      <c r="J374" s="55">
        <f t="shared" si="380"/>
        <v>0</v>
      </c>
      <c r="K374" s="55">
        <f>'Stavební rozpočet'!K376</f>
        <v>0</v>
      </c>
      <c r="L374" s="55">
        <f t="shared" si="381"/>
        <v>0</v>
      </c>
      <c r="M374" s="51" t="s">
        <v>622</v>
      </c>
      <c r="Z374" s="29">
        <f t="shared" si="382"/>
        <v>0</v>
      </c>
      <c r="AB374" s="29">
        <f t="shared" si="383"/>
        <v>0</v>
      </c>
      <c r="AC374" s="29">
        <f t="shared" si="384"/>
        <v>0</v>
      </c>
      <c r="AD374" s="29">
        <f t="shared" si="385"/>
        <v>0</v>
      </c>
      <c r="AE374" s="29">
        <f t="shared" si="386"/>
        <v>0</v>
      </c>
      <c r="AF374" s="29">
        <f t="shared" si="387"/>
        <v>0</v>
      </c>
      <c r="AG374" s="29">
        <f t="shared" si="388"/>
        <v>0</v>
      </c>
      <c r="AH374" s="29">
        <f t="shared" si="389"/>
        <v>0</v>
      </c>
      <c r="AI374" s="48" t="s">
        <v>60</v>
      </c>
      <c r="AJ374" s="55">
        <f t="shared" si="390"/>
        <v>0</v>
      </c>
      <c r="AK374" s="55">
        <f t="shared" si="391"/>
        <v>0</v>
      </c>
      <c r="AL374" s="55">
        <f t="shared" si="392"/>
        <v>0</v>
      </c>
      <c r="AN374" s="29">
        <v>15</v>
      </c>
      <c r="AO374" s="29">
        <f t="shared" si="393"/>
        <v>0</v>
      </c>
      <c r="AP374" s="29">
        <f t="shared" si="394"/>
        <v>0</v>
      </c>
      <c r="AQ374" s="51" t="s">
        <v>85</v>
      </c>
      <c r="AV374" s="29">
        <f t="shared" si="395"/>
        <v>0</v>
      </c>
      <c r="AW374" s="29">
        <f t="shared" si="396"/>
        <v>0</v>
      </c>
      <c r="AX374" s="29">
        <f t="shared" si="397"/>
        <v>0</v>
      </c>
      <c r="AY374" s="54" t="s">
        <v>644</v>
      </c>
      <c r="AZ374" s="54" t="s">
        <v>1537</v>
      </c>
      <c r="BA374" s="48" t="s">
        <v>1542</v>
      </c>
      <c r="BC374" s="29">
        <f t="shared" si="398"/>
        <v>0</v>
      </c>
      <c r="BD374" s="29">
        <f t="shared" si="399"/>
        <v>0</v>
      </c>
      <c r="BE374" s="29">
        <v>0</v>
      </c>
      <c r="BF374" s="29">
        <f t="shared" si="400"/>
        <v>0</v>
      </c>
      <c r="BH374" s="55">
        <f t="shared" si="401"/>
        <v>0</v>
      </c>
      <c r="BI374" s="55">
        <f t="shared" si="402"/>
        <v>0</v>
      </c>
      <c r="BJ374" s="55">
        <f t="shared" si="403"/>
        <v>0</v>
      </c>
    </row>
    <row r="375" spans="1:62" ht="12.75">
      <c r="A375" s="36" t="s">
        <v>825</v>
      </c>
      <c r="B375" s="36" t="s">
        <v>60</v>
      </c>
      <c r="C375" s="36" t="s">
        <v>1056</v>
      </c>
      <c r="D375" s="36" t="s">
        <v>1337</v>
      </c>
      <c r="E375" s="36" t="s">
        <v>606</v>
      </c>
      <c r="F375" s="55">
        <f>'Stavební rozpočet'!F377</f>
        <v>0</v>
      </c>
      <c r="G375" s="55">
        <f>'Stavební rozpočet'!G377</f>
        <v>0</v>
      </c>
      <c r="H375" s="55">
        <f t="shared" si="378"/>
        <v>0</v>
      </c>
      <c r="I375" s="55">
        <f t="shared" si="379"/>
        <v>0</v>
      </c>
      <c r="J375" s="55">
        <f t="shared" si="380"/>
        <v>0</v>
      </c>
      <c r="K375" s="55">
        <f>'Stavební rozpočet'!K377</f>
        <v>0</v>
      </c>
      <c r="L375" s="55">
        <f t="shared" si="381"/>
        <v>0</v>
      </c>
      <c r="M375" s="51" t="s">
        <v>622</v>
      </c>
      <c r="Z375" s="29">
        <f t="shared" si="382"/>
        <v>0</v>
      </c>
      <c r="AB375" s="29">
        <f t="shared" si="383"/>
        <v>0</v>
      </c>
      <c r="AC375" s="29">
        <f t="shared" si="384"/>
        <v>0</v>
      </c>
      <c r="AD375" s="29">
        <f t="shared" si="385"/>
        <v>0</v>
      </c>
      <c r="AE375" s="29">
        <f t="shared" si="386"/>
        <v>0</v>
      </c>
      <c r="AF375" s="29">
        <f t="shared" si="387"/>
        <v>0</v>
      </c>
      <c r="AG375" s="29">
        <f t="shared" si="388"/>
        <v>0</v>
      </c>
      <c r="AH375" s="29">
        <f t="shared" si="389"/>
        <v>0</v>
      </c>
      <c r="AI375" s="48" t="s">
        <v>60</v>
      </c>
      <c r="AJ375" s="55">
        <f t="shared" si="390"/>
        <v>0</v>
      </c>
      <c r="AK375" s="55">
        <f t="shared" si="391"/>
        <v>0</v>
      </c>
      <c r="AL375" s="55">
        <f t="shared" si="392"/>
        <v>0</v>
      </c>
      <c r="AN375" s="29">
        <v>15</v>
      </c>
      <c r="AO375" s="29">
        <f t="shared" si="393"/>
        <v>0</v>
      </c>
      <c r="AP375" s="29">
        <f t="shared" si="394"/>
        <v>0</v>
      </c>
      <c r="AQ375" s="51" t="s">
        <v>85</v>
      </c>
      <c r="AV375" s="29">
        <f t="shared" si="395"/>
        <v>0</v>
      </c>
      <c r="AW375" s="29">
        <f t="shared" si="396"/>
        <v>0</v>
      </c>
      <c r="AX375" s="29">
        <f t="shared" si="397"/>
        <v>0</v>
      </c>
      <c r="AY375" s="54" t="s">
        <v>644</v>
      </c>
      <c r="AZ375" s="54" t="s">
        <v>1537</v>
      </c>
      <c r="BA375" s="48" t="s">
        <v>1542</v>
      </c>
      <c r="BC375" s="29">
        <f t="shared" si="398"/>
        <v>0</v>
      </c>
      <c r="BD375" s="29">
        <f t="shared" si="399"/>
        <v>0</v>
      </c>
      <c r="BE375" s="29">
        <v>0</v>
      </c>
      <c r="BF375" s="29">
        <f t="shared" si="400"/>
        <v>0</v>
      </c>
      <c r="BH375" s="55">
        <f t="shared" si="401"/>
        <v>0</v>
      </c>
      <c r="BI375" s="55">
        <f t="shared" si="402"/>
        <v>0</v>
      </c>
      <c r="BJ375" s="55">
        <f t="shared" si="403"/>
        <v>0</v>
      </c>
    </row>
    <row r="376" spans="1:62" ht="12.75">
      <c r="A376" s="36" t="s">
        <v>826</v>
      </c>
      <c r="B376" s="36" t="s">
        <v>60</v>
      </c>
      <c r="C376" s="36" t="s">
        <v>1057</v>
      </c>
      <c r="D376" s="36" t="s">
        <v>1338</v>
      </c>
      <c r="E376" s="36" t="s">
        <v>606</v>
      </c>
      <c r="F376" s="55">
        <f>'Stavební rozpočet'!F378</f>
        <v>0</v>
      </c>
      <c r="G376" s="55">
        <f>'Stavební rozpočet'!G378</f>
        <v>0</v>
      </c>
      <c r="H376" s="55">
        <f t="shared" si="378"/>
        <v>0</v>
      </c>
      <c r="I376" s="55">
        <f t="shared" si="379"/>
        <v>0</v>
      </c>
      <c r="J376" s="55">
        <f t="shared" si="380"/>
        <v>0</v>
      </c>
      <c r="K376" s="55">
        <f>'Stavební rozpočet'!K378</f>
        <v>0</v>
      </c>
      <c r="L376" s="55">
        <f t="shared" si="381"/>
        <v>0</v>
      </c>
      <c r="M376" s="51" t="s">
        <v>622</v>
      </c>
      <c r="Z376" s="29">
        <f t="shared" si="382"/>
        <v>0</v>
      </c>
      <c r="AB376" s="29">
        <f t="shared" si="383"/>
        <v>0</v>
      </c>
      <c r="AC376" s="29">
        <f t="shared" si="384"/>
        <v>0</v>
      </c>
      <c r="AD376" s="29">
        <f t="shared" si="385"/>
        <v>0</v>
      </c>
      <c r="AE376" s="29">
        <f t="shared" si="386"/>
        <v>0</v>
      </c>
      <c r="AF376" s="29">
        <f t="shared" si="387"/>
        <v>0</v>
      </c>
      <c r="AG376" s="29">
        <f t="shared" si="388"/>
        <v>0</v>
      </c>
      <c r="AH376" s="29">
        <f t="shared" si="389"/>
        <v>0</v>
      </c>
      <c r="AI376" s="48" t="s">
        <v>60</v>
      </c>
      <c r="AJ376" s="55">
        <f t="shared" si="390"/>
        <v>0</v>
      </c>
      <c r="AK376" s="55">
        <f t="shared" si="391"/>
        <v>0</v>
      </c>
      <c r="AL376" s="55">
        <f t="shared" si="392"/>
        <v>0</v>
      </c>
      <c r="AN376" s="29">
        <v>15</v>
      </c>
      <c r="AO376" s="29">
        <f t="shared" si="393"/>
        <v>0</v>
      </c>
      <c r="AP376" s="29">
        <f t="shared" si="394"/>
        <v>0</v>
      </c>
      <c r="AQ376" s="51" t="s">
        <v>85</v>
      </c>
      <c r="AV376" s="29">
        <f t="shared" si="395"/>
        <v>0</v>
      </c>
      <c r="AW376" s="29">
        <f t="shared" si="396"/>
        <v>0</v>
      </c>
      <c r="AX376" s="29">
        <f t="shared" si="397"/>
        <v>0</v>
      </c>
      <c r="AY376" s="54" t="s">
        <v>644</v>
      </c>
      <c r="AZ376" s="54" t="s">
        <v>1537</v>
      </c>
      <c r="BA376" s="48" t="s">
        <v>1542</v>
      </c>
      <c r="BC376" s="29">
        <f t="shared" si="398"/>
        <v>0</v>
      </c>
      <c r="BD376" s="29">
        <f t="shared" si="399"/>
        <v>0</v>
      </c>
      <c r="BE376" s="29">
        <v>0</v>
      </c>
      <c r="BF376" s="29">
        <f t="shared" si="400"/>
        <v>0</v>
      </c>
      <c r="BH376" s="55">
        <f t="shared" si="401"/>
        <v>0</v>
      </c>
      <c r="BI376" s="55">
        <f t="shared" si="402"/>
        <v>0</v>
      </c>
      <c r="BJ376" s="55">
        <f t="shared" si="403"/>
        <v>0</v>
      </c>
    </row>
    <row r="377" spans="1:62" ht="12.75">
      <c r="A377" s="36" t="s">
        <v>827</v>
      </c>
      <c r="B377" s="36" t="s">
        <v>60</v>
      </c>
      <c r="C377" s="36" t="s">
        <v>1058</v>
      </c>
      <c r="D377" s="36" t="s">
        <v>1339</v>
      </c>
      <c r="E377" s="36" t="s">
        <v>606</v>
      </c>
      <c r="F377" s="55">
        <f>'Stavební rozpočet'!F379</f>
        <v>0</v>
      </c>
      <c r="G377" s="55">
        <f>'Stavební rozpočet'!G379</f>
        <v>0</v>
      </c>
      <c r="H377" s="55">
        <f t="shared" si="378"/>
        <v>0</v>
      </c>
      <c r="I377" s="55">
        <f t="shared" si="379"/>
        <v>0</v>
      </c>
      <c r="J377" s="55">
        <f t="shared" si="380"/>
        <v>0</v>
      </c>
      <c r="K377" s="55">
        <f>'Stavební rozpočet'!K379</f>
        <v>0</v>
      </c>
      <c r="L377" s="55">
        <f t="shared" si="381"/>
        <v>0</v>
      </c>
      <c r="M377" s="51" t="s">
        <v>622</v>
      </c>
      <c r="Z377" s="29">
        <f t="shared" si="382"/>
        <v>0</v>
      </c>
      <c r="AB377" s="29">
        <f t="shared" si="383"/>
        <v>0</v>
      </c>
      <c r="AC377" s="29">
        <f t="shared" si="384"/>
        <v>0</v>
      </c>
      <c r="AD377" s="29">
        <f t="shared" si="385"/>
        <v>0</v>
      </c>
      <c r="AE377" s="29">
        <f t="shared" si="386"/>
        <v>0</v>
      </c>
      <c r="AF377" s="29">
        <f t="shared" si="387"/>
        <v>0</v>
      </c>
      <c r="AG377" s="29">
        <f t="shared" si="388"/>
        <v>0</v>
      </c>
      <c r="AH377" s="29">
        <f t="shared" si="389"/>
        <v>0</v>
      </c>
      <c r="AI377" s="48" t="s">
        <v>60</v>
      </c>
      <c r="AJ377" s="55">
        <f t="shared" si="390"/>
        <v>0</v>
      </c>
      <c r="AK377" s="55">
        <f t="shared" si="391"/>
        <v>0</v>
      </c>
      <c r="AL377" s="55">
        <f t="shared" si="392"/>
        <v>0</v>
      </c>
      <c r="AN377" s="29">
        <v>15</v>
      </c>
      <c r="AO377" s="29">
        <f t="shared" si="393"/>
        <v>0</v>
      </c>
      <c r="AP377" s="29">
        <f t="shared" si="394"/>
        <v>0</v>
      </c>
      <c r="AQ377" s="51" t="s">
        <v>85</v>
      </c>
      <c r="AV377" s="29">
        <f t="shared" si="395"/>
        <v>0</v>
      </c>
      <c r="AW377" s="29">
        <f t="shared" si="396"/>
        <v>0</v>
      </c>
      <c r="AX377" s="29">
        <f t="shared" si="397"/>
        <v>0</v>
      </c>
      <c r="AY377" s="54" t="s">
        <v>644</v>
      </c>
      <c r="AZ377" s="54" t="s">
        <v>1537</v>
      </c>
      <c r="BA377" s="48" t="s">
        <v>1542</v>
      </c>
      <c r="BC377" s="29">
        <f t="shared" si="398"/>
        <v>0</v>
      </c>
      <c r="BD377" s="29">
        <f t="shared" si="399"/>
        <v>0</v>
      </c>
      <c r="BE377" s="29">
        <v>0</v>
      </c>
      <c r="BF377" s="29">
        <f t="shared" si="400"/>
        <v>0</v>
      </c>
      <c r="BH377" s="55">
        <f t="shared" si="401"/>
        <v>0</v>
      </c>
      <c r="BI377" s="55">
        <f t="shared" si="402"/>
        <v>0</v>
      </c>
      <c r="BJ377" s="55">
        <f t="shared" si="403"/>
        <v>0</v>
      </c>
    </row>
    <row r="378" spans="1:62" ht="12.75">
      <c r="A378" s="36" t="s">
        <v>828</v>
      </c>
      <c r="B378" s="36" t="s">
        <v>60</v>
      </c>
      <c r="C378" s="36" t="s">
        <v>181</v>
      </c>
      <c r="D378" s="36" t="s">
        <v>1342</v>
      </c>
      <c r="E378" s="36" t="s">
        <v>609</v>
      </c>
      <c r="F378" s="55">
        <f>'Stavební rozpočet'!F380</f>
        <v>0.8</v>
      </c>
      <c r="G378" s="55">
        <f>'Stavební rozpočet'!G380</f>
        <v>0</v>
      </c>
      <c r="H378" s="55">
        <f t="shared" si="378"/>
        <v>0</v>
      </c>
      <c r="I378" s="55">
        <f t="shared" si="379"/>
        <v>0</v>
      </c>
      <c r="J378" s="55">
        <f t="shared" si="380"/>
        <v>0</v>
      </c>
      <c r="K378" s="55">
        <f>'Stavební rozpočet'!K380</f>
        <v>0</v>
      </c>
      <c r="L378" s="55">
        <f t="shared" si="381"/>
        <v>0</v>
      </c>
      <c r="M378" s="51" t="s">
        <v>622</v>
      </c>
      <c r="Z378" s="29">
        <f t="shared" si="382"/>
        <v>0</v>
      </c>
      <c r="AB378" s="29">
        <f t="shared" si="383"/>
        <v>0</v>
      </c>
      <c r="AC378" s="29">
        <f t="shared" si="384"/>
        <v>0</v>
      </c>
      <c r="AD378" s="29">
        <f t="shared" si="385"/>
        <v>0</v>
      </c>
      <c r="AE378" s="29">
        <f t="shared" si="386"/>
        <v>0</v>
      </c>
      <c r="AF378" s="29">
        <f t="shared" si="387"/>
        <v>0</v>
      </c>
      <c r="AG378" s="29">
        <f t="shared" si="388"/>
        <v>0</v>
      </c>
      <c r="AH378" s="29">
        <f t="shared" si="389"/>
        <v>0</v>
      </c>
      <c r="AI378" s="48" t="s">
        <v>60</v>
      </c>
      <c r="AJ378" s="55">
        <f t="shared" si="390"/>
        <v>0</v>
      </c>
      <c r="AK378" s="55">
        <f t="shared" si="391"/>
        <v>0</v>
      </c>
      <c r="AL378" s="55">
        <f t="shared" si="392"/>
        <v>0</v>
      </c>
      <c r="AN378" s="29">
        <v>15</v>
      </c>
      <c r="AO378" s="29">
        <f t="shared" si="393"/>
        <v>0</v>
      </c>
      <c r="AP378" s="29">
        <f t="shared" si="394"/>
        <v>0</v>
      </c>
      <c r="AQ378" s="51" t="s">
        <v>85</v>
      </c>
      <c r="AV378" s="29">
        <f t="shared" si="395"/>
        <v>0</v>
      </c>
      <c r="AW378" s="29">
        <f t="shared" si="396"/>
        <v>0</v>
      </c>
      <c r="AX378" s="29">
        <f t="shared" si="397"/>
        <v>0</v>
      </c>
      <c r="AY378" s="54" t="s">
        <v>644</v>
      </c>
      <c r="AZ378" s="54" t="s">
        <v>1537</v>
      </c>
      <c r="BA378" s="48" t="s">
        <v>1542</v>
      </c>
      <c r="BC378" s="29">
        <f t="shared" si="398"/>
        <v>0</v>
      </c>
      <c r="BD378" s="29">
        <f t="shared" si="399"/>
        <v>0</v>
      </c>
      <c r="BE378" s="29">
        <v>0</v>
      </c>
      <c r="BF378" s="29">
        <f t="shared" si="400"/>
        <v>0</v>
      </c>
      <c r="BH378" s="55">
        <f t="shared" si="401"/>
        <v>0</v>
      </c>
      <c r="BI378" s="55">
        <f t="shared" si="402"/>
        <v>0</v>
      </c>
      <c r="BJ378" s="55">
        <f t="shared" si="403"/>
        <v>0</v>
      </c>
    </row>
    <row r="379" spans="1:62" ht="12.75">
      <c r="A379" s="36" t="s">
        <v>829</v>
      </c>
      <c r="B379" s="36" t="s">
        <v>60</v>
      </c>
      <c r="C379" s="36" t="s">
        <v>182</v>
      </c>
      <c r="D379" s="36" t="s">
        <v>1343</v>
      </c>
      <c r="E379" s="36" t="s">
        <v>609</v>
      </c>
      <c r="F379" s="55">
        <f>'Stavební rozpočet'!F381</f>
        <v>0</v>
      </c>
      <c r="G379" s="55">
        <f>'Stavební rozpočet'!G381</f>
        <v>0</v>
      </c>
      <c r="H379" s="55">
        <f t="shared" si="378"/>
        <v>0</v>
      </c>
      <c r="I379" s="55">
        <f t="shared" si="379"/>
        <v>0</v>
      </c>
      <c r="J379" s="55">
        <f t="shared" si="380"/>
        <v>0</v>
      </c>
      <c r="K379" s="55">
        <f>'Stavební rozpočet'!K381</f>
        <v>0</v>
      </c>
      <c r="L379" s="55">
        <f t="shared" si="381"/>
        <v>0</v>
      </c>
      <c r="M379" s="51" t="s">
        <v>622</v>
      </c>
      <c r="Z379" s="29">
        <f t="shared" si="382"/>
        <v>0</v>
      </c>
      <c r="AB379" s="29">
        <f t="shared" si="383"/>
        <v>0</v>
      </c>
      <c r="AC379" s="29">
        <f t="shared" si="384"/>
        <v>0</v>
      </c>
      <c r="AD379" s="29">
        <f t="shared" si="385"/>
        <v>0</v>
      </c>
      <c r="AE379" s="29">
        <f t="shared" si="386"/>
        <v>0</v>
      </c>
      <c r="AF379" s="29">
        <f t="shared" si="387"/>
        <v>0</v>
      </c>
      <c r="AG379" s="29">
        <f t="shared" si="388"/>
        <v>0</v>
      </c>
      <c r="AH379" s="29">
        <f t="shared" si="389"/>
        <v>0</v>
      </c>
      <c r="AI379" s="48" t="s">
        <v>60</v>
      </c>
      <c r="AJ379" s="55">
        <f t="shared" si="390"/>
        <v>0</v>
      </c>
      <c r="AK379" s="55">
        <f t="shared" si="391"/>
        <v>0</v>
      </c>
      <c r="AL379" s="55">
        <f t="shared" si="392"/>
        <v>0</v>
      </c>
      <c r="AN379" s="29">
        <v>15</v>
      </c>
      <c r="AO379" s="29">
        <f t="shared" si="393"/>
        <v>0</v>
      </c>
      <c r="AP379" s="29">
        <f t="shared" si="394"/>
        <v>0</v>
      </c>
      <c r="AQ379" s="51" t="s">
        <v>85</v>
      </c>
      <c r="AV379" s="29">
        <f t="shared" si="395"/>
        <v>0</v>
      </c>
      <c r="AW379" s="29">
        <f t="shared" si="396"/>
        <v>0</v>
      </c>
      <c r="AX379" s="29">
        <f t="shared" si="397"/>
        <v>0</v>
      </c>
      <c r="AY379" s="54" t="s">
        <v>644</v>
      </c>
      <c r="AZ379" s="54" t="s">
        <v>1537</v>
      </c>
      <c r="BA379" s="48" t="s">
        <v>1542</v>
      </c>
      <c r="BC379" s="29">
        <f t="shared" si="398"/>
        <v>0</v>
      </c>
      <c r="BD379" s="29">
        <f t="shared" si="399"/>
        <v>0</v>
      </c>
      <c r="BE379" s="29">
        <v>0</v>
      </c>
      <c r="BF379" s="29">
        <f t="shared" si="400"/>
        <v>0</v>
      </c>
      <c r="BH379" s="55">
        <f t="shared" si="401"/>
        <v>0</v>
      </c>
      <c r="BI379" s="55">
        <f t="shared" si="402"/>
        <v>0</v>
      </c>
      <c r="BJ379" s="55">
        <f t="shared" si="403"/>
        <v>0</v>
      </c>
    </row>
    <row r="380" spans="1:62" ht="12.75">
      <c r="A380" s="36" t="s">
        <v>830</v>
      </c>
      <c r="B380" s="36" t="s">
        <v>60</v>
      </c>
      <c r="C380" s="36" t="s">
        <v>183</v>
      </c>
      <c r="D380" s="36" t="s">
        <v>1344</v>
      </c>
      <c r="E380" s="36" t="s">
        <v>609</v>
      </c>
      <c r="F380" s="55">
        <f>'Stavební rozpočet'!F382</f>
        <v>6.1</v>
      </c>
      <c r="G380" s="55">
        <f>'Stavební rozpočet'!G382</f>
        <v>0</v>
      </c>
      <c r="H380" s="55">
        <f t="shared" si="378"/>
        <v>0</v>
      </c>
      <c r="I380" s="55">
        <f t="shared" si="379"/>
        <v>0</v>
      </c>
      <c r="J380" s="55">
        <f t="shared" si="380"/>
        <v>0</v>
      </c>
      <c r="K380" s="55">
        <f>'Stavební rozpočet'!K382</f>
        <v>0</v>
      </c>
      <c r="L380" s="55">
        <f t="shared" si="381"/>
        <v>0</v>
      </c>
      <c r="M380" s="51" t="s">
        <v>622</v>
      </c>
      <c r="Z380" s="29">
        <f t="shared" si="382"/>
        <v>0</v>
      </c>
      <c r="AB380" s="29">
        <f t="shared" si="383"/>
        <v>0</v>
      </c>
      <c r="AC380" s="29">
        <f t="shared" si="384"/>
        <v>0</v>
      </c>
      <c r="AD380" s="29">
        <f t="shared" si="385"/>
        <v>0</v>
      </c>
      <c r="AE380" s="29">
        <f t="shared" si="386"/>
        <v>0</v>
      </c>
      <c r="AF380" s="29">
        <f t="shared" si="387"/>
        <v>0</v>
      </c>
      <c r="AG380" s="29">
        <f t="shared" si="388"/>
        <v>0</v>
      </c>
      <c r="AH380" s="29">
        <f t="shared" si="389"/>
        <v>0</v>
      </c>
      <c r="AI380" s="48" t="s">
        <v>60</v>
      </c>
      <c r="AJ380" s="55">
        <f t="shared" si="390"/>
        <v>0</v>
      </c>
      <c r="AK380" s="55">
        <f t="shared" si="391"/>
        <v>0</v>
      </c>
      <c r="AL380" s="55">
        <f t="shared" si="392"/>
        <v>0</v>
      </c>
      <c r="AN380" s="29">
        <v>15</v>
      </c>
      <c r="AO380" s="29">
        <f t="shared" si="393"/>
        <v>0</v>
      </c>
      <c r="AP380" s="29">
        <f t="shared" si="394"/>
        <v>0</v>
      </c>
      <c r="AQ380" s="51" t="s">
        <v>85</v>
      </c>
      <c r="AV380" s="29">
        <f t="shared" si="395"/>
        <v>0</v>
      </c>
      <c r="AW380" s="29">
        <f t="shared" si="396"/>
        <v>0</v>
      </c>
      <c r="AX380" s="29">
        <f t="shared" si="397"/>
        <v>0</v>
      </c>
      <c r="AY380" s="54" t="s">
        <v>644</v>
      </c>
      <c r="AZ380" s="54" t="s">
        <v>1537</v>
      </c>
      <c r="BA380" s="48" t="s">
        <v>1542</v>
      </c>
      <c r="BC380" s="29">
        <f t="shared" si="398"/>
        <v>0</v>
      </c>
      <c r="BD380" s="29">
        <f t="shared" si="399"/>
        <v>0</v>
      </c>
      <c r="BE380" s="29">
        <v>0</v>
      </c>
      <c r="BF380" s="29">
        <f t="shared" si="400"/>
        <v>0</v>
      </c>
      <c r="BH380" s="55">
        <f t="shared" si="401"/>
        <v>0</v>
      </c>
      <c r="BI380" s="55">
        <f t="shared" si="402"/>
        <v>0</v>
      </c>
      <c r="BJ380" s="55">
        <f t="shared" si="403"/>
        <v>0</v>
      </c>
    </row>
    <row r="381" spans="1:62" ht="12.75">
      <c r="A381" s="36" t="s">
        <v>831</v>
      </c>
      <c r="B381" s="36" t="s">
        <v>60</v>
      </c>
      <c r="C381" s="36" t="s">
        <v>184</v>
      </c>
      <c r="D381" s="36" t="s">
        <v>1345</v>
      </c>
      <c r="E381" s="36" t="s">
        <v>609</v>
      </c>
      <c r="F381" s="55">
        <f>'Stavební rozpočet'!F383</f>
        <v>6.4</v>
      </c>
      <c r="G381" s="55">
        <f>'Stavební rozpočet'!G383</f>
        <v>0</v>
      </c>
      <c r="H381" s="55">
        <f t="shared" si="378"/>
        <v>0</v>
      </c>
      <c r="I381" s="55">
        <f t="shared" si="379"/>
        <v>0</v>
      </c>
      <c r="J381" s="55">
        <f t="shared" si="380"/>
        <v>0</v>
      </c>
      <c r="K381" s="55">
        <f>'Stavební rozpočet'!K383</f>
        <v>0</v>
      </c>
      <c r="L381" s="55">
        <f t="shared" si="381"/>
        <v>0</v>
      </c>
      <c r="M381" s="51" t="s">
        <v>622</v>
      </c>
      <c r="Z381" s="29">
        <f t="shared" si="382"/>
        <v>0</v>
      </c>
      <c r="AB381" s="29">
        <f t="shared" si="383"/>
        <v>0</v>
      </c>
      <c r="AC381" s="29">
        <f t="shared" si="384"/>
        <v>0</v>
      </c>
      <c r="AD381" s="29">
        <f t="shared" si="385"/>
        <v>0</v>
      </c>
      <c r="AE381" s="29">
        <f t="shared" si="386"/>
        <v>0</v>
      </c>
      <c r="AF381" s="29">
        <f t="shared" si="387"/>
        <v>0</v>
      </c>
      <c r="AG381" s="29">
        <f t="shared" si="388"/>
        <v>0</v>
      </c>
      <c r="AH381" s="29">
        <f t="shared" si="389"/>
        <v>0</v>
      </c>
      <c r="AI381" s="48" t="s">
        <v>60</v>
      </c>
      <c r="AJ381" s="55">
        <f t="shared" si="390"/>
        <v>0</v>
      </c>
      <c r="AK381" s="55">
        <f t="shared" si="391"/>
        <v>0</v>
      </c>
      <c r="AL381" s="55">
        <f t="shared" si="392"/>
        <v>0</v>
      </c>
      <c r="AN381" s="29">
        <v>15</v>
      </c>
      <c r="AO381" s="29">
        <f t="shared" si="393"/>
        <v>0</v>
      </c>
      <c r="AP381" s="29">
        <f t="shared" si="394"/>
        <v>0</v>
      </c>
      <c r="AQ381" s="51" t="s">
        <v>85</v>
      </c>
      <c r="AV381" s="29">
        <f t="shared" si="395"/>
        <v>0</v>
      </c>
      <c r="AW381" s="29">
        <f t="shared" si="396"/>
        <v>0</v>
      </c>
      <c r="AX381" s="29">
        <f t="shared" si="397"/>
        <v>0</v>
      </c>
      <c r="AY381" s="54" t="s">
        <v>644</v>
      </c>
      <c r="AZ381" s="54" t="s">
        <v>1537</v>
      </c>
      <c r="BA381" s="48" t="s">
        <v>1542</v>
      </c>
      <c r="BC381" s="29">
        <f t="shared" si="398"/>
        <v>0</v>
      </c>
      <c r="BD381" s="29">
        <f t="shared" si="399"/>
        <v>0</v>
      </c>
      <c r="BE381" s="29">
        <v>0</v>
      </c>
      <c r="BF381" s="29">
        <f t="shared" si="400"/>
        <v>0</v>
      </c>
      <c r="BH381" s="55">
        <f t="shared" si="401"/>
        <v>0</v>
      </c>
      <c r="BI381" s="55">
        <f t="shared" si="402"/>
        <v>0</v>
      </c>
      <c r="BJ381" s="55">
        <f t="shared" si="403"/>
        <v>0</v>
      </c>
    </row>
    <row r="382" spans="1:62" ht="12.75">
      <c r="A382" s="36" t="s">
        <v>832</v>
      </c>
      <c r="B382" s="36" t="s">
        <v>60</v>
      </c>
      <c r="C382" s="36" t="s">
        <v>185</v>
      </c>
      <c r="D382" s="36" t="s">
        <v>1346</v>
      </c>
      <c r="E382" s="36" t="s">
        <v>609</v>
      </c>
      <c r="F382" s="55">
        <f>'Stavební rozpočet'!F384</f>
        <v>9.2</v>
      </c>
      <c r="G382" s="55">
        <f>'Stavební rozpočet'!G384</f>
        <v>0</v>
      </c>
      <c r="H382" s="55">
        <f t="shared" si="378"/>
        <v>0</v>
      </c>
      <c r="I382" s="55">
        <f t="shared" si="379"/>
        <v>0</v>
      </c>
      <c r="J382" s="55">
        <f t="shared" si="380"/>
        <v>0</v>
      </c>
      <c r="K382" s="55">
        <f>'Stavební rozpočet'!K384</f>
        <v>0</v>
      </c>
      <c r="L382" s="55">
        <f t="shared" si="381"/>
        <v>0</v>
      </c>
      <c r="M382" s="51" t="s">
        <v>622</v>
      </c>
      <c r="Z382" s="29">
        <f t="shared" si="382"/>
        <v>0</v>
      </c>
      <c r="AB382" s="29">
        <f t="shared" si="383"/>
        <v>0</v>
      </c>
      <c r="AC382" s="29">
        <f t="shared" si="384"/>
        <v>0</v>
      </c>
      <c r="AD382" s="29">
        <f t="shared" si="385"/>
        <v>0</v>
      </c>
      <c r="AE382" s="29">
        <f t="shared" si="386"/>
        <v>0</v>
      </c>
      <c r="AF382" s="29">
        <f t="shared" si="387"/>
        <v>0</v>
      </c>
      <c r="AG382" s="29">
        <f t="shared" si="388"/>
        <v>0</v>
      </c>
      <c r="AH382" s="29">
        <f t="shared" si="389"/>
        <v>0</v>
      </c>
      <c r="AI382" s="48" t="s">
        <v>60</v>
      </c>
      <c r="AJ382" s="55">
        <f t="shared" si="390"/>
        <v>0</v>
      </c>
      <c r="AK382" s="55">
        <f t="shared" si="391"/>
        <v>0</v>
      </c>
      <c r="AL382" s="55">
        <f t="shared" si="392"/>
        <v>0</v>
      </c>
      <c r="AN382" s="29">
        <v>15</v>
      </c>
      <c r="AO382" s="29">
        <f t="shared" si="393"/>
        <v>0</v>
      </c>
      <c r="AP382" s="29">
        <f t="shared" si="394"/>
        <v>0</v>
      </c>
      <c r="AQ382" s="51" t="s">
        <v>85</v>
      </c>
      <c r="AV382" s="29">
        <f t="shared" si="395"/>
        <v>0</v>
      </c>
      <c r="AW382" s="29">
        <f t="shared" si="396"/>
        <v>0</v>
      </c>
      <c r="AX382" s="29">
        <f t="shared" si="397"/>
        <v>0</v>
      </c>
      <c r="AY382" s="54" t="s">
        <v>644</v>
      </c>
      <c r="AZ382" s="54" t="s">
        <v>1537</v>
      </c>
      <c r="BA382" s="48" t="s">
        <v>1542</v>
      </c>
      <c r="BC382" s="29">
        <f t="shared" si="398"/>
        <v>0</v>
      </c>
      <c r="BD382" s="29">
        <f t="shared" si="399"/>
        <v>0</v>
      </c>
      <c r="BE382" s="29">
        <v>0</v>
      </c>
      <c r="BF382" s="29">
        <f t="shared" si="400"/>
        <v>0</v>
      </c>
      <c r="BH382" s="55">
        <f t="shared" si="401"/>
        <v>0</v>
      </c>
      <c r="BI382" s="55">
        <f t="shared" si="402"/>
        <v>0</v>
      </c>
      <c r="BJ382" s="55">
        <f t="shared" si="403"/>
        <v>0</v>
      </c>
    </row>
    <row r="383" spans="1:62" ht="12.75">
      <c r="A383" s="36" t="s">
        <v>833</v>
      </c>
      <c r="B383" s="36" t="s">
        <v>60</v>
      </c>
      <c r="C383" s="36" t="s">
        <v>186</v>
      </c>
      <c r="D383" s="36" t="s">
        <v>1347</v>
      </c>
      <c r="E383" s="36" t="s">
        <v>609</v>
      </c>
      <c r="F383" s="55">
        <f>'Stavební rozpočet'!F385</f>
        <v>9.1</v>
      </c>
      <c r="G383" s="55">
        <f>'Stavební rozpočet'!G385</f>
        <v>0</v>
      </c>
      <c r="H383" s="55">
        <f t="shared" si="378"/>
        <v>0</v>
      </c>
      <c r="I383" s="55">
        <f t="shared" si="379"/>
        <v>0</v>
      </c>
      <c r="J383" s="55">
        <f t="shared" si="380"/>
        <v>0</v>
      </c>
      <c r="K383" s="55">
        <f>'Stavební rozpočet'!K385</f>
        <v>0</v>
      </c>
      <c r="L383" s="55">
        <f t="shared" si="381"/>
        <v>0</v>
      </c>
      <c r="M383" s="51" t="s">
        <v>622</v>
      </c>
      <c r="Z383" s="29">
        <f t="shared" si="382"/>
        <v>0</v>
      </c>
      <c r="AB383" s="29">
        <f t="shared" si="383"/>
        <v>0</v>
      </c>
      <c r="AC383" s="29">
        <f t="shared" si="384"/>
        <v>0</v>
      </c>
      <c r="AD383" s="29">
        <f t="shared" si="385"/>
        <v>0</v>
      </c>
      <c r="AE383" s="29">
        <f t="shared" si="386"/>
        <v>0</v>
      </c>
      <c r="AF383" s="29">
        <f t="shared" si="387"/>
        <v>0</v>
      </c>
      <c r="AG383" s="29">
        <f t="shared" si="388"/>
        <v>0</v>
      </c>
      <c r="AH383" s="29">
        <f t="shared" si="389"/>
        <v>0</v>
      </c>
      <c r="AI383" s="48" t="s">
        <v>60</v>
      </c>
      <c r="AJ383" s="55">
        <f t="shared" si="390"/>
        <v>0</v>
      </c>
      <c r="AK383" s="55">
        <f t="shared" si="391"/>
        <v>0</v>
      </c>
      <c r="AL383" s="55">
        <f t="shared" si="392"/>
        <v>0</v>
      </c>
      <c r="AN383" s="29">
        <v>15</v>
      </c>
      <c r="AO383" s="29">
        <f t="shared" si="393"/>
        <v>0</v>
      </c>
      <c r="AP383" s="29">
        <f t="shared" si="394"/>
        <v>0</v>
      </c>
      <c r="AQ383" s="51" t="s">
        <v>85</v>
      </c>
      <c r="AV383" s="29">
        <f t="shared" si="395"/>
        <v>0</v>
      </c>
      <c r="AW383" s="29">
        <f t="shared" si="396"/>
        <v>0</v>
      </c>
      <c r="AX383" s="29">
        <f t="shared" si="397"/>
        <v>0</v>
      </c>
      <c r="AY383" s="54" t="s">
        <v>644</v>
      </c>
      <c r="AZ383" s="54" t="s">
        <v>1537</v>
      </c>
      <c r="BA383" s="48" t="s">
        <v>1542</v>
      </c>
      <c r="BC383" s="29">
        <f t="shared" si="398"/>
        <v>0</v>
      </c>
      <c r="BD383" s="29">
        <f t="shared" si="399"/>
        <v>0</v>
      </c>
      <c r="BE383" s="29">
        <v>0</v>
      </c>
      <c r="BF383" s="29">
        <f t="shared" si="400"/>
        <v>0</v>
      </c>
      <c r="BH383" s="55">
        <f t="shared" si="401"/>
        <v>0</v>
      </c>
      <c r="BI383" s="55">
        <f t="shared" si="402"/>
        <v>0</v>
      </c>
      <c r="BJ383" s="55">
        <f t="shared" si="403"/>
        <v>0</v>
      </c>
    </row>
    <row r="384" spans="1:62" ht="12.75">
      <c r="A384" s="36" t="s">
        <v>834</v>
      </c>
      <c r="B384" s="36" t="s">
        <v>60</v>
      </c>
      <c r="C384" s="36" t="s">
        <v>187</v>
      </c>
      <c r="D384" s="36" t="s">
        <v>1348</v>
      </c>
      <c r="E384" s="36" t="s">
        <v>609</v>
      </c>
      <c r="F384" s="55">
        <f>'Stavební rozpočet'!F386</f>
        <v>0</v>
      </c>
      <c r="G384" s="55">
        <f>'Stavební rozpočet'!G386</f>
        <v>0</v>
      </c>
      <c r="H384" s="55">
        <f t="shared" si="378"/>
        <v>0</v>
      </c>
      <c r="I384" s="55">
        <f t="shared" si="379"/>
        <v>0</v>
      </c>
      <c r="J384" s="55">
        <f t="shared" si="380"/>
        <v>0</v>
      </c>
      <c r="K384" s="55">
        <f>'Stavební rozpočet'!K386</f>
        <v>0</v>
      </c>
      <c r="L384" s="55">
        <f t="shared" si="381"/>
        <v>0</v>
      </c>
      <c r="M384" s="51" t="s">
        <v>622</v>
      </c>
      <c r="Z384" s="29">
        <f t="shared" si="382"/>
        <v>0</v>
      </c>
      <c r="AB384" s="29">
        <f t="shared" si="383"/>
        <v>0</v>
      </c>
      <c r="AC384" s="29">
        <f t="shared" si="384"/>
        <v>0</v>
      </c>
      <c r="AD384" s="29">
        <f t="shared" si="385"/>
        <v>0</v>
      </c>
      <c r="AE384" s="29">
        <f t="shared" si="386"/>
        <v>0</v>
      </c>
      <c r="AF384" s="29">
        <f t="shared" si="387"/>
        <v>0</v>
      </c>
      <c r="AG384" s="29">
        <f t="shared" si="388"/>
        <v>0</v>
      </c>
      <c r="AH384" s="29">
        <f t="shared" si="389"/>
        <v>0</v>
      </c>
      <c r="AI384" s="48" t="s">
        <v>60</v>
      </c>
      <c r="AJ384" s="55">
        <f t="shared" si="390"/>
        <v>0</v>
      </c>
      <c r="AK384" s="55">
        <f t="shared" si="391"/>
        <v>0</v>
      </c>
      <c r="AL384" s="55">
        <f t="shared" si="392"/>
        <v>0</v>
      </c>
      <c r="AN384" s="29">
        <v>15</v>
      </c>
      <c r="AO384" s="29">
        <f t="shared" si="393"/>
        <v>0</v>
      </c>
      <c r="AP384" s="29">
        <f t="shared" si="394"/>
        <v>0</v>
      </c>
      <c r="AQ384" s="51" t="s">
        <v>85</v>
      </c>
      <c r="AV384" s="29">
        <f t="shared" si="395"/>
        <v>0</v>
      </c>
      <c r="AW384" s="29">
        <f t="shared" si="396"/>
        <v>0</v>
      </c>
      <c r="AX384" s="29">
        <f t="shared" si="397"/>
        <v>0</v>
      </c>
      <c r="AY384" s="54" t="s">
        <v>644</v>
      </c>
      <c r="AZ384" s="54" t="s">
        <v>1537</v>
      </c>
      <c r="BA384" s="48" t="s">
        <v>1542</v>
      </c>
      <c r="BC384" s="29">
        <f t="shared" si="398"/>
        <v>0</v>
      </c>
      <c r="BD384" s="29">
        <f t="shared" si="399"/>
        <v>0</v>
      </c>
      <c r="BE384" s="29">
        <v>0</v>
      </c>
      <c r="BF384" s="29">
        <f t="shared" si="400"/>
        <v>0</v>
      </c>
      <c r="BH384" s="55">
        <f t="shared" si="401"/>
        <v>0</v>
      </c>
      <c r="BI384" s="55">
        <f t="shared" si="402"/>
        <v>0</v>
      </c>
      <c r="BJ384" s="55">
        <f t="shared" si="403"/>
        <v>0</v>
      </c>
    </row>
    <row r="385" spans="1:62" ht="12.75">
      <c r="A385" s="36" t="s">
        <v>835</v>
      </c>
      <c r="B385" s="36" t="s">
        <v>60</v>
      </c>
      <c r="C385" s="36" t="s">
        <v>188</v>
      </c>
      <c r="D385" s="36" t="s">
        <v>1349</v>
      </c>
      <c r="E385" s="36" t="s">
        <v>606</v>
      </c>
      <c r="F385" s="55">
        <f>'Stavební rozpočet'!F387</f>
        <v>5</v>
      </c>
      <c r="G385" s="55">
        <f>'Stavební rozpočet'!G387</f>
        <v>0</v>
      </c>
      <c r="H385" s="55">
        <f t="shared" si="378"/>
        <v>0</v>
      </c>
      <c r="I385" s="55">
        <f t="shared" si="379"/>
        <v>0</v>
      </c>
      <c r="J385" s="55">
        <f t="shared" si="380"/>
        <v>0</v>
      </c>
      <c r="K385" s="55">
        <f>'Stavební rozpočet'!K387</f>
        <v>0</v>
      </c>
      <c r="L385" s="55">
        <f t="shared" si="381"/>
        <v>0</v>
      </c>
      <c r="M385" s="51" t="s">
        <v>622</v>
      </c>
      <c r="Z385" s="29">
        <f t="shared" si="382"/>
        <v>0</v>
      </c>
      <c r="AB385" s="29">
        <f t="shared" si="383"/>
        <v>0</v>
      </c>
      <c r="AC385" s="29">
        <f t="shared" si="384"/>
        <v>0</v>
      </c>
      <c r="AD385" s="29">
        <f t="shared" si="385"/>
        <v>0</v>
      </c>
      <c r="AE385" s="29">
        <f t="shared" si="386"/>
        <v>0</v>
      </c>
      <c r="AF385" s="29">
        <f t="shared" si="387"/>
        <v>0</v>
      </c>
      <c r="AG385" s="29">
        <f t="shared" si="388"/>
        <v>0</v>
      </c>
      <c r="AH385" s="29">
        <f t="shared" si="389"/>
        <v>0</v>
      </c>
      <c r="AI385" s="48" t="s">
        <v>60</v>
      </c>
      <c r="AJ385" s="55">
        <f t="shared" si="390"/>
        <v>0</v>
      </c>
      <c r="AK385" s="55">
        <f t="shared" si="391"/>
        <v>0</v>
      </c>
      <c r="AL385" s="55">
        <f t="shared" si="392"/>
        <v>0</v>
      </c>
      <c r="AN385" s="29">
        <v>15</v>
      </c>
      <c r="AO385" s="29">
        <f t="shared" si="393"/>
        <v>0</v>
      </c>
      <c r="AP385" s="29">
        <f t="shared" si="394"/>
        <v>0</v>
      </c>
      <c r="AQ385" s="51" t="s">
        <v>85</v>
      </c>
      <c r="AV385" s="29">
        <f t="shared" si="395"/>
        <v>0</v>
      </c>
      <c r="AW385" s="29">
        <f t="shared" si="396"/>
        <v>0</v>
      </c>
      <c r="AX385" s="29">
        <f t="shared" si="397"/>
        <v>0</v>
      </c>
      <c r="AY385" s="54" t="s">
        <v>644</v>
      </c>
      <c r="AZ385" s="54" t="s">
        <v>1537</v>
      </c>
      <c r="BA385" s="48" t="s">
        <v>1542</v>
      </c>
      <c r="BC385" s="29">
        <f t="shared" si="398"/>
        <v>0</v>
      </c>
      <c r="BD385" s="29">
        <f t="shared" si="399"/>
        <v>0</v>
      </c>
      <c r="BE385" s="29">
        <v>0</v>
      </c>
      <c r="BF385" s="29">
        <f t="shared" si="400"/>
        <v>0</v>
      </c>
      <c r="BH385" s="55">
        <f t="shared" si="401"/>
        <v>0</v>
      </c>
      <c r="BI385" s="55">
        <f t="shared" si="402"/>
        <v>0</v>
      </c>
      <c r="BJ385" s="55">
        <f t="shared" si="403"/>
        <v>0</v>
      </c>
    </row>
    <row r="386" spans="1:62" ht="12.75">
      <c r="A386" s="36" t="s">
        <v>836</v>
      </c>
      <c r="B386" s="36" t="s">
        <v>60</v>
      </c>
      <c r="C386" s="36" t="s">
        <v>189</v>
      </c>
      <c r="D386" s="36" t="s">
        <v>1350</v>
      </c>
      <c r="E386" s="36" t="s">
        <v>606</v>
      </c>
      <c r="F386" s="55">
        <f>'Stavební rozpočet'!F388</f>
        <v>4</v>
      </c>
      <c r="G386" s="55">
        <f>'Stavební rozpočet'!G388</f>
        <v>0</v>
      </c>
      <c r="H386" s="55">
        <f t="shared" si="378"/>
        <v>0</v>
      </c>
      <c r="I386" s="55">
        <f t="shared" si="379"/>
        <v>0</v>
      </c>
      <c r="J386" s="55">
        <f t="shared" si="380"/>
        <v>0</v>
      </c>
      <c r="K386" s="55">
        <f>'Stavební rozpočet'!K388</f>
        <v>0</v>
      </c>
      <c r="L386" s="55">
        <f t="shared" si="381"/>
        <v>0</v>
      </c>
      <c r="M386" s="51" t="s">
        <v>622</v>
      </c>
      <c r="Z386" s="29">
        <f t="shared" si="382"/>
        <v>0</v>
      </c>
      <c r="AB386" s="29">
        <f t="shared" si="383"/>
        <v>0</v>
      </c>
      <c r="AC386" s="29">
        <f t="shared" si="384"/>
        <v>0</v>
      </c>
      <c r="AD386" s="29">
        <f t="shared" si="385"/>
        <v>0</v>
      </c>
      <c r="AE386" s="29">
        <f t="shared" si="386"/>
        <v>0</v>
      </c>
      <c r="AF386" s="29">
        <f t="shared" si="387"/>
        <v>0</v>
      </c>
      <c r="AG386" s="29">
        <f t="shared" si="388"/>
        <v>0</v>
      </c>
      <c r="AH386" s="29">
        <f t="shared" si="389"/>
        <v>0</v>
      </c>
      <c r="AI386" s="48" t="s">
        <v>60</v>
      </c>
      <c r="AJ386" s="55">
        <f t="shared" si="390"/>
        <v>0</v>
      </c>
      <c r="AK386" s="55">
        <f t="shared" si="391"/>
        <v>0</v>
      </c>
      <c r="AL386" s="55">
        <f t="shared" si="392"/>
        <v>0</v>
      </c>
      <c r="AN386" s="29">
        <v>15</v>
      </c>
      <c r="AO386" s="29">
        <f t="shared" si="393"/>
        <v>0</v>
      </c>
      <c r="AP386" s="29">
        <f t="shared" si="394"/>
        <v>0</v>
      </c>
      <c r="AQ386" s="51" t="s">
        <v>85</v>
      </c>
      <c r="AV386" s="29">
        <f t="shared" si="395"/>
        <v>0</v>
      </c>
      <c r="AW386" s="29">
        <f t="shared" si="396"/>
        <v>0</v>
      </c>
      <c r="AX386" s="29">
        <f t="shared" si="397"/>
        <v>0</v>
      </c>
      <c r="AY386" s="54" t="s">
        <v>644</v>
      </c>
      <c r="AZ386" s="54" t="s">
        <v>1537</v>
      </c>
      <c r="BA386" s="48" t="s">
        <v>1542</v>
      </c>
      <c r="BC386" s="29">
        <f t="shared" si="398"/>
        <v>0</v>
      </c>
      <c r="BD386" s="29">
        <f t="shared" si="399"/>
        <v>0</v>
      </c>
      <c r="BE386" s="29">
        <v>0</v>
      </c>
      <c r="BF386" s="29">
        <f t="shared" si="400"/>
        <v>0</v>
      </c>
      <c r="BH386" s="55">
        <f t="shared" si="401"/>
        <v>0</v>
      </c>
      <c r="BI386" s="55">
        <f t="shared" si="402"/>
        <v>0</v>
      </c>
      <c r="BJ386" s="55">
        <f t="shared" si="403"/>
        <v>0</v>
      </c>
    </row>
    <row r="387" spans="1:62" ht="12.75">
      <c r="A387" s="36" t="s">
        <v>837</v>
      </c>
      <c r="B387" s="36" t="s">
        <v>60</v>
      </c>
      <c r="C387" s="36" t="s">
        <v>190</v>
      </c>
      <c r="D387" s="36" t="s">
        <v>1351</v>
      </c>
      <c r="E387" s="36" t="s">
        <v>606</v>
      </c>
      <c r="F387" s="55">
        <f>'Stavební rozpočet'!F389</f>
        <v>0</v>
      </c>
      <c r="G387" s="55">
        <f>'Stavební rozpočet'!G389</f>
        <v>0</v>
      </c>
      <c r="H387" s="55">
        <f t="shared" si="378"/>
        <v>0</v>
      </c>
      <c r="I387" s="55">
        <f t="shared" si="379"/>
        <v>0</v>
      </c>
      <c r="J387" s="55">
        <f t="shared" si="380"/>
        <v>0</v>
      </c>
      <c r="K387" s="55">
        <f>'Stavební rozpočet'!K389</f>
        <v>0</v>
      </c>
      <c r="L387" s="55">
        <f t="shared" si="381"/>
        <v>0</v>
      </c>
      <c r="M387" s="51" t="s">
        <v>622</v>
      </c>
      <c r="Z387" s="29">
        <f t="shared" si="382"/>
        <v>0</v>
      </c>
      <c r="AB387" s="29">
        <f t="shared" si="383"/>
        <v>0</v>
      </c>
      <c r="AC387" s="29">
        <f t="shared" si="384"/>
        <v>0</v>
      </c>
      <c r="AD387" s="29">
        <f t="shared" si="385"/>
        <v>0</v>
      </c>
      <c r="AE387" s="29">
        <f t="shared" si="386"/>
        <v>0</v>
      </c>
      <c r="AF387" s="29">
        <f t="shared" si="387"/>
        <v>0</v>
      </c>
      <c r="AG387" s="29">
        <f t="shared" si="388"/>
        <v>0</v>
      </c>
      <c r="AH387" s="29">
        <f t="shared" si="389"/>
        <v>0</v>
      </c>
      <c r="AI387" s="48" t="s">
        <v>60</v>
      </c>
      <c r="AJ387" s="55">
        <f t="shared" si="390"/>
        <v>0</v>
      </c>
      <c r="AK387" s="55">
        <f t="shared" si="391"/>
        <v>0</v>
      </c>
      <c r="AL387" s="55">
        <f t="shared" si="392"/>
        <v>0</v>
      </c>
      <c r="AN387" s="29">
        <v>15</v>
      </c>
      <c r="AO387" s="29">
        <f t="shared" si="393"/>
        <v>0</v>
      </c>
      <c r="AP387" s="29">
        <f t="shared" si="394"/>
        <v>0</v>
      </c>
      <c r="AQ387" s="51" t="s">
        <v>85</v>
      </c>
      <c r="AV387" s="29">
        <f t="shared" si="395"/>
        <v>0</v>
      </c>
      <c r="AW387" s="29">
        <f t="shared" si="396"/>
        <v>0</v>
      </c>
      <c r="AX387" s="29">
        <f t="shared" si="397"/>
        <v>0</v>
      </c>
      <c r="AY387" s="54" t="s">
        <v>644</v>
      </c>
      <c r="AZ387" s="54" t="s">
        <v>1537</v>
      </c>
      <c r="BA387" s="48" t="s">
        <v>1542</v>
      </c>
      <c r="BC387" s="29">
        <f t="shared" si="398"/>
        <v>0</v>
      </c>
      <c r="BD387" s="29">
        <f t="shared" si="399"/>
        <v>0</v>
      </c>
      <c r="BE387" s="29">
        <v>0</v>
      </c>
      <c r="BF387" s="29">
        <f t="shared" si="400"/>
        <v>0</v>
      </c>
      <c r="BH387" s="55">
        <f t="shared" si="401"/>
        <v>0</v>
      </c>
      <c r="BI387" s="55">
        <f t="shared" si="402"/>
        <v>0</v>
      </c>
      <c r="BJ387" s="55">
        <f t="shared" si="403"/>
        <v>0</v>
      </c>
    </row>
    <row r="388" spans="1:62" ht="12.75">
      <c r="A388" s="36" t="s">
        <v>838</v>
      </c>
      <c r="B388" s="36" t="s">
        <v>60</v>
      </c>
      <c r="C388" s="36" t="s">
        <v>191</v>
      </c>
      <c r="D388" s="36" t="s">
        <v>1352</v>
      </c>
      <c r="E388" s="36" t="s">
        <v>606</v>
      </c>
      <c r="F388" s="55">
        <f>'Stavební rozpočet'!F390</f>
        <v>0</v>
      </c>
      <c r="G388" s="55">
        <f>'Stavební rozpočet'!G390</f>
        <v>0</v>
      </c>
      <c r="H388" s="55">
        <f t="shared" si="378"/>
        <v>0</v>
      </c>
      <c r="I388" s="55">
        <f t="shared" si="379"/>
        <v>0</v>
      </c>
      <c r="J388" s="55">
        <f t="shared" si="380"/>
        <v>0</v>
      </c>
      <c r="K388" s="55">
        <f>'Stavební rozpočet'!K390</f>
        <v>0</v>
      </c>
      <c r="L388" s="55">
        <f t="shared" si="381"/>
        <v>0</v>
      </c>
      <c r="M388" s="51" t="s">
        <v>622</v>
      </c>
      <c r="Z388" s="29">
        <f t="shared" si="382"/>
        <v>0</v>
      </c>
      <c r="AB388" s="29">
        <f t="shared" si="383"/>
        <v>0</v>
      </c>
      <c r="AC388" s="29">
        <f t="shared" si="384"/>
        <v>0</v>
      </c>
      <c r="AD388" s="29">
        <f t="shared" si="385"/>
        <v>0</v>
      </c>
      <c r="AE388" s="29">
        <f t="shared" si="386"/>
        <v>0</v>
      </c>
      <c r="AF388" s="29">
        <f t="shared" si="387"/>
        <v>0</v>
      </c>
      <c r="AG388" s="29">
        <f t="shared" si="388"/>
        <v>0</v>
      </c>
      <c r="AH388" s="29">
        <f t="shared" si="389"/>
        <v>0</v>
      </c>
      <c r="AI388" s="48" t="s">
        <v>60</v>
      </c>
      <c r="AJ388" s="55">
        <f t="shared" si="390"/>
        <v>0</v>
      </c>
      <c r="AK388" s="55">
        <f t="shared" si="391"/>
        <v>0</v>
      </c>
      <c r="AL388" s="55">
        <f t="shared" si="392"/>
        <v>0</v>
      </c>
      <c r="AN388" s="29">
        <v>15</v>
      </c>
      <c r="AO388" s="29">
        <f t="shared" si="393"/>
        <v>0</v>
      </c>
      <c r="AP388" s="29">
        <f t="shared" si="394"/>
        <v>0</v>
      </c>
      <c r="AQ388" s="51" t="s">
        <v>85</v>
      </c>
      <c r="AV388" s="29">
        <f t="shared" si="395"/>
        <v>0</v>
      </c>
      <c r="AW388" s="29">
        <f t="shared" si="396"/>
        <v>0</v>
      </c>
      <c r="AX388" s="29">
        <f t="shared" si="397"/>
        <v>0</v>
      </c>
      <c r="AY388" s="54" t="s">
        <v>644</v>
      </c>
      <c r="AZ388" s="54" t="s">
        <v>1537</v>
      </c>
      <c r="BA388" s="48" t="s">
        <v>1542</v>
      </c>
      <c r="BC388" s="29">
        <f t="shared" si="398"/>
        <v>0</v>
      </c>
      <c r="BD388" s="29">
        <f t="shared" si="399"/>
        <v>0</v>
      </c>
      <c r="BE388" s="29">
        <v>0</v>
      </c>
      <c r="BF388" s="29">
        <f t="shared" si="400"/>
        <v>0</v>
      </c>
      <c r="BH388" s="55">
        <f t="shared" si="401"/>
        <v>0</v>
      </c>
      <c r="BI388" s="55">
        <f t="shared" si="402"/>
        <v>0</v>
      </c>
      <c r="BJ388" s="55">
        <f t="shared" si="403"/>
        <v>0</v>
      </c>
    </row>
    <row r="389" spans="1:62" ht="12.75">
      <c r="A389" s="36" t="s">
        <v>839</v>
      </c>
      <c r="B389" s="36" t="s">
        <v>60</v>
      </c>
      <c r="C389" s="36" t="s">
        <v>192</v>
      </c>
      <c r="D389" s="36" t="s">
        <v>1353</v>
      </c>
      <c r="E389" s="36" t="s">
        <v>606</v>
      </c>
      <c r="F389" s="55">
        <f>'Stavební rozpočet'!F391</f>
        <v>1</v>
      </c>
      <c r="G389" s="55">
        <f>'Stavební rozpočet'!G391</f>
        <v>0</v>
      </c>
      <c r="H389" s="55">
        <f t="shared" si="378"/>
        <v>0</v>
      </c>
      <c r="I389" s="55">
        <f t="shared" si="379"/>
        <v>0</v>
      </c>
      <c r="J389" s="55">
        <f t="shared" si="380"/>
        <v>0</v>
      </c>
      <c r="K389" s="55">
        <f>'Stavební rozpočet'!K391</f>
        <v>0</v>
      </c>
      <c r="L389" s="55">
        <f t="shared" si="381"/>
        <v>0</v>
      </c>
      <c r="M389" s="51" t="s">
        <v>622</v>
      </c>
      <c r="Z389" s="29">
        <f t="shared" si="382"/>
        <v>0</v>
      </c>
      <c r="AB389" s="29">
        <f t="shared" si="383"/>
        <v>0</v>
      </c>
      <c r="AC389" s="29">
        <f t="shared" si="384"/>
        <v>0</v>
      </c>
      <c r="AD389" s="29">
        <f t="shared" si="385"/>
        <v>0</v>
      </c>
      <c r="AE389" s="29">
        <f t="shared" si="386"/>
        <v>0</v>
      </c>
      <c r="AF389" s="29">
        <f t="shared" si="387"/>
        <v>0</v>
      </c>
      <c r="AG389" s="29">
        <f t="shared" si="388"/>
        <v>0</v>
      </c>
      <c r="AH389" s="29">
        <f t="shared" si="389"/>
        <v>0</v>
      </c>
      <c r="AI389" s="48" t="s">
        <v>60</v>
      </c>
      <c r="AJ389" s="55">
        <f t="shared" si="390"/>
        <v>0</v>
      </c>
      <c r="AK389" s="55">
        <f t="shared" si="391"/>
        <v>0</v>
      </c>
      <c r="AL389" s="55">
        <f t="shared" si="392"/>
        <v>0</v>
      </c>
      <c r="AN389" s="29">
        <v>15</v>
      </c>
      <c r="AO389" s="29">
        <f t="shared" si="393"/>
        <v>0</v>
      </c>
      <c r="AP389" s="29">
        <f t="shared" si="394"/>
        <v>0</v>
      </c>
      <c r="AQ389" s="51" t="s">
        <v>85</v>
      </c>
      <c r="AV389" s="29">
        <f t="shared" si="395"/>
        <v>0</v>
      </c>
      <c r="AW389" s="29">
        <f t="shared" si="396"/>
        <v>0</v>
      </c>
      <c r="AX389" s="29">
        <f t="shared" si="397"/>
        <v>0</v>
      </c>
      <c r="AY389" s="54" t="s">
        <v>644</v>
      </c>
      <c r="AZ389" s="54" t="s">
        <v>1537</v>
      </c>
      <c r="BA389" s="48" t="s">
        <v>1542</v>
      </c>
      <c r="BC389" s="29">
        <f t="shared" si="398"/>
        <v>0</v>
      </c>
      <c r="BD389" s="29">
        <f t="shared" si="399"/>
        <v>0</v>
      </c>
      <c r="BE389" s="29">
        <v>0</v>
      </c>
      <c r="BF389" s="29">
        <f t="shared" si="400"/>
        <v>0</v>
      </c>
      <c r="BH389" s="55">
        <f t="shared" si="401"/>
        <v>0</v>
      </c>
      <c r="BI389" s="55">
        <f t="shared" si="402"/>
        <v>0</v>
      </c>
      <c r="BJ389" s="55">
        <f t="shared" si="403"/>
        <v>0</v>
      </c>
    </row>
    <row r="390" spans="1:62" ht="12.75">
      <c r="A390" s="36" t="s">
        <v>840</v>
      </c>
      <c r="B390" s="36" t="s">
        <v>60</v>
      </c>
      <c r="C390" s="36" t="s">
        <v>193</v>
      </c>
      <c r="D390" s="36" t="s">
        <v>1354</v>
      </c>
      <c r="E390" s="36" t="s">
        <v>606</v>
      </c>
      <c r="F390" s="55">
        <f>'Stavební rozpočet'!F392</f>
        <v>0</v>
      </c>
      <c r="G390" s="55">
        <f>'Stavební rozpočet'!G392</f>
        <v>0</v>
      </c>
      <c r="H390" s="55">
        <f t="shared" si="378"/>
        <v>0</v>
      </c>
      <c r="I390" s="55">
        <f t="shared" si="379"/>
        <v>0</v>
      </c>
      <c r="J390" s="55">
        <f t="shared" si="380"/>
        <v>0</v>
      </c>
      <c r="K390" s="55">
        <f>'Stavební rozpočet'!K392</f>
        <v>0</v>
      </c>
      <c r="L390" s="55">
        <f t="shared" si="381"/>
        <v>0</v>
      </c>
      <c r="M390" s="51" t="s">
        <v>622</v>
      </c>
      <c r="Z390" s="29">
        <f t="shared" si="382"/>
        <v>0</v>
      </c>
      <c r="AB390" s="29">
        <f t="shared" si="383"/>
        <v>0</v>
      </c>
      <c r="AC390" s="29">
        <f t="shared" si="384"/>
        <v>0</v>
      </c>
      <c r="AD390" s="29">
        <f t="shared" si="385"/>
        <v>0</v>
      </c>
      <c r="AE390" s="29">
        <f t="shared" si="386"/>
        <v>0</v>
      </c>
      <c r="AF390" s="29">
        <f t="shared" si="387"/>
        <v>0</v>
      </c>
      <c r="AG390" s="29">
        <f t="shared" si="388"/>
        <v>0</v>
      </c>
      <c r="AH390" s="29">
        <f t="shared" si="389"/>
        <v>0</v>
      </c>
      <c r="AI390" s="48" t="s">
        <v>60</v>
      </c>
      <c r="AJ390" s="55">
        <f t="shared" si="390"/>
        <v>0</v>
      </c>
      <c r="AK390" s="55">
        <f t="shared" si="391"/>
        <v>0</v>
      </c>
      <c r="AL390" s="55">
        <f t="shared" si="392"/>
        <v>0</v>
      </c>
      <c r="AN390" s="29">
        <v>15</v>
      </c>
      <c r="AO390" s="29">
        <f t="shared" si="393"/>
        <v>0</v>
      </c>
      <c r="AP390" s="29">
        <f t="shared" si="394"/>
        <v>0</v>
      </c>
      <c r="AQ390" s="51" t="s">
        <v>85</v>
      </c>
      <c r="AV390" s="29">
        <f t="shared" si="395"/>
        <v>0</v>
      </c>
      <c r="AW390" s="29">
        <f t="shared" si="396"/>
        <v>0</v>
      </c>
      <c r="AX390" s="29">
        <f t="shared" si="397"/>
        <v>0</v>
      </c>
      <c r="AY390" s="54" t="s">
        <v>644</v>
      </c>
      <c r="AZ390" s="54" t="s">
        <v>1537</v>
      </c>
      <c r="BA390" s="48" t="s">
        <v>1542</v>
      </c>
      <c r="BC390" s="29">
        <f t="shared" si="398"/>
        <v>0</v>
      </c>
      <c r="BD390" s="29">
        <f t="shared" si="399"/>
        <v>0</v>
      </c>
      <c r="BE390" s="29">
        <v>0</v>
      </c>
      <c r="BF390" s="29">
        <f t="shared" si="400"/>
        <v>0</v>
      </c>
      <c r="BH390" s="55">
        <f t="shared" si="401"/>
        <v>0</v>
      </c>
      <c r="BI390" s="55">
        <f t="shared" si="402"/>
        <v>0</v>
      </c>
      <c r="BJ390" s="55">
        <f t="shared" si="403"/>
        <v>0</v>
      </c>
    </row>
    <row r="391" spans="1:62" ht="12.75">
      <c r="A391" s="36" t="s">
        <v>841</v>
      </c>
      <c r="B391" s="36" t="s">
        <v>60</v>
      </c>
      <c r="C391" s="36" t="s">
        <v>194</v>
      </c>
      <c r="D391" s="36" t="s">
        <v>1355</v>
      </c>
      <c r="E391" s="36" t="s">
        <v>606</v>
      </c>
      <c r="F391" s="55">
        <f>'Stavební rozpočet'!F393</f>
        <v>2</v>
      </c>
      <c r="G391" s="55">
        <f>'Stavební rozpočet'!G393</f>
        <v>0</v>
      </c>
      <c r="H391" s="55">
        <f t="shared" si="378"/>
        <v>0</v>
      </c>
      <c r="I391" s="55">
        <f t="shared" si="379"/>
        <v>0</v>
      </c>
      <c r="J391" s="55">
        <f t="shared" si="380"/>
        <v>0</v>
      </c>
      <c r="K391" s="55">
        <f>'Stavební rozpočet'!K393</f>
        <v>0</v>
      </c>
      <c r="L391" s="55">
        <f t="shared" si="381"/>
        <v>0</v>
      </c>
      <c r="M391" s="51" t="s">
        <v>622</v>
      </c>
      <c r="Z391" s="29">
        <f t="shared" si="382"/>
        <v>0</v>
      </c>
      <c r="AB391" s="29">
        <f t="shared" si="383"/>
        <v>0</v>
      </c>
      <c r="AC391" s="29">
        <f t="shared" si="384"/>
        <v>0</v>
      </c>
      <c r="AD391" s="29">
        <f t="shared" si="385"/>
        <v>0</v>
      </c>
      <c r="AE391" s="29">
        <f t="shared" si="386"/>
        <v>0</v>
      </c>
      <c r="AF391" s="29">
        <f t="shared" si="387"/>
        <v>0</v>
      </c>
      <c r="AG391" s="29">
        <f t="shared" si="388"/>
        <v>0</v>
      </c>
      <c r="AH391" s="29">
        <f t="shared" si="389"/>
        <v>0</v>
      </c>
      <c r="AI391" s="48" t="s">
        <v>60</v>
      </c>
      <c r="AJ391" s="55">
        <f t="shared" si="390"/>
        <v>0</v>
      </c>
      <c r="AK391" s="55">
        <f t="shared" si="391"/>
        <v>0</v>
      </c>
      <c r="AL391" s="55">
        <f t="shared" si="392"/>
        <v>0</v>
      </c>
      <c r="AN391" s="29">
        <v>15</v>
      </c>
      <c r="AO391" s="29">
        <f t="shared" si="393"/>
        <v>0</v>
      </c>
      <c r="AP391" s="29">
        <f t="shared" si="394"/>
        <v>0</v>
      </c>
      <c r="AQ391" s="51" t="s">
        <v>85</v>
      </c>
      <c r="AV391" s="29">
        <f t="shared" si="395"/>
        <v>0</v>
      </c>
      <c r="AW391" s="29">
        <f t="shared" si="396"/>
        <v>0</v>
      </c>
      <c r="AX391" s="29">
        <f t="shared" si="397"/>
        <v>0</v>
      </c>
      <c r="AY391" s="54" t="s">
        <v>644</v>
      </c>
      <c r="AZ391" s="54" t="s">
        <v>1537</v>
      </c>
      <c r="BA391" s="48" t="s">
        <v>1542</v>
      </c>
      <c r="BC391" s="29">
        <f t="shared" si="398"/>
        <v>0</v>
      </c>
      <c r="BD391" s="29">
        <f t="shared" si="399"/>
        <v>0</v>
      </c>
      <c r="BE391" s="29">
        <v>0</v>
      </c>
      <c r="BF391" s="29">
        <f t="shared" si="400"/>
        <v>0</v>
      </c>
      <c r="BH391" s="55">
        <f t="shared" si="401"/>
        <v>0</v>
      </c>
      <c r="BI391" s="55">
        <f t="shared" si="402"/>
        <v>0</v>
      </c>
      <c r="BJ391" s="55">
        <f t="shared" si="403"/>
        <v>0</v>
      </c>
    </row>
    <row r="392" spans="1:62" ht="12.75">
      <c r="A392" s="36" t="s">
        <v>842</v>
      </c>
      <c r="B392" s="36" t="s">
        <v>60</v>
      </c>
      <c r="C392" s="36" t="s">
        <v>195</v>
      </c>
      <c r="D392" s="36" t="s">
        <v>1356</v>
      </c>
      <c r="E392" s="36" t="s">
        <v>606</v>
      </c>
      <c r="F392" s="55">
        <f>'Stavební rozpočet'!F394</f>
        <v>1</v>
      </c>
      <c r="G392" s="55">
        <f>'Stavební rozpočet'!G394</f>
        <v>0</v>
      </c>
      <c r="H392" s="55">
        <f t="shared" si="378"/>
        <v>0</v>
      </c>
      <c r="I392" s="55">
        <f t="shared" si="379"/>
        <v>0</v>
      </c>
      <c r="J392" s="55">
        <f t="shared" si="380"/>
        <v>0</v>
      </c>
      <c r="K392" s="55">
        <f>'Stavební rozpočet'!K394</f>
        <v>0</v>
      </c>
      <c r="L392" s="55">
        <f t="shared" si="381"/>
        <v>0</v>
      </c>
      <c r="M392" s="51" t="s">
        <v>622</v>
      </c>
      <c r="Z392" s="29">
        <f t="shared" si="382"/>
        <v>0</v>
      </c>
      <c r="AB392" s="29">
        <f t="shared" si="383"/>
        <v>0</v>
      </c>
      <c r="AC392" s="29">
        <f t="shared" si="384"/>
        <v>0</v>
      </c>
      <c r="AD392" s="29">
        <f t="shared" si="385"/>
        <v>0</v>
      </c>
      <c r="AE392" s="29">
        <f t="shared" si="386"/>
        <v>0</v>
      </c>
      <c r="AF392" s="29">
        <f t="shared" si="387"/>
        <v>0</v>
      </c>
      <c r="AG392" s="29">
        <f t="shared" si="388"/>
        <v>0</v>
      </c>
      <c r="AH392" s="29">
        <f t="shared" si="389"/>
        <v>0</v>
      </c>
      <c r="AI392" s="48" t="s">
        <v>60</v>
      </c>
      <c r="AJ392" s="55">
        <f t="shared" si="390"/>
        <v>0</v>
      </c>
      <c r="AK392" s="55">
        <f t="shared" si="391"/>
        <v>0</v>
      </c>
      <c r="AL392" s="55">
        <f t="shared" si="392"/>
        <v>0</v>
      </c>
      <c r="AN392" s="29">
        <v>15</v>
      </c>
      <c r="AO392" s="29">
        <f t="shared" si="393"/>
        <v>0</v>
      </c>
      <c r="AP392" s="29">
        <f t="shared" si="394"/>
        <v>0</v>
      </c>
      <c r="AQ392" s="51" t="s">
        <v>85</v>
      </c>
      <c r="AV392" s="29">
        <f t="shared" si="395"/>
        <v>0</v>
      </c>
      <c r="AW392" s="29">
        <f t="shared" si="396"/>
        <v>0</v>
      </c>
      <c r="AX392" s="29">
        <f t="shared" si="397"/>
        <v>0</v>
      </c>
      <c r="AY392" s="54" t="s">
        <v>644</v>
      </c>
      <c r="AZ392" s="54" t="s">
        <v>1537</v>
      </c>
      <c r="BA392" s="48" t="s">
        <v>1542</v>
      </c>
      <c r="BC392" s="29">
        <f t="shared" si="398"/>
        <v>0</v>
      </c>
      <c r="BD392" s="29">
        <f t="shared" si="399"/>
        <v>0</v>
      </c>
      <c r="BE392" s="29">
        <v>0</v>
      </c>
      <c r="BF392" s="29">
        <f t="shared" si="400"/>
        <v>0</v>
      </c>
      <c r="BH392" s="55">
        <f t="shared" si="401"/>
        <v>0</v>
      </c>
      <c r="BI392" s="55">
        <f t="shared" si="402"/>
        <v>0</v>
      </c>
      <c r="BJ392" s="55">
        <f t="shared" si="403"/>
        <v>0</v>
      </c>
    </row>
    <row r="393" spans="1:62" ht="12.75">
      <c r="A393" s="36" t="s">
        <v>843</v>
      </c>
      <c r="B393" s="36" t="s">
        <v>60</v>
      </c>
      <c r="C393" s="36" t="s">
        <v>196</v>
      </c>
      <c r="D393" s="36" t="s">
        <v>1357</v>
      </c>
      <c r="E393" s="36" t="s">
        <v>606</v>
      </c>
      <c r="F393" s="55">
        <f>'Stavební rozpočet'!F395</f>
        <v>0</v>
      </c>
      <c r="G393" s="55">
        <f>'Stavební rozpočet'!G395</f>
        <v>0</v>
      </c>
      <c r="H393" s="55">
        <f t="shared" si="378"/>
        <v>0</v>
      </c>
      <c r="I393" s="55">
        <f t="shared" si="379"/>
        <v>0</v>
      </c>
      <c r="J393" s="55">
        <f t="shared" si="380"/>
        <v>0</v>
      </c>
      <c r="K393" s="55">
        <f>'Stavební rozpočet'!K395</f>
        <v>0</v>
      </c>
      <c r="L393" s="55">
        <f t="shared" si="381"/>
        <v>0</v>
      </c>
      <c r="M393" s="51" t="s">
        <v>622</v>
      </c>
      <c r="Z393" s="29">
        <f t="shared" si="382"/>
        <v>0</v>
      </c>
      <c r="AB393" s="29">
        <f t="shared" si="383"/>
        <v>0</v>
      </c>
      <c r="AC393" s="29">
        <f t="shared" si="384"/>
        <v>0</v>
      </c>
      <c r="AD393" s="29">
        <f t="shared" si="385"/>
        <v>0</v>
      </c>
      <c r="AE393" s="29">
        <f t="shared" si="386"/>
        <v>0</v>
      </c>
      <c r="AF393" s="29">
        <f t="shared" si="387"/>
        <v>0</v>
      </c>
      <c r="AG393" s="29">
        <f t="shared" si="388"/>
        <v>0</v>
      </c>
      <c r="AH393" s="29">
        <f t="shared" si="389"/>
        <v>0</v>
      </c>
      <c r="AI393" s="48" t="s">
        <v>60</v>
      </c>
      <c r="AJ393" s="55">
        <f t="shared" si="390"/>
        <v>0</v>
      </c>
      <c r="AK393" s="55">
        <f t="shared" si="391"/>
        <v>0</v>
      </c>
      <c r="AL393" s="55">
        <f t="shared" si="392"/>
        <v>0</v>
      </c>
      <c r="AN393" s="29">
        <v>15</v>
      </c>
      <c r="AO393" s="29">
        <f t="shared" si="393"/>
        <v>0</v>
      </c>
      <c r="AP393" s="29">
        <f t="shared" si="394"/>
        <v>0</v>
      </c>
      <c r="AQ393" s="51" t="s">
        <v>85</v>
      </c>
      <c r="AV393" s="29">
        <f t="shared" si="395"/>
        <v>0</v>
      </c>
      <c r="AW393" s="29">
        <f t="shared" si="396"/>
        <v>0</v>
      </c>
      <c r="AX393" s="29">
        <f t="shared" si="397"/>
        <v>0</v>
      </c>
      <c r="AY393" s="54" t="s">
        <v>644</v>
      </c>
      <c r="AZ393" s="54" t="s">
        <v>1537</v>
      </c>
      <c r="BA393" s="48" t="s">
        <v>1542</v>
      </c>
      <c r="BC393" s="29">
        <f t="shared" si="398"/>
        <v>0</v>
      </c>
      <c r="BD393" s="29">
        <f t="shared" si="399"/>
        <v>0</v>
      </c>
      <c r="BE393" s="29">
        <v>0</v>
      </c>
      <c r="BF393" s="29">
        <f t="shared" si="400"/>
        <v>0</v>
      </c>
      <c r="BH393" s="55">
        <f t="shared" si="401"/>
        <v>0</v>
      </c>
      <c r="BI393" s="55">
        <f t="shared" si="402"/>
        <v>0</v>
      </c>
      <c r="BJ393" s="55">
        <f t="shared" si="403"/>
        <v>0</v>
      </c>
    </row>
    <row r="394" spans="1:62" ht="12.75">
      <c r="A394" s="36" t="s">
        <v>844</v>
      </c>
      <c r="B394" s="36" t="s">
        <v>60</v>
      </c>
      <c r="C394" s="36" t="s">
        <v>197</v>
      </c>
      <c r="D394" s="36" t="s">
        <v>1358</v>
      </c>
      <c r="E394" s="36" t="s">
        <v>606</v>
      </c>
      <c r="F394" s="55">
        <f>'Stavební rozpočet'!F396</f>
        <v>0</v>
      </c>
      <c r="G394" s="55">
        <f>'Stavební rozpočet'!G396</f>
        <v>0</v>
      </c>
      <c r="H394" s="55">
        <f t="shared" si="378"/>
        <v>0</v>
      </c>
      <c r="I394" s="55">
        <f t="shared" si="379"/>
        <v>0</v>
      </c>
      <c r="J394" s="55">
        <f t="shared" si="380"/>
        <v>0</v>
      </c>
      <c r="K394" s="55">
        <f>'Stavební rozpočet'!K396</f>
        <v>0</v>
      </c>
      <c r="L394" s="55">
        <f t="shared" si="381"/>
        <v>0</v>
      </c>
      <c r="M394" s="51" t="s">
        <v>622</v>
      </c>
      <c r="Z394" s="29">
        <f t="shared" si="382"/>
        <v>0</v>
      </c>
      <c r="AB394" s="29">
        <f t="shared" si="383"/>
        <v>0</v>
      </c>
      <c r="AC394" s="29">
        <f t="shared" si="384"/>
        <v>0</v>
      </c>
      <c r="AD394" s="29">
        <f t="shared" si="385"/>
        <v>0</v>
      </c>
      <c r="AE394" s="29">
        <f t="shared" si="386"/>
        <v>0</v>
      </c>
      <c r="AF394" s="29">
        <f t="shared" si="387"/>
        <v>0</v>
      </c>
      <c r="AG394" s="29">
        <f t="shared" si="388"/>
        <v>0</v>
      </c>
      <c r="AH394" s="29">
        <f t="shared" si="389"/>
        <v>0</v>
      </c>
      <c r="AI394" s="48" t="s">
        <v>60</v>
      </c>
      <c r="AJ394" s="55">
        <f t="shared" si="390"/>
        <v>0</v>
      </c>
      <c r="AK394" s="55">
        <f t="shared" si="391"/>
        <v>0</v>
      </c>
      <c r="AL394" s="55">
        <f t="shared" si="392"/>
        <v>0</v>
      </c>
      <c r="AN394" s="29">
        <v>15</v>
      </c>
      <c r="AO394" s="29">
        <f t="shared" si="393"/>
        <v>0</v>
      </c>
      <c r="AP394" s="29">
        <f t="shared" si="394"/>
        <v>0</v>
      </c>
      <c r="AQ394" s="51" t="s">
        <v>85</v>
      </c>
      <c r="AV394" s="29">
        <f t="shared" si="395"/>
        <v>0</v>
      </c>
      <c r="AW394" s="29">
        <f t="shared" si="396"/>
        <v>0</v>
      </c>
      <c r="AX394" s="29">
        <f t="shared" si="397"/>
        <v>0</v>
      </c>
      <c r="AY394" s="54" t="s">
        <v>644</v>
      </c>
      <c r="AZ394" s="54" t="s">
        <v>1537</v>
      </c>
      <c r="BA394" s="48" t="s">
        <v>1542</v>
      </c>
      <c r="BC394" s="29">
        <f t="shared" si="398"/>
        <v>0</v>
      </c>
      <c r="BD394" s="29">
        <f t="shared" si="399"/>
        <v>0</v>
      </c>
      <c r="BE394" s="29">
        <v>0</v>
      </c>
      <c r="BF394" s="29">
        <f t="shared" si="400"/>
        <v>0</v>
      </c>
      <c r="BH394" s="55">
        <f t="shared" si="401"/>
        <v>0</v>
      </c>
      <c r="BI394" s="55">
        <f t="shared" si="402"/>
        <v>0</v>
      </c>
      <c r="BJ394" s="55">
        <f t="shared" si="403"/>
        <v>0</v>
      </c>
    </row>
    <row r="395" spans="1:62" ht="12.75">
      <c r="A395" s="36" t="s">
        <v>845</v>
      </c>
      <c r="B395" s="36" t="s">
        <v>60</v>
      </c>
      <c r="C395" s="36" t="s">
        <v>198</v>
      </c>
      <c r="D395" s="36" t="s">
        <v>1359</v>
      </c>
      <c r="E395" s="36" t="s">
        <v>606</v>
      </c>
      <c r="F395" s="55">
        <f>'Stavební rozpočet'!F397</f>
        <v>1</v>
      </c>
      <c r="G395" s="55">
        <f>'Stavební rozpočet'!G397</f>
        <v>0</v>
      </c>
      <c r="H395" s="55">
        <f t="shared" si="378"/>
        <v>0</v>
      </c>
      <c r="I395" s="55">
        <f t="shared" si="379"/>
        <v>0</v>
      </c>
      <c r="J395" s="55">
        <f t="shared" si="380"/>
        <v>0</v>
      </c>
      <c r="K395" s="55">
        <f>'Stavební rozpočet'!K397</f>
        <v>0</v>
      </c>
      <c r="L395" s="55">
        <f t="shared" si="381"/>
        <v>0</v>
      </c>
      <c r="M395" s="51" t="s">
        <v>622</v>
      </c>
      <c r="Z395" s="29">
        <f t="shared" si="382"/>
        <v>0</v>
      </c>
      <c r="AB395" s="29">
        <f t="shared" si="383"/>
        <v>0</v>
      </c>
      <c r="AC395" s="29">
        <f t="shared" si="384"/>
        <v>0</v>
      </c>
      <c r="AD395" s="29">
        <f t="shared" si="385"/>
        <v>0</v>
      </c>
      <c r="AE395" s="29">
        <f t="shared" si="386"/>
        <v>0</v>
      </c>
      <c r="AF395" s="29">
        <f t="shared" si="387"/>
        <v>0</v>
      </c>
      <c r="AG395" s="29">
        <f t="shared" si="388"/>
        <v>0</v>
      </c>
      <c r="AH395" s="29">
        <f t="shared" si="389"/>
        <v>0</v>
      </c>
      <c r="AI395" s="48" t="s">
        <v>60</v>
      </c>
      <c r="AJ395" s="55">
        <f t="shared" si="390"/>
        <v>0</v>
      </c>
      <c r="AK395" s="55">
        <f t="shared" si="391"/>
        <v>0</v>
      </c>
      <c r="AL395" s="55">
        <f t="shared" si="392"/>
        <v>0</v>
      </c>
      <c r="AN395" s="29">
        <v>15</v>
      </c>
      <c r="AO395" s="29">
        <f t="shared" si="393"/>
        <v>0</v>
      </c>
      <c r="AP395" s="29">
        <f t="shared" si="394"/>
        <v>0</v>
      </c>
      <c r="AQ395" s="51" t="s">
        <v>85</v>
      </c>
      <c r="AV395" s="29">
        <f t="shared" si="395"/>
        <v>0</v>
      </c>
      <c r="AW395" s="29">
        <f t="shared" si="396"/>
        <v>0</v>
      </c>
      <c r="AX395" s="29">
        <f t="shared" si="397"/>
        <v>0</v>
      </c>
      <c r="AY395" s="54" t="s">
        <v>644</v>
      </c>
      <c r="AZ395" s="54" t="s">
        <v>1537</v>
      </c>
      <c r="BA395" s="48" t="s">
        <v>1542</v>
      </c>
      <c r="BC395" s="29">
        <f t="shared" si="398"/>
        <v>0</v>
      </c>
      <c r="BD395" s="29">
        <f t="shared" si="399"/>
        <v>0</v>
      </c>
      <c r="BE395" s="29">
        <v>0</v>
      </c>
      <c r="BF395" s="29">
        <f t="shared" si="400"/>
        <v>0</v>
      </c>
      <c r="BH395" s="55">
        <f t="shared" si="401"/>
        <v>0</v>
      </c>
      <c r="BI395" s="55">
        <f t="shared" si="402"/>
        <v>0</v>
      </c>
      <c r="BJ395" s="55">
        <f t="shared" si="403"/>
        <v>0</v>
      </c>
    </row>
    <row r="396" spans="1:62" ht="12.75">
      <c r="A396" s="36" t="s">
        <v>846</v>
      </c>
      <c r="B396" s="36" t="s">
        <v>60</v>
      </c>
      <c r="C396" s="36" t="s">
        <v>199</v>
      </c>
      <c r="D396" s="36" t="s">
        <v>1360</v>
      </c>
      <c r="E396" s="36" t="s">
        <v>608</v>
      </c>
      <c r="F396" s="55">
        <f>'Stavební rozpočet'!F398</f>
        <v>7.4</v>
      </c>
      <c r="G396" s="55">
        <f>'Stavební rozpočet'!G398</f>
        <v>0</v>
      </c>
      <c r="H396" s="55">
        <f t="shared" si="378"/>
        <v>0</v>
      </c>
      <c r="I396" s="55">
        <f t="shared" si="379"/>
        <v>0</v>
      </c>
      <c r="J396" s="55">
        <f t="shared" si="380"/>
        <v>0</v>
      </c>
      <c r="K396" s="55">
        <f>'Stavební rozpočet'!K398</f>
        <v>0</v>
      </c>
      <c r="L396" s="55">
        <f t="shared" si="381"/>
        <v>0</v>
      </c>
      <c r="M396" s="51" t="s">
        <v>622</v>
      </c>
      <c r="Z396" s="29">
        <f t="shared" si="382"/>
        <v>0</v>
      </c>
      <c r="AB396" s="29">
        <f t="shared" si="383"/>
        <v>0</v>
      </c>
      <c r="AC396" s="29">
        <f t="shared" si="384"/>
        <v>0</v>
      </c>
      <c r="AD396" s="29">
        <f t="shared" si="385"/>
        <v>0</v>
      </c>
      <c r="AE396" s="29">
        <f t="shared" si="386"/>
        <v>0</v>
      </c>
      <c r="AF396" s="29">
        <f t="shared" si="387"/>
        <v>0</v>
      </c>
      <c r="AG396" s="29">
        <f t="shared" si="388"/>
        <v>0</v>
      </c>
      <c r="AH396" s="29">
        <f t="shared" si="389"/>
        <v>0</v>
      </c>
      <c r="AI396" s="48" t="s">
        <v>60</v>
      </c>
      <c r="AJ396" s="55">
        <f t="shared" si="390"/>
        <v>0</v>
      </c>
      <c r="AK396" s="55">
        <f t="shared" si="391"/>
        <v>0</v>
      </c>
      <c r="AL396" s="55">
        <f t="shared" si="392"/>
        <v>0</v>
      </c>
      <c r="AN396" s="29">
        <v>15</v>
      </c>
      <c r="AO396" s="29">
        <f t="shared" si="393"/>
        <v>0</v>
      </c>
      <c r="AP396" s="29">
        <f t="shared" si="394"/>
        <v>0</v>
      </c>
      <c r="AQ396" s="51" t="s">
        <v>85</v>
      </c>
      <c r="AV396" s="29">
        <f t="shared" si="395"/>
        <v>0</v>
      </c>
      <c r="AW396" s="29">
        <f t="shared" si="396"/>
        <v>0</v>
      </c>
      <c r="AX396" s="29">
        <f t="shared" si="397"/>
        <v>0</v>
      </c>
      <c r="AY396" s="54" t="s">
        <v>644</v>
      </c>
      <c r="AZ396" s="54" t="s">
        <v>1537</v>
      </c>
      <c r="BA396" s="48" t="s">
        <v>1542</v>
      </c>
      <c r="BC396" s="29">
        <f t="shared" si="398"/>
        <v>0</v>
      </c>
      <c r="BD396" s="29">
        <f t="shared" si="399"/>
        <v>0</v>
      </c>
      <c r="BE396" s="29">
        <v>0</v>
      </c>
      <c r="BF396" s="29">
        <f t="shared" si="400"/>
        <v>0</v>
      </c>
      <c r="BH396" s="55">
        <f t="shared" si="401"/>
        <v>0</v>
      </c>
      <c r="BI396" s="55">
        <f t="shared" si="402"/>
        <v>0</v>
      </c>
      <c r="BJ396" s="55">
        <f t="shared" si="403"/>
        <v>0</v>
      </c>
    </row>
    <row r="397" spans="1:62" ht="12.75">
      <c r="A397" s="36" t="s">
        <v>847</v>
      </c>
      <c r="B397" s="36" t="s">
        <v>60</v>
      </c>
      <c r="C397" s="36" t="s">
        <v>200</v>
      </c>
      <c r="D397" s="36" t="s">
        <v>1361</v>
      </c>
      <c r="E397" s="36" t="s">
        <v>607</v>
      </c>
      <c r="F397" s="55">
        <f>'Stavební rozpočet'!F399</f>
        <v>10</v>
      </c>
      <c r="G397" s="55">
        <f>'Stavební rozpočet'!G399</f>
        <v>0</v>
      </c>
      <c r="H397" s="55">
        <f t="shared" si="378"/>
        <v>0</v>
      </c>
      <c r="I397" s="55">
        <f t="shared" si="379"/>
        <v>0</v>
      </c>
      <c r="J397" s="55">
        <f t="shared" si="380"/>
        <v>0</v>
      </c>
      <c r="K397" s="55">
        <f>'Stavební rozpočet'!K399</f>
        <v>0</v>
      </c>
      <c r="L397" s="55">
        <f t="shared" si="381"/>
        <v>0</v>
      </c>
      <c r="M397" s="51" t="s">
        <v>622</v>
      </c>
      <c r="Z397" s="29">
        <f t="shared" si="382"/>
        <v>0</v>
      </c>
      <c r="AB397" s="29">
        <f t="shared" si="383"/>
        <v>0</v>
      </c>
      <c r="AC397" s="29">
        <f t="shared" si="384"/>
        <v>0</v>
      </c>
      <c r="AD397" s="29">
        <f t="shared" si="385"/>
        <v>0</v>
      </c>
      <c r="AE397" s="29">
        <f t="shared" si="386"/>
        <v>0</v>
      </c>
      <c r="AF397" s="29">
        <f t="shared" si="387"/>
        <v>0</v>
      </c>
      <c r="AG397" s="29">
        <f t="shared" si="388"/>
        <v>0</v>
      </c>
      <c r="AH397" s="29">
        <f t="shared" si="389"/>
        <v>0</v>
      </c>
      <c r="AI397" s="48" t="s">
        <v>60</v>
      </c>
      <c r="AJ397" s="55">
        <f t="shared" si="390"/>
        <v>0</v>
      </c>
      <c r="AK397" s="55">
        <f t="shared" si="391"/>
        <v>0</v>
      </c>
      <c r="AL397" s="55">
        <f t="shared" si="392"/>
        <v>0</v>
      </c>
      <c r="AN397" s="29">
        <v>15</v>
      </c>
      <c r="AO397" s="29">
        <f t="shared" si="393"/>
        <v>0</v>
      </c>
      <c r="AP397" s="29">
        <f t="shared" si="394"/>
        <v>0</v>
      </c>
      <c r="AQ397" s="51" t="s">
        <v>85</v>
      </c>
      <c r="AV397" s="29">
        <f t="shared" si="395"/>
        <v>0</v>
      </c>
      <c r="AW397" s="29">
        <f t="shared" si="396"/>
        <v>0</v>
      </c>
      <c r="AX397" s="29">
        <f t="shared" si="397"/>
        <v>0</v>
      </c>
      <c r="AY397" s="54" t="s">
        <v>644</v>
      </c>
      <c r="AZ397" s="54" t="s">
        <v>1537</v>
      </c>
      <c r="BA397" s="48" t="s">
        <v>1542</v>
      </c>
      <c r="BC397" s="29">
        <f t="shared" si="398"/>
        <v>0</v>
      </c>
      <c r="BD397" s="29">
        <f t="shared" si="399"/>
        <v>0</v>
      </c>
      <c r="BE397" s="29">
        <v>0</v>
      </c>
      <c r="BF397" s="29">
        <f t="shared" si="400"/>
        <v>0</v>
      </c>
      <c r="BH397" s="55">
        <f t="shared" si="401"/>
        <v>0</v>
      </c>
      <c r="BI397" s="55">
        <f t="shared" si="402"/>
        <v>0</v>
      </c>
      <c r="BJ397" s="55">
        <f t="shared" si="403"/>
        <v>0</v>
      </c>
    </row>
    <row r="398" spans="1:62" ht="12.75">
      <c r="A398" s="36" t="s">
        <v>848</v>
      </c>
      <c r="B398" s="36" t="s">
        <v>60</v>
      </c>
      <c r="C398" s="36" t="s">
        <v>201</v>
      </c>
      <c r="D398" s="36" t="s">
        <v>1362</v>
      </c>
      <c r="E398" s="36" t="s">
        <v>607</v>
      </c>
      <c r="F398" s="55">
        <f>'Stavební rozpočet'!F400</f>
        <v>5</v>
      </c>
      <c r="G398" s="55">
        <f>'Stavební rozpočet'!G400</f>
        <v>0</v>
      </c>
      <c r="H398" s="55">
        <f aca="true" t="shared" si="404" ref="H398:H414">F398*AO398</f>
        <v>0</v>
      </c>
      <c r="I398" s="55">
        <f aca="true" t="shared" si="405" ref="I398:I414">F398*AP398</f>
        <v>0</v>
      </c>
      <c r="J398" s="55">
        <f aca="true" t="shared" si="406" ref="J398:J414">F398*G398</f>
        <v>0</v>
      </c>
      <c r="K398" s="55">
        <f>'Stavební rozpočet'!K400</f>
        <v>0</v>
      </c>
      <c r="L398" s="55">
        <f aca="true" t="shared" si="407" ref="L398:L414">F398*K398</f>
        <v>0</v>
      </c>
      <c r="M398" s="51" t="s">
        <v>622</v>
      </c>
      <c r="Z398" s="29">
        <f aca="true" t="shared" si="408" ref="Z398:Z414">IF(AQ398="5",BJ398,0)</f>
        <v>0</v>
      </c>
      <c r="AB398" s="29">
        <f aca="true" t="shared" si="409" ref="AB398:AB414">IF(AQ398="1",BH398,0)</f>
        <v>0</v>
      </c>
      <c r="AC398" s="29">
        <f aca="true" t="shared" si="410" ref="AC398:AC414">IF(AQ398="1",BI398,0)</f>
        <v>0</v>
      </c>
      <c r="AD398" s="29">
        <f aca="true" t="shared" si="411" ref="AD398:AD414">IF(AQ398="7",BH398,0)</f>
        <v>0</v>
      </c>
      <c r="AE398" s="29">
        <f aca="true" t="shared" si="412" ref="AE398:AE414">IF(AQ398="7",BI398,0)</f>
        <v>0</v>
      </c>
      <c r="AF398" s="29">
        <f aca="true" t="shared" si="413" ref="AF398:AF414">IF(AQ398="2",BH398,0)</f>
        <v>0</v>
      </c>
      <c r="AG398" s="29">
        <f aca="true" t="shared" si="414" ref="AG398:AG414">IF(AQ398="2",BI398,0)</f>
        <v>0</v>
      </c>
      <c r="AH398" s="29">
        <f aca="true" t="shared" si="415" ref="AH398:AH414">IF(AQ398="0",BJ398,0)</f>
        <v>0</v>
      </c>
      <c r="AI398" s="48" t="s">
        <v>60</v>
      </c>
      <c r="AJ398" s="55">
        <f aca="true" t="shared" si="416" ref="AJ398:AJ414">IF(AN398=0,J398,0)</f>
        <v>0</v>
      </c>
      <c r="AK398" s="55">
        <f aca="true" t="shared" si="417" ref="AK398:AK414">IF(AN398=15,J398,0)</f>
        <v>0</v>
      </c>
      <c r="AL398" s="55">
        <f aca="true" t="shared" si="418" ref="AL398:AL414">IF(AN398=21,J398,0)</f>
        <v>0</v>
      </c>
      <c r="AN398" s="29">
        <v>15</v>
      </c>
      <c r="AO398" s="29">
        <f aca="true" t="shared" si="419" ref="AO398:AO414">G398*0</f>
        <v>0</v>
      </c>
      <c r="AP398" s="29">
        <f aca="true" t="shared" si="420" ref="AP398:AP414">G398*(1-0)</f>
        <v>0</v>
      </c>
      <c r="AQ398" s="51" t="s">
        <v>85</v>
      </c>
      <c r="AV398" s="29">
        <f aca="true" t="shared" si="421" ref="AV398:AV414">AW398+AX398</f>
        <v>0</v>
      </c>
      <c r="AW398" s="29">
        <f aca="true" t="shared" si="422" ref="AW398:AW414">F398*AO398</f>
        <v>0</v>
      </c>
      <c r="AX398" s="29">
        <f aca="true" t="shared" si="423" ref="AX398:AX414">F398*AP398</f>
        <v>0</v>
      </c>
      <c r="AY398" s="54" t="s">
        <v>644</v>
      </c>
      <c r="AZ398" s="54" t="s">
        <v>1537</v>
      </c>
      <c r="BA398" s="48" t="s">
        <v>1542</v>
      </c>
      <c r="BC398" s="29">
        <f aca="true" t="shared" si="424" ref="BC398:BC414">AW398+AX398</f>
        <v>0</v>
      </c>
      <c r="BD398" s="29">
        <f aca="true" t="shared" si="425" ref="BD398:BD414">G398/(100-BE398)*100</f>
        <v>0</v>
      </c>
      <c r="BE398" s="29">
        <v>0</v>
      </c>
      <c r="BF398" s="29">
        <f aca="true" t="shared" si="426" ref="BF398:BF414">L398</f>
        <v>0</v>
      </c>
      <c r="BH398" s="55">
        <f aca="true" t="shared" si="427" ref="BH398:BH414">F398*AO398</f>
        <v>0</v>
      </c>
      <c r="BI398" s="55">
        <f aca="true" t="shared" si="428" ref="BI398:BI414">F398*AP398</f>
        <v>0</v>
      </c>
      <c r="BJ398" s="55">
        <f aca="true" t="shared" si="429" ref="BJ398:BJ414">F398*G398</f>
        <v>0</v>
      </c>
    </row>
    <row r="399" spans="1:62" ht="12.75">
      <c r="A399" s="36" t="s">
        <v>849</v>
      </c>
      <c r="B399" s="36" t="s">
        <v>60</v>
      </c>
      <c r="C399" s="36" t="s">
        <v>315</v>
      </c>
      <c r="D399" s="36" t="s">
        <v>501</v>
      </c>
      <c r="E399" s="36" t="s">
        <v>611</v>
      </c>
      <c r="F399" s="55">
        <f>'Stavební rozpočet'!F401</f>
        <v>20</v>
      </c>
      <c r="G399" s="55">
        <f>'Stavební rozpočet'!G401</f>
        <v>0</v>
      </c>
      <c r="H399" s="55">
        <f t="shared" si="404"/>
        <v>0</v>
      </c>
      <c r="I399" s="55">
        <f t="shared" si="405"/>
        <v>0</v>
      </c>
      <c r="J399" s="55">
        <f t="shared" si="406"/>
        <v>0</v>
      </c>
      <c r="K399" s="55">
        <f>'Stavební rozpočet'!K401</f>
        <v>0</v>
      </c>
      <c r="L399" s="55">
        <f t="shared" si="407"/>
        <v>0</v>
      </c>
      <c r="M399" s="51" t="s">
        <v>622</v>
      </c>
      <c r="Z399" s="29">
        <f t="shared" si="408"/>
        <v>0</v>
      </c>
      <c r="AB399" s="29">
        <f t="shared" si="409"/>
        <v>0</v>
      </c>
      <c r="AC399" s="29">
        <f t="shared" si="410"/>
        <v>0</v>
      </c>
      <c r="AD399" s="29">
        <f t="shared" si="411"/>
        <v>0</v>
      </c>
      <c r="AE399" s="29">
        <f t="shared" si="412"/>
        <v>0</v>
      </c>
      <c r="AF399" s="29">
        <f t="shared" si="413"/>
        <v>0</v>
      </c>
      <c r="AG399" s="29">
        <f t="shared" si="414"/>
        <v>0</v>
      </c>
      <c r="AH399" s="29">
        <f t="shared" si="415"/>
        <v>0</v>
      </c>
      <c r="AI399" s="48" t="s">
        <v>60</v>
      </c>
      <c r="AJ399" s="55">
        <f t="shared" si="416"/>
        <v>0</v>
      </c>
      <c r="AK399" s="55">
        <f t="shared" si="417"/>
        <v>0</v>
      </c>
      <c r="AL399" s="55">
        <f t="shared" si="418"/>
        <v>0</v>
      </c>
      <c r="AN399" s="29">
        <v>15</v>
      </c>
      <c r="AO399" s="29">
        <f t="shared" si="419"/>
        <v>0</v>
      </c>
      <c r="AP399" s="29">
        <f t="shared" si="420"/>
        <v>0</v>
      </c>
      <c r="AQ399" s="51" t="s">
        <v>85</v>
      </c>
      <c r="AV399" s="29">
        <f t="shared" si="421"/>
        <v>0</v>
      </c>
      <c r="AW399" s="29">
        <f t="shared" si="422"/>
        <v>0</v>
      </c>
      <c r="AX399" s="29">
        <f t="shared" si="423"/>
        <v>0</v>
      </c>
      <c r="AY399" s="54" t="s">
        <v>644</v>
      </c>
      <c r="AZ399" s="54" t="s">
        <v>1537</v>
      </c>
      <c r="BA399" s="48" t="s">
        <v>1542</v>
      </c>
      <c r="BC399" s="29">
        <f t="shared" si="424"/>
        <v>0</v>
      </c>
      <c r="BD399" s="29">
        <f t="shared" si="425"/>
        <v>0</v>
      </c>
      <c r="BE399" s="29">
        <v>0</v>
      </c>
      <c r="BF399" s="29">
        <f t="shared" si="426"/>
        <v>0</v>
      </c>
      <c r="BH399" s="55">
        <f t="shared" si="427"/>
        <v>0</v>
      </c>
      <c r="BI399" s="55">
        <f t="shared" si="428"/>
        <v>0</v>
      </c>
      <c r="BJ399" s="55">
        <f t="shared" si="429"/>
        <v>0</v>
      </c>
    </row>
    <row r="400" spans="1:62" ht="12.75">
      <c r="A400" s="36" t="s">
        <v>850</v>
      </c>
      <c r="B400" s="36" t="s">
        <v>60</v>
      </c>
      <c r="C400" s="36" t="s">
        <v>316</v>
      </c>
      <c r="D400" s="36" t="s">
        <v>1363</v>
      </c>
      <c r="E400" s="36" t="s">
        <v>606</v>
      </c>
      <c r="F400" s="55">
        <f>'Stavební rozpočet'!F402</f>
        <v>1</v>
      </c>
      <c r="G400" s="55">
        <f>'Stavební rozpočet'!G402</f>
        <v>0</v>
      </c>
      <c r="H400" s="55">
        <f t="shared" si="404"/>
        <v>0</v>
      </c>
      <c r="I400" s="55">
        <f t="shared" si="405"/>
        <v>0</v>
      </c>
      <c r="J400" s="55">
        <f t="shared" si="406"/>
        <v>0</v>
      </c>
      <c r="K400" s="55">
        <f>'Stavební rozpočet'!K402</f>
        <v>0</v>
      </c>
      <c r="L400" s="55">
        <f t="shared" si="407"/>
        <v>0</v>
      </c>
      <c r="M400" s="51" t="s">
        <v>622</v>
      </c>
      <c r="Z400" s="29">
        <f t="shared" si="408"/>
        <v>0</v>
      </c>
      <c r="AB400" s="29">
        <f t="shared" si="409"/>
        <v>0</v>
      </c>
      <c r="AC400" s="29">
        <f t="shared" si="410"/>
        <v>0</v>
      </c>
      <c r="AD400" s="29">
        <f t="shared" si="411"/>
        <v>0</v>
      </c>
      <c r="AE400" s="29">
        <f t="shared" si="412"/>
        <v>0</v>
      </c>
      <c r="AF400" s="29">
        <f t="shared" si="413"/>
        <v>0</v>
      </c>
      <c r="AG400" s="29">
        <f t="shared" si="414"/>
        <v>0</v>
      </c>
      <c r="AH400" s="29">
        <f t="shared" si="415"/>
        <v>0</v>
      </c>
      <c r="AI400" s="48" t="s">
        <v>60</v>
      </c>
      <c r="AJ400" s="55">
        <f t="shared" si="416"/>
        <v>0</v>
      </c>
      <c r="AK400" s="55">
        <f t="shared" si="417"/>
        <v>0</v>
      </c>
      <c r="AL400" s="55">
        <f t="shared" si="418"/>
        <v>0</v>
      </c>
      <c r="AN400" s="29">
        <v>15</v>
      </c>
      <c r="AO400" s="29">
        <f t="shared" si="419"/>
        <v>0</v>
      </c>
      <c r="AP400" s="29">
        <f t="shared" si="420"/>
        <v>0</v>
      </c>
      <c r="AQ400" s="51" t="s">
        <v>85</v>
      </c>
      <c r="AV400" s="29">
        <f t="shared" si="421"/>
        <v>0</v>
      </c>
      <c r="AW400" s="29">
        <f t="shared" si="422"/>
        <v>0</v>
      </c>
      <c r="AX400" s="29">
        <f t="shared" si="423"/>
        <v>0</v>
      </c>
      <c r="AY400" s="54" t="s">
        <v>644</v>
      </c>
      <c r="AZ400" s="54" t="s">
        <v>1537</v>
      </c>
      <c r="BA400" s="48" t="s">
        <v>1542</v>
      </c>
      <c r="BC400" s="29">
        <f t="shared" si="424"/>
        <v>0</v>
      </c>
      <c r="BD400" s="29">
        <f t="shared" si="425"/>
        <v>0</v>
      </c>
      <c r="BE400" s="29">
        <v>0</v>
      </c>
      <c r="BF400" s="29">
        <f t="shared" si="426"/>
        <v>0</v>
      </c>
      <c r="BH400" s="55">
        <f t="shared" si="427"/>
        <v>0</v>
      </c>
      <c r="BI400" s="55">
        <f t="shared" si="428"/>
        <v>0</v>
      </c>
      <c r="BJ400" s="55">
        <f t="shared" si="429"/>
        <v>0</v>
      </c>
    </row>
    <row r="401" spans="1:62" ht="12.75">
      <c r="A401" s="36" t="s">
        <v>851</v>
      </c>
      <c r="B401" s="36" t="s">
        <v>60</v>
      </c>
      <c r="C401" s="36" t="s">
        <v>698</v>
      </c>
      <c r="D401" s="36" t="s">
        <v>1364</v>
      </c>
      <c r="E401" s="36" t="s">
        <v>606</v>
      </c>
      <c r="F401" s="55">
        <f>'Stavební rozpočet'!F403</f>
        <v>8</v>
      </c>
      <c r="G401" s="55">
        <f>'Stavební rozpočet'!G403</f>
        <v>0</v>
      </c>
      <c r="H401" s="55">
        <f t="shared" si="404"/>
        <v>0</v>
      </c>
      <c r="I401" s="55">
        <f t="shared" si="405"/>
        <v>0</v>
      </c>
      <c r="J401" s="55">
        <f t="shared" si="406"/>
        <v>0</v>
      </c>
      <c r="K401" s="55">
        <f>'Stavební rozpočet'!K403</f>
        <v>0</v>
      </c>
      <c r="L401" s="55">
        <f t="shared" si="407"/>
        <v>0</v>
      </c>
      <c r="M401" s="51" t="s">
        <v>622</v>
      </c>
      <c r="Z401" s="29">
        <f t="shared" si="408"/>
        <v>0</v>
      </c>
      <c r="AB401" s="29">
        <f t="shared" si="409"/>
        <v>0</v>
      </c>
      <c r="AC401" s="29">
        <f t="shared" si="410"/>
        <v>0</v>
      </c>
      <c r="AD401" s="29">
        <f t="shared" si="411"/>
        <v>0</v>
      </c>
      <c r="AE401" s="29">
        <f t="shared" si="412"/>
        <v>0</v>
      </c>
      <c r="AF401" s="29">
        <f t="shared" si="413"/>
        <v>0</v>
      </c>
      <c r="AG401" s="29">
        <f t="shared" si="414"/>
        <v>0</v>
      </c>
      <c r="AH401" s="29">
        <f t="shared" si="415"/>
        <v>0</v>
      </c>
      <c r="AI401" s="48" t="s">
        <v>60</v>
      </c>
      <c r="AJ401" s="55">
        <f t="shared" si="416"/>
        <v>0</v>
      </c>
      <c r="AK401" s="55">
        <f t="shared" si="417"/>
        <v>0</v>
      </c>
      <c r="AL401" s="55">
        <f t="shared" si="418"/>
        <v>0</v>
      </c>
      <c r="AN401" s="29">
        <v>15</v>
      </c>
      <c r="AO401" s="29">
        <f t="shared" si="419"/>
        <v>0</v>
      </c>
      <c r="AP401" s="29">
        <f t="shared" si="420"/>
        <v>0</v>
      </c>
      <c r="AQ401" s="51" t="s">
        <v>85</v>
      </c>
      <c r="AV401" s="29">
        <f t="shared" si="421"/>
        <v>0</v>
      </c>
      <c r="AW401" s="29">
        <f t="shared" si="422"/>
        <v>0</v>
      </c>
      <c r="AX401" s="29">
        <f t="shared" si="423"/>
        <v>0</v>
      </c>
      <c r="AY401" s="54" t="s">
        <v>644</v>
      </c>
      <c r="AZ401" s="54" t="s">
        <v>1537</v>
      </c>
      <c r="BA401" s="48" t="s">
        <v>1542</v>
      </c>
      <c r="BC401" s="29">
        <f t="shared" si="424"/>
        <v>0</v>
      </c>
      <c r="BD401" s="29">
        <f t="shared" si="425"/>
        <v>0</v>
      </c>
      <c r="BE401" s="29">
        <v>0</v>
      </c>
      <c r="BF401" s="29">
        <f t="shared" si="426"/>
        <v>0</v>
      </c>
      <c r="BH401" s="55">
        <f t="shared" si="427"/>
        <v>0</v>
      </c>
      <c r="BI401" s="55">
        <f t="shared" si="428"/>
        <v>0</v>
      </c>
      <c r="BJ401" s="55">
        <f t="shared" si="429"/>
        <v>0</v>
      </c>
    </row>
    <row r="402" spans="1:62" ht="12.75">
      <c r="A402" s="36" t="s">
        <v>852</v>
      </c>
      <c r="B402" s="36" t="s">
        <v>60</v>
      </c>
      <c r="C402" s="36" t="s">
        <v>699</v>
      </c>
      <c r="D402" s="36" t="s">
        <v>1365</v>
      </c>
      <c r="E402" s="36" t="s">
        <v>1527</v>
      </c>
      <c r="F402" s="55">
        <f>'Stavební rozpočet'!F404</f>
        <v>1</v>
      </c>
      <c r="G402" s="55">
        <f>'Stavební rozpočet'!G404</f>
        <v>0</v>
      </c>
      <c r="H402" s="55">
        <f t="shared" si="404"/>
        <v>0</v>
      </c>
      <c r="I402" s="55">
        <f t="shared" si="405"/>
        <v>0</v>
      </c>
      <c r="J402" s="55">
        <f t="shared" si="406"/>
        <v>0</v>
      </c>
      <c r="K402" s="55">
        <f>'Stavební rozpočet'!K404</f>
        <v>0</v>
      </c>
      <c r="L402" s="55">
        <f t="shared" si="407"/>
        <v>0</v>
      </c>
      <c r="M402" s="51" t="s">
        <v>622</v>
      </c>
      <c r="Z402" s="29">
        <f t="shared" si="408"/>
        <v>0</v>
      </c>
      <c r="AB402" s="29">
        <f t="shared" si="409"/>
        <v>0</v>
      </c>
      <c r="AC402" s="29">
        <f t="shared" si="410"/>
        <v>0</v>
      </c>
      <c r="AD402" s="29">
        <f t="shared" si="411"/>
        <v>0</v>
      </c>
      <c r="AE402" s="29">
        <f t="shared" si="412"/>
        <v>0</v>
      </c>
      <c r="AF402" s="29">
        <f t="shared" si="413"/>
        <v>0</v>
      </c>
      <c r="AG402" s="29">
        <f t="shared" si="414"/>
        <v>0</v>
      </c>
      <c r="AH402" s="29">
        <f t="shared" si="415"/>
        <v>0</v>
      </c>
      <c r="AI402" s="48" t="s">
        <v>60</v>
      </c>
      <c r="AJ402" s="55">
        <f t="shared" si="416"/>
        <v>0</v>
      </c>
      <c r="AK402" s="55">
        <f t="shared" si="417"/>
        <v>0</v>
      </c>
      <c r="AL402" s="55">
        <f t="shared" si="418"/>
        <v>0</v>
      </c>
      <c r="AN402" s="29">
        <v>15</v>
      </c>
      <c r="AO402" s="29">
        <f t="shared" si="419"/>
        <v>0</v>
      </c>
      <c r="AP402" s="29">
        <f t="shared" si="420"/>
        <v>0</v>
      </c>
      <c r="AQ402" s="51" t="s">
        <v>85</v>
      </c>
      <c r="AV402" s="29">
        <f t="shared" si="421"/>
        <v>0</v>
      </c>
      <c r="AW402" s="29">
        <f t="shared" si="422"/>
        <v>0</v>
      </c>
      <c r="AX402" s="29">
        <f t="shared" si="423"/>
        <v>0</v>
      </c>
      <c r="AY402" s="54" t="s">
        <v>644</v>
      </c>
      <c r="AZ402" s="54" t="s">
        <v>1537</v>
      </c>
      <c r="BA402" s="48" t="s">
        <v>1542</v>
      </c>
      <c r="BC402" s="29">
        <f t="shared" si="424"/>
        <v>0</v>
      </c>
      <c r="BD402" s="29">
        <f t="shared" si="425"/>
        <v>0</v>
      </c>
      <c r="BE402" s="29">
        <v>0</v>
      </c>
      <c r="BF402" s="29">
        <f t="shared" si="426"/>
        <v>0</v>
      </c>
      <c r="BH402" s="55">
        <f t="shared" si="427"/>
        <v>0</v>
      </c>
      <c r="BI402" s="55">
        <f t="shared" si="428"/>
        <v>0</v>
      </c>
      <c r="BJ402" s="55">
        <f t="shared" si="429"/>
        <v>0</v>
      </c>
    </row>
    <row r="403" spans="1:62" ht="12.75">
      <c r="A403" s="36" t="s">
        <v>853</v>
      </c>
      <c r="B403" s="36" t="s">
        <v>60</v>
      </c>
      <c r="C403" s="36" t="s">
        <v>700</v>
      </c>
      <c r="D403" s="36" t="s">
        <v>497</v>
      </c>
      <c r="E403" s="36" t="s">
        <v>611</v>
      </c>
      <c r="F403" s="55">
        <f>'Stavební rozpočet'!F405</f>
        <v>5</v>
      </c>
      <c r="G403" s="55">
        <f>'Stavební rozpočet'!G405</f>
        <v>0</v>
      </c>
      <c r="H403" s="55">
        <f t="shared" si="404"/>
        <v>0</v>
      </c>
      <c r="I403" s="55">
        <f t="shared" si="405"/>
        <v>0</v>
      </c>
      <c r="J403" s="55">
        <f t="shared" si="406"/>
        <v>0</v>
      </c>
      <c r="K403" s="55">
        <f>'Stavební rozpočet'!K405</f>
        <v>0</v>
      </c>
      <c r="L403" s="55">
        <f t="shared" si="407"/>
        <v>0</v>
      </c>
      <c r="M403" s="51" t="s">
        <v>622</v>
      </c>
      <c r="Z403" s="29">
        <f t="shared" si="408"/>
        <v>0</v>
      </c>
      <c r="AB403" s="29">
        <f t="shared" si="409"/>
        <v>0</v>
      </c>
      <c r="AC403" s="29">
        <f t="shared" si="410"/>
        <v>0</v>
      </c>
      <c r="AD403" s="29">
        <f t="shared" si="411"/>
        <v>0</v>
      </c>
      <c r="AE403" s="29">
        <f t="shared" si="412"/>
        <v>0</v>
      </c>
      <c r="AF403" s="29">
        <f t="shared" si="413"/>
        <v>0</v>
      </c>
      <c r="AG403" s="29">
        <f t="shared" si="414"/>
        <v>0</v>
      </c>
      <c r="AH403" s="29">
        <f t="shared" si="415"/>
        <v>0</v>
      </c>
      <c r="AI403" s="48" t="s">
        <v>60</v>
      </c>
      <c r="AJ403" s="55">
        <f t="shared" si="416"/>
        <v>0</v>
      </c>
      <c r="AK403" s="55">
        <f t="shared" si="417"/>
        <v>0</v>
      </c>
      <c r="AL403" s="55">
        <f t="shared" si="418"/>
        <v>0</v>
      </c>
      <c r="AN403" s="29">
        <v>15</v>
      </c>
      <c r="AO403" s="29">
        <f t="shared" si="419"/>
        <v>0</v>
      </c>
      <c r="AP403" s="29">
        <f t="shared" si="420"/>
        <v>0</v>
      </c>
      <c r="AQ403" s="51" t="s">
        <v>85</v>
      </c>
      <c r="AV403" s="29">
        <f t="shared" si="421"/>
        <v>0</v>
      </c>
      <c r="AW403" s="29">
        <f t="shared" si="422"/>
        <v>0</v>
      </c>
      <c r="AX403" s="29">
        <f t="shared" si="423"/>
        <v>0</v>
      </c>
      <c r="AY403" s="54" t="s">
        <v>644</v>
      </c>
      <c r="AZ403" s="54" t="s">
        <v>1537</v>
      </c>
      <c r="BA403" s="48" t="s">
        <v>1542</v>
      </c>
      <c r="BC403" s="29">
        <f t="shared" si="424"/>
        <v>0</v>
      </c>
      <c r="BD403" s="29">
        <f t="shared" si="425"/>
        <v>0</v>
      </c>
      <c r="BE403" s="29">
        <v>0</v>
      </c>
      <c r="BF403" s="29">
        <f t="shared" si="426"/>
        <v>0</v>
      </c>
      <c r="BH403" s="55">
        <f t="shared" si="427"/>
        <v>0</v>
      </c>
      <c r="BI403" s="55">
        <f t="shared" si="428"/>
        <v>0</v>
      </c>
      <c r="BJ403" s="55">
        <f t="shared" si="429"/>
        <v>0</v>
      </c>
    </row>
    <row r="404" spans="1:62" ht="12.75">
      <c r="A404" s="36" t="s">
        <v>854</v>
      </c>
      <c r="B404" s="36" t="s">
        <v>60</v>
      </c>
      <c r="C404" s="36" t="s">
        <v>701</v>
      </c>
      <c r="D404" s="36" t="s">
        <v>1366</v>
      </c>
      <c r="E404" s="36" t="s">
        <v>606</v>
      </c>
      <c r="F404" s="55">
        <f>'Stavební rozpočet'!F406</f>
        <v>1</v>
      </c>
      <c r="G404" s="55">
        <f>'Stavební rozpočet'!G406</f>
        <v>0</v>
      </c>
      <c r="H404" s="55">
        <f t="shared" si="404"/>
        <v>0</v>
      </c>
      <c r="I404" s="55">
        <f t="shared" si="405"/>
        <v>0</v>
      </c>
      <c r="J404" s="55">
        <f t="shared" si="406"/>
        <v>0</v>
      </c>
      <c r="K404" s="55">
        <f>'Stavební rozpočet'!K406</f>
        <v>0</v>
      </c>
      <c r="L404" s="55">
        <f t="shared" si="407"/>
        <v>0</v>
      </c>
      <c r="M404" s="51" t="s">
        <v>622</v>
      </c>
      <c r="Z404" s="29">
        <f t="shared" si="408"/>
        <v>0</v>
      </c>
      <c r="AB404" s="29">
        <f t="shared" si="409"/>
        <v>0</v>
      </c>
      <c r="AC404" s="29">
        <f t="shared" si="410"/>
        <v>0</v>
      </c>
      <c r="AD404" s="29">
        <f t="shared" si="411"/>
        <v>0</v>
      </c>
      <c r="AE404" s="29">
        <f t="shared" si="412"/>
        <v>0</v>
      </c>
      <c r="AF404" s="29">
        <f t="shared" si="413"/>
        <v>0</v>
      </c>
      <c r="AG404" s="29">
        <f t="shared" si="414"/>
        <v>0</v>
      </c>
      <c r="AH404" s="29">
        <f t="shared" si="415"/>
        <v>0</v>
      </c>
      <c r="AI404" s="48" t="s">
        <v>60</v>
      </c>
      <c r="AJ404" s="55">
        <f t="shared" si="416"/>
        <v>0</v>
      </c>
      <c r="AK404" s="55">
        <f t="shared" si="417"/>
        <v>0</v>
      </c>
      <c r="AL404" s="55">
        <f t="shared" si="418"/>
        <v>0</v>
      </c>
      <c r="AN404" s="29">
        <v>15</v>
      </c>
      <c r="AO404" s="29">
        <f t="shared" si="419"/>
        <v>0</v>
      </c>
      <c r="AP404" s="29">
        <f t="shared" si="420"/>
        <v>0</v>
      </c>
      <c r="AQ404" s="51" t="s">
        <v>85</v>
      </c>
      <c r="AV404" s="29">
        <f t="shared" si="421"/>
        <v>0</v>
      </c>
      <c r="AW404" s="29">
        <f t="shared" si="422"/>
        <v>0</v>
      </c>
      <c r="AX404" s="29">
        <f t="shared" si="423"/>
        <v>0</v>
      </c>
      <c r="AY404" s="54" t="s">
        <v>644</v>
      </c>
      <c r="AZ404" s="54" t="s">
        <v>1537</v>
      </c>
      <c r="BA404" s="48" t="s">
        <v>1542</v>
      </c>
      <c r="BC404" s="29">
        <f t="shared" si="424"/>
        <v>0</v>
      </c>
      <c r="BD404" s="29">
        <f t="shared" si="425"/>
        <v>0</v>
      </c>
      <c r="BE404" s="29">
        <v>0</v>
      </c>
      <c r="BF404" s="29">
        <f t="shared" si="426"/>
        <v>0</v>
      </c>
      <c r="BH404" s="55">
        <f t="shared" si="427"/>
        <v>0</v>
      </c>
      <c r="BI404" s="55">
        <f t="shared" si="428"/>
        <v>0</v>
      </c>
      <c r="BJ404" s="55">
        <f t="shared" si="429"/>
        <v>0</v>
      </c>
    </row>
    <row r="405" spans="1:62" ht="12.75">
      <c r="A405" s="36" t="s">
        <v>855</v>
      </c>
      <c r="B405" s="36" t="s">
        <v>60</v>
      </c>
      <c r="C405" s="36" t="s">
        <v>702</v>
      </c>
      <c r="D405" s="36" t="s">
        <v>1367</v>
      </c>
      <c r="E405" s="36" t="s">
        <v>606</v>
      </c>
      <c r="F405" s="55">
        <f>'Stavební rozpočet'!F407</f>
        <v>1</v>
      </c>
      <c r="G405" s="55">
        <f>'Stavební rozpočet'!G407</f>
        <v>0</v>
      </c>
      <c r="H405" s="55">
        <f t="shared" si="404"/>
        <v>0</v>
      </c>
      <c r="I405" s="55">
        <f t="shared" si="405"/>
        <v>0</v>
      </c>
      <c r="J405" s="55">
        <f t="shared" si="406"/>
        <v>0</v>
      </c>
      <c r="K405" s="55">
        <f>'Stavební rozpočet'!K407</f>
        <v>0</v>
      </c>
      <c r="L405" s="55">
        <f t="shared" si="407"/>
        <v>0</v>
      </c>
      <c r="M405" s="51" t="s">
        <v>622</v>
      </c>
      <c r="Z405" s="29">
        <f t="shared" si="408"/>
        <v>0</v>
      </c>
      <c r="AB405" s="29">
        <f t="shared" si="409"/>
        <v>0</v>
      </c>
      <c r="AC405" s="29">
        <f t="shared" si="410"/>
        <v>0</v>
      </c>
      <c r="AD405" s="29">
        <f t="shared" si="411"/>
        <v>0</v>
      </c>
      <c r="AE405" s="29">
        <f t="shared" si="412"/>
        <v>0</v>
      </c>
      <c r="AF405" s="29">
        <f t="shared" si="413"/>
        <v>0</v>
      </c>
      <c r="AG405" s="29">
        <f t="shared" si="414"/>
        <v>0</v>
      </c>
      <c r="AH405" s="29">
        <f t="shared" si="415"/>
        <v>0</v>
      </c>
      <c r="AI405" s="48" t="s">
        <v>60</v>
      </c>
      <c r="AJ405" s="55">
        <f t="shared" si="416"/>
        <v>0</v>
      </c>
      <c r="AK405" s="55">
        <f t="shared" si="417"/>
        <v>0</v>
      </c>
      <c r="AL405" s="55">
        <f t="shared" si="418"/>
        <v>0</v>
      </c>
      <c r="AN405" s="29">
        <v>15</v>
      </c>
      <c r="AO405" s="29">
        <f t="shared" si="419"/>
        <v>0</v>
      </c>
      <c r="AP405" s="29">
        <f t="shared" si="420"/>
        <v>0</v>
      </c>
      <c r="AQ405" s="51" t="s">
        <v>85</v>
      </c>
      <c r="AV405" s="29">
        <f t="shared" si="421"/>
        <v>0</v>
      </c>
      <c r="AW405" s="29">
        <f t="shared" si="422"/>
        <v>0</v>
      </c>
      <c r="AX405" s="29">
        <f t="shared" si="423"/>
        <v>0</v>
      </c>
      <c r="AY405" s="54" t="s">
        <v>644</v>
      </c>
      <c r="AZ405" s="54" t="s">
        <v>1537</v>
      </c>
      <c r="BA405" s="48" t="s">
        <v>1542</v>
      </c>
      <c r="BC405" s="29">
        <f t="shared" si="424"/>
        <v>0</v>
      </c>
      <c r="BD405" s="29">
        <f t="shared" si="425"/>
        <v>0</v>
      </c>
      <c r="BE405" s="29">
        <v>0</v>
      </c>
      <c r="BF405" s="29">
        <f t="shared" si="426"/>
        <v>0</v>
      </c>
      <c r="BH405" s="55">
        <f t="shared" si="427"/>
        <v>0</v>
      </c>
      <c r="BI405" s="55">
        <f t="shared" si="428"/>
        <v>0</v>
      </c>
      <c r="BJ405" s="55">
        <f t="shared" si="429"/>
        <v>0</v>
      </c>
    </row>
    <row r="406" spans="1:62" ht="12.75">
      <c r="A406" s="36" t="s">
        <v>856</v>
      </c>
      <c r="B406" s="36" t="s">
        <v>60</v>
      </c>
      <c r="C406" s="36" t="s">
        <v>703</v>
      </c>
      <c r="D406" s="36" t="s">
        <v>1368</v>
      </c>
      <c r="E406" s="36" t="s">
        <v>606</v>
      </c>
      <c r="F406" s="55">
        <f>'Stavební rozpočet'!F408</f>
        <v>1</v>
      </c>
      <c r="G406" s="55">
        <f>'Stavební rozpočet'!G408</f>
        <v>0</v>
      </c>
      <c r="H406" s="55">
        <f t="shared" si="404"/>
        <v>0</v>
      </c>
      <c r="I406" s="55">
        <f t="shared" si="405"/>
        <v>0</v>
      </c>
      <c r="J406" s="55">
        <f t="shared" si="406"/>
        <v>0</v>
      </c>
      <c r="K406" s="55">
        <f>'Stavební rozpočet'!K408</f>
        <v>0</v>
      </c>
      <c r="L406" s="55">
        <f t="shared" si="407"/>
        <v>0</v>
      </c>
      <c r="M406" s="51" t="s">
        <v>622</v>
      </c>
      <c r="Z406" s="29">
        <f t="shared" si="408"/>
        <v>0</v>
      </c>
      <c r="AB406" s="29">
        <f t="shared" si="409"/>
        <v>0</v>
      </c>
      <c r="AC406" s="29">
        <f t="shared" si="410"/>
        <v>0</v>
      </c>
      <c r="AD406" s="29">
        <f t="shared" si="411"/>
        <v>0</v>
      </c>
      <c r="AE406" s="29">
        <f t="shared" si="412"/>
        <v>0</v>
      </c>
      <c r="AF406" s="29">
        <f t="shared" si="413"/>
        <v>0</v>
      </c>
      <c r="AG406" s="29">
        <f t="shared" si="414"/>
        <v>0</v>
      </c>
      <c r="AH406" s="29">
        <f t="shared" si="415"/>
        <v>0</v>
      </c>
      <c r="AI406" s="48" t="s">
        <v>60</v>
      </c>
      <c r="AJ406" s="55">
        <f t="shared" si="416"/>
        <v>0</v>
      </c>
      <c r="AK406" s="55">
        <f t="shared" si="417"/>
        <v>0</v>
      </c>
      <c r="AL406" s="55">
        <f t="shared" si="418"/>
        <v>0</v>
      </c>
      <c r="AN406" s="29">
        <v>15</v>
      </c>
      <c r="AO406" s="29">
        <f t="shared" si="419"/>
        <v>0</v>
      </c>
      <c r="AP406" s="29">
        <f t="shared" si="420"/>
        <v>0</v>
      </c>
      <c r="AQ406" s="51" t="s">
        <v>85</v>
      </c>
      <c r="AV406" s="29">
        <f t="shared" si="421"/>
        <v>0</v>
      </c>
      <c r="AW406" s="29">
        <f t="shared" si="422"/>
        <v>0</v>
      </c>
      <c r="AX406" s="29">
        <f t="shared" si="423"/>
        <v>0</v>
      </c>
      <c r="AY406" s="54" t="s">
        <v>644</v>
      </c>
      <c r="AZ406" s="54" t="s">
        <v>1537</v>
      </c>
      <c r="BA406" s="48" t="s">
        <v>1542</v>
      </c>
      <c r="BC406" s="29">
        <f t="shared" si="424"/>
        <v>0</v>
      </c>
      <c r="BD406" s="29">
        <f t="shared" si="425"/>
        <v>0</v>
      </c>
      <c r="BE406" s="29">
        <v>0</v>
      </c>
      <c r="BF406" s="29">
        <f t="shared" si="426"/>
        <v>0</v>
      </c>
      <c r="BH406" s="55">
        <f t="shared" si="427"/>
        <v>0</v>
      </c>
      <c r="BI406" s="55">
        <f t="shared" si="428"/>
        <v>0</v>
      </c>
      <c r="BJ406" s="55">
        <f t="shared" si="429"/>
        <v>0</v>
      </c>
    </row>
    <row r="407" spans="1:62" ht="12.75">
      <c r="A407" s="36" t="s">
        <v>857</v>
      </c>
      <c r="B407" s="36" t="s">
        <v>60</v>
      </c>
      <c r="C407" s="36" t="s">
        <v>704</v>
      </c>
      <c r="D407" s="36" t="s">
        <v>1369</v>
      </c>
      <c r="E407" s="36" t="s">
        <v>606</v>
      </c>
      <c r="F407" s="55">
        <f>'Stavební rozpočet'!F409</f>
        <v>1</v>
      </c>
      <c r="G407" s="55">
        <f>'Stavební rozpočet'!G409</f>
        <v>0</v>
      </c>
      <c r="H407" s="55">
        <f t="shared" si="404"/>
        <v>0</v>
      </c>
      <c r="I407" s="55">
        <f t="shared" si="405"/>
        <v>0</v>
      </c>
      <c r="J407" s="55">
        <f t="shared" si="406"/>
        <v>0</v>
      </c>
      <c r="K407" s="55">
        <f>'Stavební rozpočet'!K409</f>
        <v>0</v>
      </c>
      <c r="L407" s="55">
        <f t="shared" si="407"/>
        <v>0</v>
      </c>
      <c r="M407" s="51" t="s">
        <v>622</v>
      </c>
      <c r="Z407" s="29">
        <f t="shared" si="408"/>
        <v>0</v>
      </c>
      <c r="AB407" s="29">
        <f t="shared" si="409"/>
        <v>0</v>
      </c>
      <c r="AC407" s="29">
        <f t="shared" si="410"/>
        <v>0</v>
      </c>
      <c r="AD407" s="29">
        <f t="shared" si="411"/>
        <v>0</v>
      </c>
      <c r="AE407" s="29">
        <f t="shared" si="412"/>
        <v>0</v>
      </c>
      <c r="AF407" s="29">
        <f t="shared" si="413"/>
        <v>0</v>
      </c>
      <c r="AG407" s="29">
        <f t="shared" si="414"/>
        <v>0</v>
      </c>
      <c r="AH407" s="29">
        <f t="shared" si="415"/>
        <v>0</v>
      </c>
      <c r="AI407" s="48" t="s">
        <v>60</v>
      </c>
      <c r="AJ407" s="55">
        <f t="shared" si="416"/>
        <v>0</v>
      </c>
      <c r="AK407" s="55">
        <f t="shared" si="417"/>
        <v>0</v>
      </c>
      <c r="AL407" s="55">
        <f t="shared" si="418"/>
        <v>0</v>
      </c>
      <c r="AN407" s="29">
        <v>15</v>
      </c>
      <c r="AO407" s="29">
        <f t="shared" si="419"/>
        <v>0</v>
      </c>
      <c r="AP407" s="29">
        <f t="shared" si="420"/>
        <v>0</v>
      </c>
      <c r="AQ407" s="51" t="s">
        <v>85</v>
      </c>
      <c r="AV407" s="29">
        <f t="shared" si="421"/>
        <v>0</v>
      </c>
      <c r="AW407" s="29">
        <f t="shared" si="422"/>
        <v>0</v>
      </c>
      <c r="AX407" s="29">
        <f t="shared" si="423"/>
        <v>0</v>
      </c>
      <c r="AY407" s="54" t="s">
        <v>644</v>
      </c>
      <c r="AZ407" s="54" t="s">
        <v>1537</v>
      </c>
      <c r="BA407" s="48" t="s">
        <v>1542</v>
      </c>
      <c r="BC407" s="29">
        <f t="shared" si="424"/>
        <v>0</v>
      </c>
      <c r="BD407" s="29">
        <f t="shared" si="425"/>
        <v>0</v>
      </c>
      <c r="BE407" s="29">
        <v>0</v>
      </c>
      <c r="BF407" s="29">
        <f t="shared" si="426"/>
        <v>0</v>
      </c>
      <c r="BH407" s="55">
        <f t="shared" si="427"/>
        <v>0</v>
      </c>
      <c r="BI407" s="55">
        <f t="shared" si="428"/>
        <v>0</v>
      </c>
      <c r="BJ407" s="55">
        <f t="shared" si="429"/>
        <v>0</v>
      </c>
    </row>
    <row r="408" spans="1:62" ht="12.75">
      <c r="A408" s="36" t="s">
        <v>858</v>
      </c>
      <c r="B408" s="36" t="s">
        <v>60</v>
      </c>
      <c r="C408" s="36" t="s">
        <v>705</v>
      </c>
      <c r="D408" s="36" t="s">
        <v>1370</v>
      </c>
      <c r="E408" s="36" t="s">
        <v>611</v>
      </c>
      <c r="F408" s="55">
        <f>'Stavební rozpočet'!F410</f>
        <v>10</v>
      </c>
      <c r="G408" s="55">
        <f>'Stavební rozpočet'!G410</f>
        <v>0</v>
      </c>
      <c r="H408" s="55">
        <f t="shared" si="404"/>
        <v>0</v>
      </c>
      <c r="I408" s="55">
        <f t="shared" si="405"/>
        <v>0</v>
      </c>
      <c r="J408" s="55">
        <f t="shared" si="406"/>
        <v>0</v>
      </c>
      <c r="K408" s="55">
        <f>'Stavební rozpočet'!K410</f>
        <v>0</v>
      </c>
      <c r="L408" s="55">
        <f t="shared" si="407"/>
        <v>0</v>
      </c>
      <c r="M408" s="51" t="s">
        <v>622</v>
      </c>
      <c r="Z408" s="29">
        <f t="shared" si="408"/>
        <v>0</v>
      </c>
      <c r="AB408" s="29">
        <f t="shared" si="409"/>
        <v>0</v>
      </c>
      <c r="AC408" s="29">
        <f t="shared" si="410"/>
        <v>0</v>
      </c>
      <c r="AD408" s="29">
        <f t="shared" si="411"/>
        <v>0</v>
      </c>
      <c r="AE408" s="29">
        <f t="shared" si="412"/>
        <v>0</v>
      </c>
      <c r="AF408" s="29">
        <f t="shared" si="413"/>
        <v>0</v>
      </c>
      <c r="AG408" s="29">
        <f t="shared" si="414"/>
        <v>0</v>
      </c>
      <c r="AH408" s="29">
        <f t="shared" si="415"/>
        <v>0</v>
      </c>
      <c r="AI408" s="48" t="s">
        <v>60</v>
      </c>
      <c r="AJ408" s="55">
        <f t="shared" si="416"/>
        <v>0</v>
      </c>
      <c r="AK408" s="55">
        <f t="shared" si="417"/>
        <v>0</v>
      </c>
      <c r="AL408" s="55">
        <f t="shared" si="418"/>
        <v>0</v>
      </c>
      <c r="AN408" s="29">
        <v>15</v>
      </c>
      <c r="AO408" s="29">
        <f t="shared" si="419"/>
        <v>0</v>
      </c>
      <c r="AP408" s="29">
        <f t="shared" si="420"/>
        <v>0</v>
      </c>
      <c r="AQ408" s="51" t="s">
        <v>85</v>
      </c>
      <c r="AV408" s="29">
        <f t="shared" si="421"/>
        <v>0</v>
      </c>
      <c r="AW408" s="29">
        <f t="shared" si="422"/>
        <v>0</v>
      </c>
      <c r="AX408" s="29">
        <f t="shared" si="423"/>
        <v>0</v>
      </c>
      <c r="AY408" s="54" t="s">
        <v>644</v>
      </c>
      <c r="AZ408" s="54" t="s">
        <v>1537</v>
      </c>
      <c r="BA408" s="48" t="s">
        <v>1542</v>
      </c>
      <c r="BC408" s="29">
        <f t="shared" si="424"/>
        <v>0</v>
      </c>
      <c r="BD408" s="29">
        <f t="shared" si="425"/>
        <v>0</v>
      </c>
      <c r="BE408" s="29">
        <v>0</v>
      </c>
      <c r="BF408" s="29">
        <f t="shared" si="426"/>
        <v>0</v>
      </c>
      <c r="BH408" s="55">
        <f t="shared" si="427"/>
        <v>0</v>
      </c>
      <c r="BI408" s="55">
        <f t="shared" si="428"/>
        <v>0</v>
      </c>
      <c r="BJ408" s="55">
        <f t="shared" si="429"/>
        <v>0</v>
      </c>
    </row>
    <row r="409" spans="1:62" ht="12.75">
      <c r="A409" s="36" t="s">
        <v>859</v>
      </c>
      <c r="B409" s="36" t="s">
        <v>60</v>
      </c>
      <c r="C409" s="36" t="s">
        <v>706</v>
      </c>
      <c r="D409" s="36" t="s">
        <v>491</v>
      </c>
      <c r="E409" s="36" t="s">
        <v>606</v>
      </c>
      <c r="F409" s="55">
        <f>'Stavební rozpočet'!F411</f>
        <v>1</v>
      </c>
      <c r="G409" s="55">
        <f>'Stavební rozpočet'!G411</f>
        <v>0</v>
      </c>
      <c r="H409" s="55">
        <f t="shared" si="404"/>
        <v>0</v>
      </c>
      <c r="I409" s="55">
        <f t="shared" si="405"/>
        <v>0</v>
      </c>
      <c r="J409" s="55">
        <f t="shared" si="406"/>
        <v>0</v>
      </c>
      <c r="K409" s="55">
        <f>'Stavební rozpočet'!K411</f>
        <v>0</v>
      </c>
      <c r="L409" s="55">
        <f t="shared" si="407"/>
        <v>0</v>
      </c>
      <c r="M409" s="51" t="s">
        <v>622</v>
      </c>
      <c r="Z409" s="29">
        <f t="shared" si="408"/>
        <v>0</v>
      </c>
      <c r="AB409" s="29">
        <f t="shared" si="409"/>
        <v>0</v>
      </c>
      <c r="AC409" s="29">
        <f t="shared" si="410"/>
        <v>0</v>
      </c>
      <c r="AD409" s="29">
        <f t="shared" si="411"/>
        <v>0</v>
      </c>
      <c r="AE409" s="29">
        <f t="shared" si="412"/>
        <v>0</v>
      </c>
      <c r="AF409" s="29">
        <f t="shared" si="413"/>
        <v>0</v>
      </c>
      <c r="AG409" s="29">
        <f t="shared" si="414"/>
        <v>0</v>
      </c>
      <c r="AH409" s="29">
        <f t="shared" si="415"/>
        <v>0</v>
      </c>
      <c r="AI409" s="48" t="s">
        <v>60</v>
      </c>
      <c r="AJ409" s="55">
        <f t="shared" si="416"/>
        <v>0</v>
      </c>
      <c r="AK409" s="55">
        <f t="shared" si="417"/>
        <v>0</v>
      </c>
      <c r="AL409" s="55">
        <f t="shared" si="418"/>
        <v>0</v>
      </c>
      <c r="AN409" s="29">
        <v>15</v>
      </c>
      <c r="AO409" s="29">
        <f t="shared" si="419"/>
        <v>0</v>
      </c>
      <c r="AP409" s="29">
        <f t="shared" si="420"/>
        <v>0</v>
      </c>
      <c r="AQ409" s="51" t="s">
        <v>85</v>
      </c>
      <c r="AV409" s="29">
        <f t="shared" si="421"/>
        <v>0</v>
      </c>
      <c r="AW409" s="29">
        <f t="shared" si="422"/>
        <v>0</v>
      </c>
      <c r="AX409" s="29">
        <f t="shared" si="423"/>
        <v>0</v>
      </c>
      <c r="AY409" s="54" t="s">
        <v>644</v>
      </c>
      <c r="AZ409" s="54" t="s">
        <v>1537</v>
      </c>
      <c r="BA409" s="48" t="s">
        <v>1542</v>
      </c>
      <c r="BC409" s="29">
        <f t="shared" si="424"/>
        <v>0</v>
      </c>
      <c r="BD409" s="29">
        <f t="shared" si="425"/>
        <v>0</v>
      </c>
      <c r="BE409" s="29">
        <v>0</v>
      </c>
      <c r="BF409" s="29">
        <f t="shared" si="426"/>
        <v>0</v>
      </c>
      <c r="BH409" s="55">
        <f t="shared" si="427"/>
        <v>0</v>
      </c>
      <c r="BI409" s="55">
        <f t="shared" si="428"/>
        <v>0</v>
      </c>
      <c r="BJ409" s="55">
        <f t="shared" si="429"/>
        <v>0</v>
      </c>
    </row>
    <row r="410" spans="1:62" ht="12.75">
      <c r="A410" s="36" t="s">
        <v>860</v>
      </c>
      <c r="B410" s="36" t="s">
        <v>60</v>
      </c>
      <c r="C410" s="36" t="s">
        <v>707</v>
      </c>
      <c r="D410" s="36" t="s">
        <v>1371</v>
      </c>
      <c r="E410" s="36" t="s">
        <v>611</v>
      </c>
      <c r="F410" s="55">
        <f>'Stavební rozpočet'!F412</f>
        <v>5</v>
      </c>
      <c r="G410" s="55">
        <f>'Stavební rozpočet'!G412</f>
        <v>0</v>
      </c>
      <c r="H410" s="55">
        <f t="shared" si="404"/>
        <v>0</v>
      </c>
      <c r="I410" s="55">
        <f t="shared" si="405"/>
        <v>0</v>
      </c>
      <c r="J410" s="55">
        <f t="shared" si="406"/>
        <v>0</v>
      </c>
      <c r="K410" s="55">
        <f>'Stavební rozpočet'!K412</f>
        <v>0</v>
      </c>
      <c r="L410" s="55">
        <f t="shared" si="407"/>
        <v>0</v>
      </c>
      <c r="M410" s="51" t="s">
        <v>622</v>
      </c>
      <c r="Z410" s="29">
        <f t="shared" si="408"/>
        <v>0</v>
      </c>
      <c r="AB410" s="29">
        <f t="shared" si="409"/>
        <v>0</v>
      </c>
      <c r="AC410" s="29">
        <f t="shared" si="410"/>
        <v>0</v>
      </c>
      <c r="AD410" s="29">
        <f t="shared" si="411"/>
        <v>0</v>
      </c>
      <c r="AE410" s="29">
        <f t="shared" si="412"/>
        <v>0</v>
      </c>
      <c r="AF410" s="29">
        <f t="shared" si="413"/>
        <v>0</v>
      </c>
      <c r="AG410" s="29">
        <f t="shared" si="414"/>
        <v>0</v>
      </c>
      <c r="AH410" s="29">
        <f t="shared" si="415"/>
        <v>0</v>
      </c>
      <c r="AI410" s="48" t="s">
        <v>60</v>
      </c>
      <c r="AJ410" s="55">
        <f t="shared" si="416"/>
        <v>0</v>
      </c>
      <c r="AK410" s="55">
        <f t="shared" si="417"/>
        <v>0</v>
      </c>
      <c r="AL410" s="55">
        <f t="shared" si="418"/>
        <v>0</v>
      </c>
      <c r="AN410" s="29">
        <v>15</v>
      </c>
      <c r="AO410" s="29">
        <f t="shared" si="419"/>
        <v>0</v>
      </c>
      <c r="AP410" s="29">
        <f t="shared" si="420"/>
        <v>0</v>
      </c>
      <c r="AQ410" s="51" t="s">
        <v>85</v>
      </c>
      <c r="AV410" s="29">
        <f t="shared" si="421"/>
        <v>0</v>
      </c>
      <c r="AW410" s="29">
        <f t="shared" si="422"/>
        <v>0</v>
      </c>
      <c r="AX410" s="29">
        <f t="shared" si="423"/>
        <v>0</v>
      </c>
      <c r="AY410" s="54" t="s">
        <v>644</v>
      </c>
      <c r="AZ410" s="54" t="s">
        <v>1537</v>
      </c>
      <c r="BA410" s="48" t="s">
        <v>1542</v>
      </c>
      <c r="BC410" s="29">
        <f t="shared" si="424"/>
        <v>0</v>
      </c>
      <c r="BD410" s="29">
        <f t="shared" si="425"/>
        <v>0</v>
      </c>
      <c r="BE410" s="29">
        <v>0</v>
      </c>
      <c r="BF410" s="29">
        <f t="shared" si="426"/>
        <v>0</v>
      </c>
      <c r="BH410" s="55">
        <f t="shared" si="427"/>
        <v>0</v>
      </c>
      <c r="BI410" s="55">
        <f t="shared" si="428"/>
        <v>0</v>
      </c>
      <c r="BJ410" s="55">
        <f t="shared" si="429"/>
        <v>0</v>
      </c>
    </row>
    <row r="411" spans="1:62" ht="12.75">
      <c r="A411" s="36" t="s">
        <v>861</v>
      </c>
      <c r="B411" s="36" t="s">
        <v>60</v>
      </c>
      <c r="C411" s="36" t="s">
        <v>708</v>
      </c>
      <c r="D411" s="36" t="s">
        <v>1372</v>
      </c>
      <c r="E411" s="36" t="s">
        <v>606</v>
      </c>
      <c r="F411" s="55">
        <f>'Stavební rozpočet'!F413</f>
        <v>1</v>
      </c>
      <c r="G411" s="55">
        <f>'Stavební rozpočet'!G413</f>
        <v>0</v>
      </c>
      <c r="H411" s="55">
        <f t="shared" si="404"/>
        <v>0</v>
      </c>
      <c r="I411" s="55">
        <f t="shared" si="405"/>
        <v>0</v>
      </c>
      <c r="J411" s="55">
        <f t="shared" si="406"/>
        <v>0</v>
      </c>
      <c r="K411" s="55">
        <f>'Stavební rozpočet'!K413</f>
        <v>0</v>
      </c>
      <c r="L411" s="55">
        <f t="shared" si="407"/>
        <v>0</v>
      </c>
      <c r="M411" s="51" t="s">
        <v>622</v>
      </c>
      <c r="Z411" s="29">
        <f t="shared" si="408"/>
        <v>0</v>
      </c>
      <c r="AB411" s="29">
        <f t="shared" si="409"/>
        <v>0</v>
      </c>
      <c r="AC411" s="29">
        <f t="shared" si="410"/>
        <v>0</v>
      </c>
      <c r="AD411" s="29">
        <f t="shared" si="411"/>
        <v>0</v>
      </c>
      <c r="AE411" s="29">
        <f t="shared" si="412"/>
        <v>0</v>
      </c>
      <c r="AF411" s="29">
        <f t="shared" si="413"/>
        <v>0</v>
      </c>
      <c r="AG411" s="29">
        <f t="shared" si="414"/>
        <v>0</v>
      </c>
      <c r="AH411" s="29">
        <f t="shared" si="415"/>
        <v>0</v>
      </c>
      <c r="AI411" s="48" t="s">
        <v>60</v>
      </c>
      <c r="AJ411" s="55">
        <f t="shared" si="416"/>
        <v>0</v>
      </c>
      <c r="AK411" s="55">
        <f t="shared" si="417"/>
        <v>0</v>
      </c>
      <c r="AL411" s="55">
        <f t="shared" si="418"/>
        <v>0</v>
      </c>
      <c r="AN411" s="29">
        <v>15</v>
      </c>
      <c r="AO411" s="29">
        <f t="shared" si="419"/>
        <v>0</v>
      </c>
      <c r="AP411" s="29">
        <f t="shared" si="420"/>
        <v>0</v>
      </c>
      <c r="AQ411" s="51" t="s">
        <v>85</v>
      </c>
      <c r="AV411" s="29">
        <f t="shared" si="421"/>
        <v>0</v>
      </c>
      <c r="AW411" s="29">
        <f t="shared" si="422"/>
        <v>0</v>
      </c>
      <c r="AX411" s="29">
        <f t="shared" si="423"/>
        <v>0</v>
      </c>
      <c r="AY411" s="54" t="s">
        <v>644</v>
      </c>
      <c r="AZ411" s="54" t="s">
        <v>1537</v>
      </c>
      <c r="BA411" s="48" t="s">
        <v>1542</v>
      </c>
      <c r="BC411" s="29">
        <f t="shared" si="424"/>
        <v>0</v>
      </c>
      <c r="BD411" s="29">
        <f t="shared" si="425"/>
        <v>0</v>
      </c>
      <c r="BE411" s="29">
        <v>0</v>
      </c>
      <c r="BF411" s="29">
        <f t="shared" si="426"/>
        <v>0</v>
      </c>
      <c r="BH411" s="55">
        <f t="shared" si="427"/>
        <v>0</v>
      </c>
      <c r="BI411" s="55">
        <f t="shared" si="428"/>
        <v>0</v>
      </c>
      <c r="BJ411" s="55">
        <f t="shared" si="429"/>
        <v>0</v>
      </c>
    </row>
    <row r="412" spans="1:62" ht="12.75">
      <c r="A412" s="36" t="s">
        <v>862</v>
      </c>
      <c r="B412" s="36" t="s">
        <v>60</v>
      </c>
      <c r="C412" s="36" t="s">
        <v>709</v>
      </c>
      <c r="D412" s="36" t="s">
        <v>489</v>
      </c>
      <c r="E412" s="36" t="s">
        <v>606</v>
      </c>
      <c r="F412" s="55">
        <f>'Stavební rozpočet'!F414</f>
        <v>1</v>
      </c>
      <c r="G412" s="55">
        <f>'Stavební rozpočet'!G414</f>
        <v>0</v>
      </c>
      <c r="H412" s="55">
        <f t="shared" si="404"/>
        <v>0</v>
      </c>
      <c r="I412" s="55">
        <f t="shared" si="405"/>
        <v>0</v>
      </c>
      <c r="J412" s="55">
        <f t="shared" si="406"/>
        <v>0</v>
      </c>
      <c r="K412" s="55">
        <f>'Stavební rozpočet'!K414</f>
        <v>0</v>
      </c>
      <c r="L412" s="55">
        <f t="shared" si="407"/>
        <v>0</v>
      </c>
      <c r="M412" s="51" t="s">
        <v>622</v>
      </c>
      <c r="Z412" s="29">
        <f t="shared" si="408"/>
        <v>0</v>
      </c>
      <c r="AB412" s="29">
        <f t="shared" si="409"/>
        <v>0</v>
      </c>
      <c r="AC412" s="29">
        <f t="shared" si="410"/>
        <v>0</v>
      </c>
      <c r="AD412" s="29">
        <f t="shared" si="411"/>
        <v>0</v>
      </c>
      <c r="AE412" s="29">
        <f t="shared" si="412"/>
        <v>0</v>
      </c>
      <c r="AF412" s="29">
        <f t="shared" si="413"/>
        <v>0</v>
      </c>
      <c r="AG412" s="29">
        <f t="shared" si="414"/>
        <v>0</v>
      </c>
      <c r="AH412" s="29">
        <f t="shared" si="415"/>
        <v>0</v>
      </c>
      <c r="AI412" s="48" t="s">
        <v>60</v>
      </c>
      <c r="AJ412" s="55">
        <f t="shared" si="416"/>
        <v>0</v>
      </c>
      <c r="AK412" s="55">
        <f t="shared" si="417"/>
        <v>0</v>
      </c>
      <c r="AL412" s="55">
        <f t="shared" si="418"/>
        <v>0</v>
      </c>
      <c r="AN412" s="29">
        <v>15</v>
      </c>
      <c r="AO412" s="29">
        <f t="shared" si="419"/>
        <v>0</v>
      </c>
      <c r="AP412" s="29">
        <f t="shared" si="420"/>
        <v>0</v>
      </c>
      <c r="AQ412" s="51" t="s">
        <v>85</v>
      </c>
      <c r="AV412" s="29">
        <f t="shared" si="421"/>
        <v>0</v>
      </c>
      <c r="AW412" s="29">
        <f t="shared" si="422"/>
        <v>0</v>
      </c>
      <c r="AX412" s="29">
        <f t="shared" si="423"/>
        <v>0</v>
      </c>
      <c r="AY412" s="54" t="s">
        <v>644</v>
      </c>
      <c r="AZ412" s="54" t="s">
        <v>1537</v>
      </c>
      <c r="BA412" s="48" t="s">
        <v>1542</v>
      </c>
      <c r="BC412" s="29">
        <f t="shared" si="424"/>
        <v>0</v>
      </c>
      <c r="BD412" s="29">
        <f t="shared" si="425"/>
        <v>0</v>
      </c>
      <c r="BE412" s="29">
        <v>0</v>
      </c>
      <c r="BF412" s="29">
        <f t="shared" si="426"/>
        <v>0</v>
      </c>
      <c r="BH412" s="55">
        <f t="shared" si="427"/>
        <v>0</v>
      </c>
      <c r="BI412" s="55">
        <f t="shared" si="428"/>
        <v>0</v>
      </c>
      <c r="BJ412" s="55">
        <f t="shared" si="429"/>
        <v>0</v>
      </c>
    </row>
    <row r="413" spans="1:62" ht="12.75">
      <c r="A413" s="36" t="s">
        <v>863</v>
      </c>
      <c r="B413" s="36" t="s">
        <v>60</v>
      </c>
      <c r="C413" s="36" t="s">
        <v>710</v>
      </c>
      <c r="D413" s="36" t="s">
        <v>492</v>
      </c>
      <c r="E413" s="36" t="s">
        <v>606</v>
      </c>
      <c r="F413" s="55">
        <f>'Stavební rozpočet'!F415</f>
        <v>1</v>
      </c>
      <c r="G413" s="55">
        <f>'Stavební rozpočet'!G415</f>
        <v>0</v>
      </c>
      <c r="H413" s="55">
        <f t="shared" si="404"/>
        <v>0</v>
      </c>
      <c r="I413" s="55">
        <f t="shared" si="405"/>
        <v>0</v>
      </c>
      <c r="J413" s="55">
        <f t="shared" si="406"/>
        <v>0</v>
      </c>
      <c r="K413" s="55">
        <f>'Stavební rozpočet'!K415</f>
        <v>0</v>
      </c>
      <c r="L413" s="55">
        <f t="shared" si="407"/>
        <v>0</v>
      </c>
      <c r="M413" s="51" t="s">
        <v>622</v>
      </c>
      <c r="Z413" s="29">
        <f t="shared" si="408"/>
        <v>0</v>
      </c>
      <c r="AB413" s="29">
        <f t="shared" si="409"/>
        <v>0</v>
      </c>
      <c r="AC413" s="29">
        <f t="shared" si="410"/>
        <v>0</v>
      </c>
      <c r="AD413" s="29">
        <f t="shared" si="411"/>
        <v>0</v>
      </c>
      <c r="AE413" s="29">
        <f t="shared" si="412"/>
        <v>0</v>
      </c>
      <c r="AF413" s="29">
        <f t="shared" si="413"/>
        <v>0</v>
      </c>
      <c r="AG413" s="29">
        <f t="shared" si="414"/>
        <v>0</v>
      </c>
      <c r="AH413" s="29">
        <f t="shared" si="415"/>
        <v>0</v>
      </c>
      <c r="AI413" s="48" t="s">
        <v>60</v>
      </c>
      <c r="AJ413" s="55">
        <f t="shared" si="416"/>
        <v>0</v>
      </c>
      <c r="AK413" s="55">
        <f t="shared" si="417"/>
        <v>0</v>
      </c>
      <c r="AL413" s="55">
        <f t="shared" si="418"/>
        <v>0</v>
      </c>
      <c r="AN413" s="29">
        <v>15</v>
      </c>
      <c r="AO413" s="29">
        <f t="shared" si="419"/>
        <v>0</v>
      </c>
      <c r="AP413" s="29">
        <f t="shared" si="420"/>
        <v>0</v>
      </c>
      <c r="AQ413" s="51" t="s">
        <v>85</v>
      </c>
      <c r="AV413" s="29">
        <f t="shared" si="421"/>
        <v>0</v>
      </c>
      <c r="AW413" s="29">
        <f t="shared" si="422"/>
        <v>0</v>
      </c>
      <c r="AX413" s="29">
        <f t="shared" si="423"/>
        <v>0</v>
      </c>
      <c r="AY413" s="54" t="s">
        <v>644</v>
      </c>
      <c r="AZ413" s="54" t="s">
        <v>1537</v>
      </c>
      <c r="BA413" s="48" t="s">
        <v>1542</v>
      </c>
      <c r="BC413" s="29">
        <f t="shared" si="424"/>
        <v>0</v>
      </c>
      <c r="BD413" s="29">
        <f t="shared" si="425"/>
        <v>0</v>
      </c>
      <c r="BE413" s="29">
        <v>0</v>
      </c>
      <c r="BF413" s="29">
        <f t="shared" si="426"/>
        <v>0</v>
      </c>
      <c r="BH413" s="55">
        <f t="shared" si="427"/>
        <v>0</v>
      </c>
      <c r="BI413" s="55">
        <f t="shared" si="428"/>
        <v>0</v>
      </c>
      <c r="BJ413" s="55">
        <f t="shared" si="429"/>
        <v>0</v>
      </c>
    </row>
    <row r="414" spans="1:62" ht="12.75">
      <c r="A414" s="36" t="s">
        <v>864</v>
      </c>
      <c r="B414" s="36" t="s">
        <v>60</v>
      </c>
      <c r="C414" s="36" t="s">
        <v>711</v>
      </c>
      <c r="D414" s="36" t="s">
        <v>493</v>
      </c>
      <c r="E414" s="36" t="s">
        <v>606</v>
      </c>
      <c r="F414" s="55">
        <f>'Stavební rozpočet'!F416</f>
        <v>1</v>
      </c>
      <c r="G414" s="55">
        <f>'Stavební rozpočet'!G416</f>
        <v>0</v>
      </c>
      <c r="H414" s="55">
        <f t="shared" si="404"/>
        <v>0</v>
      </c>
      <c r="I414" s="55">
        <f t="shared" si="405"/>
        <v>0</v>
      </c>
      <c r="J414" s="55">
        <f t="shared" si="406"/>
        <v>0</v>
      </c>
      <c r="K414" s="55">
        <f>'Stavební rozpočet'!K416</f>
        <v>0</v>
      </c>
      <c r="L414" s="55">
        <f t="shared" si="407"/>
        <v>0</v>
      </c>
      <c r="M414" s="51" t="s">
        <v>622</v>
      </c>
      <c r="Z414" s="29">
        <f t="shared" si="408"/>
        <v>0</v>
      </c>
      <c r="AB414" s="29">
        <f t="shared" si="409"/>
        <v>0</v>
      </c>
      <c r="AC414" s="29">
        <f t="shared" si="410"/>
        <v>0</v>
      </c>
      <c r="AD414" s="29">
        <f t="shared" si="411"/>
        <v>0</v>
      </c>
      <c r="AE414" s="29">
        <f t="shared" si="412"/>
        <v>0</v>
      </c>
      <c r="AF414" s="29">
        <f t="shared" si="413"/>
        <v>0</v>
      </c>
      <c r="AG414" s="29">
        <f t="shared" si="414"/>
        <v>0</v>
      </c>
      <c r="AH414" s="29">
        <f t="shared" si="415"/>
        <v>0</v>
      </c>
      <c r="AI414" s="48" t="s">
        <v>60</v>
      </c>
      <c r="AJ414" s="55">
        <f t="shared" si="416"/>
        <v>0</v>
      </c>
      <c r="AK414" s="55">
        <f t="shared" si="417"/>
        <v>0</v>
      </c>
      <c r="AL414" s="55">
        <f t="shared" si="418"/>
        <v>0</v>
      </c>
      <c r="AN414" s="29">
        <v>15</v>
      </c>
      <c r="AO414" s="29">
        <f t="shared" si="419"/>
        <v>0</v>
      </c>
      <c r="AP414" s="29">
        <f t="shared" si="420"/>
        <v>0</v>
      </c>
      <c r="AQ414" s="51" t="s">
        <v>85</v>
      </c>
      <c r="AV414" s="29">
        <f t="shared" si="421"/>
        <v>0</v>
      </c>
      <c r="AW414" s="29">
        <f t="shared" si="422"/>
        <v>0</v>
      </c>
      <c r="AX414" s="29">
        <f t="shared" si="423"/>
        <v>0</v>
      </c>
      <c r="AY414" s="54" t="s">
        <v>644</v>
      </c>
      <c r="AZ414" s="54" t="s">
        <v>1537</v>
      </c>
      <c r="BA414" s="48" t="s">
        <v>1542</v>
      </c>
      <c r="BC414" s="29">
        <f t="shared" si="424"/>
        <v>0</v>
      </c>
      <c r="BD414" s="29">
        <f t="shared" si="425"/>
        <v>0</v>
      </c>
      <c r="BE414" s="29">
        <v>0</v>
      </c>
      <c r="BF414" s="29">
        <f t="shared" si="426"/>
        <v>0</v>
      </c>
      <c r="BH414" s="55">
        <f t="shared" si="427"/>
        <v>0</v>
      </c>
      <c r="BI414" s="55">
        <f t="shared" si="428"/>
        <v>0</v>
      </c>
      <c r="BJ414" s="55">
        <f t="shared" si="429"/>
        <v>0</v>
      </c>
    </row>
    <row r="415" spans="1:47" ht="12.75">
      <c r="A415" s="35"/>
      <c r="B415" s="42" t="s">
        <v>60</v>
      </c>
      <c r="C415" s="42" t="s">
        <v>317</v>
      </c>
      <c r="D415" s="42" t="s">
        <v>506</v>
      </c>
      <c r="E415" s="35" t="s">
        <v>57</v>
      </c>
      <c r="F415" s="35" t="s">
        <v>57</v>
      </c>
      <c r="G415" s="35" t="s">
        <v>57</v>
      </c>
      <c r="H415" s="59">
        <f>SUM(H416:H479)</f>
        <v>0</v>
      </c>
      <c r="I415" s="59">
        <f>SUM(I416:I479)</f>
        <v>0</v>
      </c>
      <c r="J415" s="59">
        <f>SUM(J416:J479)</f>
        <v>0</v>
      </c>
      <c r="K415" s="48"/>
      <c r="L415" s="59">
        <f>SUM(L416:L479)</f>
        <v>0</v>
      </c>
      <c r="M415" s="48"/>
      <c r="AI415" s="48" t="s">
        <v>60</v>
      </c>
      <c r="AS415" s="59">
        <f>SUM(AJ416:AJ479)</f>
        <v>0</v>
      </c>
      <c r="AT415" s="59">
        <f>SUM(AK416:AK479)</f>
        <v>0</v>
      </c>
      <c r="AU415" s="59">
        <f>SUM(AL416:AL479)</f>
        <v>0</v>
      </c>
    </row>
    <row r="416" spans="1:62" ht="12.75">
      <c r="A416" s="36" t="s">
        <v>865</v>
      </c>
      <c r="B416" s="36" t="s">
        <v>60</v>
      </c>
      <c r="C416" s="36" t="s">
        <v>318</v>
      </c>
      <c r="D416" s="36" t="s">
        <v>509</v>
      </c>
      <c r="E416" s="36" t="s">
        <v>609</v>
      </c>
      <c r="F416" s="55">
        <f>'Stavební rozpočet'!F418</f>
        <v>105.9</v>
      </c>
      <c r="G416" s="55">
        <f>'Stavební rozpočet'!G418</f>
        <v>0</v>
      </c>
      <c r="H416" s="55">
        <f aca="true" t="shared" si="430" ref="H416:H447">F416*AO416</f>
        <v>0</v>
      </c>
      <c r="I416" s="55">
        <f aca="true" t="shared" si="431" ref="I416:I447">F416*AP416</f>
        <v>0</v>
      </c>
      <c r="J416" s="55">
        <f aca="true" t="shared" si="432" ref="J416:J447">F416*G416</f>
        <v>0</v>
      </c>
      <c r="K416" s="55">
        <f>'Stavební rozpočet'!K418</f>
        <v>0</v>
      </c>
      <c r="L416" s="55">
        <f aca="true" t="shared" si="433" ref="L416:L447">F416*K416</f>
        <v>0</v>
      </c>
      <c r="M416" s="51" t="s">
        <v>622</v>
      </c>
      <c r="Z416" s="29">
        <f aca="true" t="shared" si="434" ref="Z416:Z447">IF(AQ416="5",BJ416,0)</f>
        <v>0</v>
      </c>
      <c r="AB416" s="29">
        <f aca="true" t="shared" si="435" ref="AB416:AB447">IF(AQ416="1",BH416,0)</f>
        <v>0</v>
      </c>
      <c r="AC416" s="29">
        <f aca="true" t="shared" si="436" ref="AC416:AC447">IF(AQ416="1",BI416,0)</f>
        <v>0</v>
      </c>
      <c r="AD416" s="29">
        <f aca="true" t="shared" si="437" ref="AD416:AD447">IF(AQ416="7",BH416,0)</f>
        <v>0</v>
      </c>
      <c r="AE416" s="29">
        <f aca="true" t="shared" si="438" ref="AE416:AE447">IF(AQ416="7",BI416,0)</f>
        <v>0</v>
      </c>
      <c r="AF416" s="29">
        <f aca="true" t="shared" si="439" ref="AF416:AF447">IF(AQ416="2",BH416,0)</f>
        <v>0</v>
      </c>
      <c r="AG416" s="29">
        <f aca="true" t="shared" si="440" ref="AG416:AG447">IF(AQ416="2",BI416,0)</f>
        <v>0</v>
      </c>
      <c r="AH416" s="29">
        <f aca="true" t="shared" si="441" ref="AH416:AH447">IF(AQ416="0",BJ416,0)</f>
        <v>0</v>
      </c>
      <c r="AI416" s="48" t="s">
        <v>60</v>
      </c>
      <c r="AJ416" s="55">
        <f aca="true" t="shared" si="442" ref="AJ416:AJ447">IF(AN416=0,J416,0)</f>
        <v>0</v>
      </c>
      <c r="AK416" s="55">
        <f aca="true" t="shared" si="443" ref="AK416:AK447">IF(AN416=15,J416,0)</f>
        <v>0</v>
      </c>
      <c r="AL416" s="55">
        <f aca="true" t="shared" si="444" ref="AL416:AL447">IF(AN416=21,J416,0)</f>
        <v>0</v>
      </c>
      <c r="AN416" s="29">
        <v>15</v>
      </c>
      <c r="AO416" s="29">
        <f aca="true" t="shared" si="445" ref="AO416:AO447">G416*0</f>
        <v>0</v>
      </c>
      <c r="AP416" s="29">
        <f aca="true" t="shared" si="446" ref="AP416:AP447">G416*(1-0)</f>
        <v>0</v>
      </c>
      <c r="AQ416" s="51" t="s">
        <v>85</v>
      </c>
      <c r="AV416" s="29">
        <f aca="true" t="shared" si="447" ref="AV416:AV447">AW416+AX416</f>
        <v>0</v>
      </c>
      <c r="AW416" s="29">
        <f aca="true" t="shared" si="448" ref="AW416:AW447">F416*AO416</f>
        <v>0</v>
      </c>
      <c r="AX416" s="29">
        <f aca="true" t="shared" si="449" ref="AX416:AX447">F416*AP416</f>
        <v>0</v>
      </c>
      <c r="AY416" s="54" t="s">
        <v>645</v>
      </c>
      <c r="AZ416" s="54" t="s">
        <v>1538</v>
      </c>
      <c r="BA416" s="48" t="s">
        <v>1542</v>
      </c>
      <c r="BC416" s="29">
        <f aca="true" t="shared" si="450" ref="BC416:BC447">AW416+AX416</f>
        <v>0</v>
      </c>
      <c r="BD416" s="29">
        <f aca="true" t="shared" si="451" ref="BD416:BD447">G416/(100-BE416)*100</f>
        <v>0</v>
      </c>
      <c r="BE416" s="29">
        <v>0</v>
      </c>
      <c r="BF416" s="29">
        <f aca="true" t="shared" si="452" ref="BF416:BF447">L416</f>
        <v>0</v>
      </c>
      <c r="BH416" s="55">
        <f aca="true" t="shared" si="453" ref="BH416:BH447">F416*AO416</f>
        <v>0</v>
      </c>
      <c r="BI416" s="55">
        <f aca="true" t="shared" si="454" ref="BI416:BI447">F416*AP416</f>
        <v>0</v>
      </c>
      <c r="BJ416" s="55">
        <f aca="true" t="shared" si="455" ref="BJ416:BJ447">F416*G416</f>
        <v>0</v>
      </c>
    </row>
    <row r="417" spans="1:62" ht="12.75">
      <c r="A417" s="36" t="s">
        <v>866</v>
      </c>
      <c r="B417" s="36" t="s">
        <v>60</v>
      </c>
      <c r="C417" s="36" t="s">
        <v>319</v>
      </c>
      <c r="D417" s="36" t="s">
        <v>510</v>
      </c>
      <c r="E417" s="36" t="s">
        <v>609</v>
      </c>
      <c r="F417" s="55">
        <f>'Stavební rozpočet'!F419</f>
        <v>33.6</v>
      </c>
      <c r="G417" s="55">
        <f>'Stavební rozpočet'!G419</f>
        <v>0</v>
      </c>
      <c r="H417" s="55">
        <f t="shared" si="430"/>
        <v>0</v>
      </c>
      <c r="I417" s="55">
        <f t="shared" si="431"/>
        <v>0</v>
      </c>
      <c r="J417" s="55">
        <f t="shared" si="432"/>
        <v>0</v>
      </c>
      <c r="K417" s="55">
        <f>'Stavební rozpočet'!K419</f>
        <v>0</v>
      </c>
      <c r="L417" s="55">
        <f t="shared" si="433"/>
        <v>0</v>
      </c>
      <c r="M417" s="51" t="s">
        <v>622</v>
      </c>
      <c r="Z417" s="29">
        <f t="shared" si="434"/>
        <v>0</v>
      </c>
      <c r="AB417" s="29">
        <f t="shared" si="435"/>
        <v>0</v>
      </c>
      <c r="AC417" s="29">
        <f t="shared" si="436"/>
        <v>0</v>
      </c>
      <c r="AD417" s="29">
        <f t="shared" si="437"/>
        <v>0</v>
      </c>
      <c r="AE417" s="29">
        <f t="shared" si="438"/>
        <v>0</v>
      </c>
      <c r="AF417" s="29">
        <f t="shared" si="439"/>
        <v>0</v>
      </c>
      <c r="AG417" s="29">
        <f t="shared" si="440"/>
        <v>0</v>
      </c>
      <c r="AH417" s="29">
        <f t="shared" si="441"/>
        <v>0</v>
      </c>
      <c r="AI417" s="48" t="s">
        <v>60</v>
      </c>
      <c r="AJ417" s="55">
        <f t="shared" si="442"/>
        <v>0</v>
      </c>
      <c r="AK417" s="55">
        <f t="shared" si="443"/>
        <v>0</v>
      </c>
      <c r="AL417" s="55">
        <f t="shared" si="444"/>
        <v>0</v>
      </c>
      <c r="AN417" s="29">
        <v>15</v>
      </c>
      <c r="AO417" s="29">
        <f t="shared" si="445"/>
        <v>0</v>
      </c>
      <c r="AP417" s="29">
        <f t="shared" si="446"/>
        <v>0</v>
      </c>
      <c r="AQ417" s="51" t="s">
        <v>85</v>
      </c>
      <c r="AV417" s="29">
        <f t="shared" si="447"/>
        <v>0</v>
      </c>
      <c r="AW417" s="29">
        <f t="shared" si="448"/>
        <v>0</v>
      </c>
      <c r="AX417" s="29">
        <f t="shared" si="449"/>
        <v>0</v>
      </c>
      <c r="AY417" s="54" t="s">
        <v>645</v>
      </c>
      <c r="AZ417" s="54" t="s">
        <v>1538</v>
      </c>
      <c r="BA417" s="48" t="s">
        <v>1542</v>
      </c>
      <c r="BC417" s="29">
        <f t="shared" si="450"/>
        <v>0</v>
      </c>
      <c r="BD417" s="29">
        <f t="shared" si="451"/>
        <v>0</v>
      </c>
      <c r="BE417" s="29">
        <v>0</v>
      </c>
      <c r="BF417" s="29">
        <f t="shared" si="452"/>
        <v>0</v>
      </c>
      <c r="BH417" s="55">
        <f t="shared" si="453"/>
        <v>0</v>
      </c>
      <c r="BI417" s="55">
        <f t="shared" si="454"/>
        <v>0</v>
      </c>
      <c r="BJ417" s="55">
        <f t="shared" si="455"/>
        <v>0</v>
      </c>
    </row>
    <row r="418" spans="1:62" ht="12.75">
      <c r="A418" s="36" t="s">
        <v>867</v>
      </c>
      <c r="B418" s="36" t="s">
        <v>60</v>
      </c>
      <c r="C418" s="36" t="s">
        <v>1059</v>
      </c>
      <c r="D418" s="36" t="s">
        <v>1373</v>
      </c>
      <c r="E418" s="36" t="s">
        <v>609</v>
      </c>
      <c r="F418" s="55">
        <f>'Stavební rozpočet'!F420</f>
        <v>26.7</v>
      </c>
      <c r="G418" s="55">
        <f>'Stavební rozpočet'!G420</f>
        <v>0</v>
      </c>
      <c r="H418" s="55">
        <f t="shared" si="430"/>
        <v>0</v>
      </c>
      <c r="I418" s="55">
        <f t="shared" si="431"/>
        <v>0</v>
      </c>
      <c r="J418" s="55">
        <f t="shared" si="432"/>
        <v>0</v>
      </c>
      <c r="K418" s="55">
        <f>'Stavební rozpočet'!K420</f>
        <v>0</v>
      </c>
      <c r="L418" s="55">
        <f t="shared" si="433"/>
        <v>0</v>
      </c>
      <c r="M418" s="51" t="s">
        <v>622</v>
      </c>
      <c r="Z418" s="29">
        <f t="shared" si="434"/>
        <v>0</v>
      </c>
      <c r="AB418" s="29">
        <f t="shared" si="435"/>
        <v>0</v>
      </c>
      <c r="AC418" s="29">
        <f t="shared" si="436"/>
        <v>0</v>
      </c>
      <c r="AD418" s="29">
        <f t="shared" si="437"/>
        <v>0</v>
      </c>
      <c r="AE418" s="29">
        <f t="shared" si="438"/>
        <v>0</v>
      </c>
      <c r="AF418" s="29">
        <f t="shared" si="439"/>
        <v>0</v>
      </c>
      <c r="AG418" s="29">
        <f t="shared" si="440"/>
        <v>0</v>
      </c>
      <c r="AH418" s="29">
        <f t="shared" si="441"/>
        <v>0</v>
      </c>
      <c r="AI418" s="48" t="s">
        <v>60</v>
      </c>
      <c r="AJ418" s="55">
        <f t="shared" si="442"/>
        <v>0</v>
      </c>
      <c r="AK418" s="55">
        <f t="shared" si="443"/>
        <v>0</v>
      </c>
      <c r="AL418" s="55">
        <f t="shared" si="444"/>
        <v>0</v>
      </c>
      <c r="AN418" s="29">
        <v>15</v>
      </c>
      <c r="AO418" s="29">
        <f t="shared" si="445"/>
        <v>0</v>
      </c>
      <c r="AP418" s="29">
        <f t="shared" si="446"/>
        <v>0</v>
      </c>
      <c r="AQ418" s="51" t="s">
        <v>85</v>
      </c>
      <c r="AV418" s="29">
        <f t="shared" si="447"/>
        <v>0</v>
      </c>
      <c r="AW418" s="29">
        <f t="shared" si="448"/>
        <v>0</v>
      </c>
      <c r="AX418" s="29">
        <f t="shared" si="449"/>
        <v>0</v>
      </c>
      <c r="AY418" s="54" t="s">
        <v>645</v>
      </c>
      <c r="AZ418" s="54" t="s">
        <v>1538</v>
      </c>
      <c r="BA418" s="48" t="s">
        <v>1542</v>
      </c>
      <c r="BC418" s="29">
        <f t="shared" si="450"/>
        <v>0</v>
      </c>
      <c r="BD418" s="29">
        <f t="shared" si="451"/>
        <v>0</v>
      </c>
      <c r="BE418" s="29">
        <v>0</v>
      </c>
      <c r="BF418" s="29">
        <f t="shared" si="452"/>
        <v>0</v>
      </c>
      <c r="BH418" s="55">
        <f t="shared" si="453"/>
        <v>0</v>
      </c>
      <c r="BI418" s="55">
        <f t="shared" si="454"/>
        <v>0</v>
      </c>
      <c r="BJ418" s="55">
        <f t="shared" si="455"/>
        <v>0</v>
      </c>
    </row>
    <row r="419" spans="1:62" ht="12.75">
      <c r="A419" s="36" t="s">
        <v>868</v>
      </c>
      <c r="B419" s="36" t="s">
        <v>60</v>
      </c>
      <c r="C419" s="36" t="s">
        <v>1060</v>
      </c>
      <c r="D419" s="36" t="s">
        <v>511</v>
      </c>
      <c r="E419" s="36" t="s">
        <v>609</v>
      </c>
      <c r="F419" s="55">
        <f>'Stavební rozpočet'!F421</f>
        <v>38.3</v>
      </c>
      <c r="G419" s="55">
        <f>'Stavební rozpočet'!G421</f>
        <v>0</v>
      </c>
      <c r="H419" s="55">
        <f t="shared" si="430"/>
        <v>0</v>
      </c>
      <c r="I419" s="55">
        <f t="shared" si="431"/>
        <v>0</v>
      </c>
      <c r="J419" s="55">
        <f t="shared" si="432"/>
        <v>0</v>
      </c>
      <c r="K419" s="55">
        <f>'Stavební rozpočet'!K421</f>
        <v>0</v>
      </c>
      <c r="L419" s="55">
        <f t="shared" si="433"/>
        <v>0</v>
      </c>
      <c r="M419" s="51" t="s">
        <v>622</v>
      </c>
      <c r="Z419" s="29">
        <f t="shared" si="434"/>
        <v>0</v>
      </c>
      <c r="AB419" s="29">
        <f t="shared" si="435"/>
        <v>0</v>
      </c>
      <c r="AC419" s="29">
        <f t="shared" si="436"/>
        <v>0</v>
      </c>
      <c r="AD419" s="29">
        <f t="shared" si="437"/>
        <v>0</v>
      </c>
      <c r="AE419" s="29">
        <f t="shared" si="438"/>
        <v>0</v>
      </c>
      <c r="AF419" s="29">
        <f t="shared" si="439"/>
        <v>0</v>
      </c>
      <c r="AG419" s="29">
        <f t="shared" si="440"/>
        <v>0</v>
      </c>
      <c r="AH419" s="29">
        <f t="shared" si="441"/>
        <v>0</v>
      </c>
      <c r="AI419" s="48" t="s">
        <v>60</v>
      </c>
      <c r="AJ419" s="55">
        <f t="shared" si="442"/>
        <v>0</v>
      </c>
      <c r="AK419" s="55">
        <f t="shared" si="443"/>
        <v>0</v>
      </c>
      <c r="AL419" s="55">
        <f t="shared" si="444"/>
        <v>0</v>
      </c>
      <c r="AN419" s="29">
        <v>15</v>
      </c>
      <c r="AO419" s="29">
        <f t="shared" si="445"/>
        <v>0</v>
      </c>
      <c r="AP419" s="29">
        <f t="shared" si="446"/>
        <v>0</v>
      </c>
      <c r="AQ419" s="51" t="s">
        <v>85</v>
      </c>
      <c r="AV419" s="29">
        <f t="shared" si="447"/>
        <v>0</v>
      </c>
      <c r="AW419" s="29">
        <f t="shared" si="448"/>
        <v>0</v>
      </c>
      <c r="AX419" s="29">
        <f t="shared" si="449"/>
        <v>0</v>
      </c>
      <c r="AY419" s="54" t="s">
        <v>645</v>
      </c>
      <c r="AZ419" s="54" t="s">
        <v>1538</v>
      </c>
      <c r="BA419" s="48" t="s">
        <v>1542</v>
      </c>
      <c r="BC419" s="29">
        <f t="shared" si="450"/>
        <v>0</v>
      </c>
      <c r="BD419" s="29">
        <f t="shared" si="451"/>
        <v>0</v>
      </c>
      <c r="BE419" s="29">
        <v>0</v>
      </c>
      <c r="BF419" s="29">
        <f t="shared" si="452"/>
        <v>0</v>
      </c>
      <c r="BH419" s="55">
        <f t="shared" si="453"/>
        <v>0</v>
      </c>
      <c r="BI419" s="55">
        <f t="shared" si="454"/>
        <v>0</v>
      </c>
      <c r="BJ419" s="55">
        <f t="shared" si="455"/>
        <v>0</v>
      </c>
    </row>
    <row r="420" spans="1:62" ht="12.75">
      <c r="A420" s="36" t="s">
        <v>869</v>
      </c>
      <c r="B420" s="36" t="s">
        <v>60</v>
      </c>
      <c r="C420" s="36" t="s">
        <v>320</v>
      </c>
      <c r="D420" s="36" t="s">
        <v>1374</v>
      </c>
      <c r="E420" s="36" t="s">
        <v>609</v>
      </c>
      <c r="F420" s="55">
        <f>'Stavební rozpočet'!F422</f>
        <v>2.3</v>
      </c>
      <c r="G420" s="55">
        <f>'Stavební rozpočet'!G422</f>
        <v>0</v>
      </c>
      <c r="H420" s="55">
        <f t="shared" si="430"/>
        <v>0</v>
      </c>
      <c r="I420" s="55">
        <f t="shared" si="431"/>
        <v>0</v>
      </c>
      <c r="J420" s="55">
        <f t="shared" si="432"/>
        <v>0</v>
      </c>
      <c r="K420" s="55">
        <f>'Stavební rozpočet'!K422</f>
        <v>0</v>
      </c>
      <c r="L420" s="55">
        <f t="shared" si="433"/>
        <v>0</v>
      </c>
      <c r="M420" s="51" t="s">
        <v>622</v>
      </c>
      <c r="Z420" s="29">
        <f t="shared" si="434"/>
        <v>0</v>
      </c>
      <c r="AB420" s="29">
        <f t="shared" si="435"/>
        <v>0</v>
      </c>
      <c r="AC420" s="29">
        <f t="shared" si="436"/>
        <v>0</v>
      </c>
      <c r="AD420" s="29">
        <f t="shared" si="437"/>
        <v>0</v>
      </c>
      <c r="AE420" s="29">
        <f t="shared" si="438"/>
        <v>0</v>
      </c>
      <c r="AF420" s="29">
        <f t="shared" si="439"/>
        <v>0</v>
      </c>
      <c r="AG420" s="29">
        <f t="shared" si="440"/>
        <v>0</v>
      </c>
      <c r="AH420" s="29">
        <f t="shared" si="441"/>
        <v>0</v>
      </c>
      <c r="AI420" s="48" t="s">
        <v>60</v>
      </c>
      <c r="AJ420" s="55">
        <f t="shared" si="442"/>
        <v>0</v>
      </c>
      <c r="AK420" s="55">
        <f t="shared" si="443"/>
        <v>0</v>
      </c>
      <c r="AL420" s="55">
        <f t="shared" si="444"/>
        <v>0</v>
      </c>
      <c r="AN420" s="29">
        <v>15</v>
      </c>
      <c r="AO420" s="29">
        <f t="shared" si="445"/>
        <v>0</v>
      </c>
      <c r="AP420" s="29">
        <f t="shared" si="446"/>
        <v>0</v>
      </c>
      <c r="AQ420" s="51" t="s">
        <v>85</v>
      </c>
      <c r="AV420" s="29">
        <f t="shared" si="447"/>
        <v>0</v>
      </c>
      <c r="AW420" s="29">
        <f t="shared" si="448"/>
        <v>0</v>
      </c>
      <c r="AX420" s="29">
        <f t="shared" si="449"/>
        <v>0</v>
      </c>
      <c r="AY420" s="54" t="s">
        <v>645</v>
      </c>
      <c r="AZ420" s="54" t="s">
        <v>1538</v>
      </c>
      <c r="BA420" s="48" t="s">
        <v>1542</v>
      </c>
      <c r="BC420" s="29">
        <f t="shared" si="450"/>
        <v>0</v>
      </c>
      <c r="BD420" s="29">
        <f t="shared" si="451"/>
        <v>0</v>
      </c>
      <c r="BE420" s="29">
        <v>0</v>
      </c>
      <c r="BF420" s="29">
        <f t="shared" si="452"/>
        <v>0</v>
      </c>
      <c r="BH420" s="55">
        <f t="shared" si="453"/>
        <v>0</v>
      </c>
      <c r="BI420" s="55">
        <f t="shared" si="454"/>
        <v>0</v>
      </c>
      <c r="BJ420" s="55">
        <f t="shared" si="455"/>
        <v>0</v>
      </c>
    </row>
    <row r="421" spans="1:62" ht="12.75">
      <c r="A421" s="36" t="s">
        <v>870</v>
      </c>
      <c r="B421" s="36" t="s">
        <v>60</v>
      </c>
      <c r="C421" s="36" t="s">
        <v>323</v>
      </c>
      <c r="D421" s="36" t="s">
        <v>513</v>
      </c>
      <c r="E421" s="36" t="s">
        <v>609</v>
      </c>
      <c r="F421" s="55">
        <f>'Stavební rozpočet'!F423</f>
        <v>0</v>
      </c>
      <c r="G421" s="55">
        <f>'Stavební rozpočet'!G423</f>
        <v>0</v>
      </c>
      <c r="H421" s="55">
        <f t="shared" si="430"/>
        <v>0</v>
      </c>
      <c r="I421" s="55">
        <f t="shared" si="431"/>
        <v>0</v>
      </c>
      <c r="J421" s="55">
        <f t="shared" si="432"/>
        <v>0</v>
      </c>
      <c r="K421" s="55">
        <f>'Stavební rozpočet'!K423</f>
        <v>0</v>
      </c>
      <c r="L421" s="55">
        <f t="shared" si="433"/>
        <v>0</v>
      </c>
      <c r="M421" s="51" t="s">
        <v>622</v>
      </c>
      <c r="Z421" s="29">
        <f t="shared" si="434"/>
        <v>0</v>
      </c>
      <c r="AB421" s="29">
        <f t="shared" si="435"/>
        <v>0</v>
      </c>
      <c r="AC421" s="29">
        <f t="shared" si="436"/>
        <v>0</v>
      </c>
      <c r="AD421" s="29">
        <f t="shared" si="437"/>
        <v>0</v>
      </c>
      <c r="AE421" s="29">
        <f t="shared" si="438"/>
        <v>0</v>
      </c>
      <c r="AF421" s="29">
        <f t="shared" si="439"/>
        <v>0</v>
      </c>
      <c r="AG421" s="29">
        <f t="shared" si="440"/>
        <v>0</v>
      </c>
      <c r="AH421" s="29">
        <f t="shared" si="441"/>
        <v>0</v>
      </c>
      <c r="AI421" s="48" t="s">
        <v>60</v>
      </c>
      <c r="AJ421" s="55">
        <f t="shared" si="442"/>
        <v>0</v>
      </c>
      <c r="AK421" s="55">
        <f t="shared" si="443"/>
        <v>0</v>
      </c>
      <c r="AL421" s="55">
        <f t="shared" si="444"/>
        <v>0</v>
      </c>
      <c r="AN421" s="29">
        <v>15</v>
      </c>
      <c r="AO421" s="29">
        <f t="shared" si="445"/>
        <v>0</v>
      </c>
      <c r="AP421" s="29">
        <f t="shared" si="446"/>
        <v>0</v>
      </c>
      <c r="AQ421" s="51" t="s">
        <v>85</v>
      </c>
      <c r="AV421" s="29">
        <f t="shared" si="447"/>
        <v>0</v>
      </c>
      <c r="AW421" s="29">
        <f t="shared" si="448"/>
        <v>0</v>
      </c>
      <c r="AX421" s="29">
        <f t="shared" si="449"/>
        <v>0</v>
      </c>
      <c r="AY421" s="54" t="s">
        <v>645</v>
      </c>
      <c r="AZ421" s="54" t="s">
        <v>1538</v>
      </c>
      <c r="BA421" s="48" t="s">
        <v>1542</v>
      </c>
      <c r="BC421" s="29">
        <f t="shared" si="450"/>
        <v>0</v>
      </c>
      <c r="BD421" s="29">
        <f t="shared" si="451"/>
        <v>0</v>
      </c>
      <c r="BE421" s="29">
        <v>0</v>
      </c>
      <c r="BF421" s="29">
        <f t="shared" si="452"/>
        <v>0</v>
      </c>
      <c r="BH421" s="55">
        <f t="shared" si="453"/>
        <v>0</v>
      </c>
      <c r="BI421" s="55">
        <f t="shared" si="454"/>
        <v>0</v>
      </c>
      <c r="BJ421" s="55">
        <f t="shared" si="455"/>
        <v>0</v>
      </c>
    </row>
    <row r="422" spans="1:62" ht="12.75">
      <c r="A422" s="36" t="s">
        <v>871</v>
      </c>
      <c r="B422" s="36" t="s">
        <v>60</v>
      </c>
      <c r="C422" s="36" t="s">
        <v>1061</v>
      </c>
      <c r="D422" s="36" t="s">
        <v>514</v>
      </c>
      <c r="E422" s="36" t="s">
        <v>609</v>
      </c>
      <c r="F422" s="55">
        <f>'Stavební rozpočet'!F424</f>
        <v>0</v>
      </c>
      <c r="G422" s="55">
        <f>'Stavební rozpočet'!G424</f>
        <v>0</v>
      </c>
      <c r="H422" s="55">
        <f t="shared" si="430"/>
        <v>0</v>
      </c>
      <c r="I422" s="55">
        <f t="shared" si="431"/>
        <v>0</v>
      </c>
      <c r="J422" s="55">
        <f t="shared" si="432"/>
        <v>0</v>
      </c>
      <c r="K422" s="55">
        <f>'Stavební rozpočet'!K424</f>
        <v>0</v>
      </c>
      <c r="L422" s="55">
        <f t="shared" si="433"/>
        <v>0</v>
      </c>
      <c r="M422" s="51" t="s">
        <v>622</v>
      </c>
      <c r="Z422" s="29">
        <f t="shared" si="434"/>
        <v>0</v>
      </c>
      <c r="AB422" s="29">
        <f t="shared" si="435"/>
        <v>0</v>
      </c>
      <c r="AC422" s="29">
        <f t="shared" si="436"/>
        <v>0</v>
      </c>
      <c r="AD422" s="29">
        <f t="shared" si="437"/>
        <v>0</v>
      </c>
      <c r="AE422" s="29">
        <f t="shared" si="438"/>
        <v>0</v>
      </c>
      <c r="AF422" s="29">
        <f t="shared" si="439"/>
        <v>0</v>
      </c>
      <c r="AG422" s="29">
        <f t="shared" si="440"/>
        <v>0</v>
      </c>
      <c r="AH422" s="29">
        <f t="shared" si="441"/>
        <v>0</v>
      </c>
      <c r="AI422" s="48" t="s">
        <v>60</v>
      </c>
      <c r="AJ422" s="55">
        <f t="shared" si="442"/>
        <v>0</v>
      </c>
      <c r="AK422" s="55">
        <f t="shared" si="443"/>
        <v>0</v>
      </c>
      <c r="AL422" s="55">
        <f t="shared" si="444"/>
        <v>0</v>
      </c>
      <c r="AN422" s="29">
        <v>15</v>
      </c>
      <c r="AO422" s="29">
        <f t="shared" si="445"/>
        <v>0</v>
      </c>
      <c r="AP422" s="29">
        <f t="shared" si="446"/>
        <v>0</v>
      </c>
      <c r="AQ422" s="51" t="s">
        <v>85</v>
      </c>
      <c r="AV422" s="29">
        <f t="shared" si="447"/>
        <v>0</v>
      </c>
      <c r="AW422" s="29">
        <f t="shared" si="448"/>
        <v>0</v>
      </c>
      <c r="AX422" s="29">
        <f t="shared" si="449"/>
        <v>0</v>
      </c>
      <c r="AY422" s="54" t="s">
        <v>645</v>
      </c>
      <c r="AZ422" s="54" t="s">
        <v>1538</v>
      </c>
      <c r="BA422" s="48" t="s">
        <v>1542</v>
      </c>
      <c r="BC422" s="29">
        <f t="shared" si="450"/>
        <v>0</v>
      </c>
      <c r="BD422" s="29">
        <f t="shared" si="451"/>
        <v>0</v>
      </c>
      <c r="BE422" s="29">
        <v>0</v>
      </c>
      <c r="BF422" s="29">
        <f t="shared" si="452"/>
        <v>0</v>
      </c>
      <c r="BH422" s="55">
        <f t="shared" si="453"/>
        <v>0</v>
      </c>
      <c r="BI422" s="55">
        <f t="shared" si="454"/>
        <v>0</v>
      </c>
      <c r="BJ422" s="55">
        <f t="shared" si="455"/>
        <v>0</v>
      </c>
    </row>
    <row r="423" spans="1:62" ht="12.75">
      <c r="A423" s="36" t="s">
        <v>872</v>
      </c>
      <c r="B423" s="36" t="s">
        <v>60</v>
      </c>
      <c r="C423" s="36" t="s">
        <v>1062</v>
      </c>
      <c r="D423" s="36" t="s">
        <v>1375</v>
      </c>
      <c r="E423" s="36" t="s">
        <v>609</v>
      </c>
      <c r="F423" s="55">
        <f>'Stavební rozpočet'!F425</f>
        <v>12</v>
      </c>
      <c r="G423" s="55">
        <f>'Stavební rozpočet'!G425</f>
        <v>0</v>
      </c>
      <c r="H423" s="55">
        <f t="shared" si="430"/>
        <v>0</v>
      </c>
      <c r="I423" s="55">
        <f t="shared" si="431"/>
        <v>0</v>
      </c>
      <c r="J423" s="55">
        <f t="shared" si="432"/>
        <v>0</v>
      </c>
      <c r="K423" s="55">
        <f>'Stavební rozpočet'!K425</f>
        <v>0</v>
      </c>
      <c r="L423" s="55">
        <f t="shared" si="433"/>
        <v>0</v>
      </c>
      <c r="M423" s="51" t="s">
        <v>622</v>
      </c>
      <c r="Z423" s="29">
        <f t="shared" si="434"/>
        <v>0</v>
      </c>
      <c r="AB423" s="29">
        <f t="shared" si="435"/>
        <v>0</v>
      </c>
      <c r="AC423" s="29">
        <f t="shared" si="436"/>
        <v>0</v>
      </c>
      <c r="AD423" s="29">
        <f t="shared" si="437"/>
        <v>0</v>
      </c>
      <c r="AE423" s="29">
        <f t="shared" si="438"/>
        <v>0</v>
      </c>
      <c r="AF423" s="29">
        <f t="shared" si="439"/>
        <v>0</v>
      </c>
      <c r="AG423" s="29">
        <f t="shared" si="440"/>
        <v>0</v>
      </c>
      <c r="AH423" s="29">
        <f t="shared" si="441"/>
        <v>0</v>
      </c>
      <c r="AI423" s="48" t="s">
        <v>60</v>
      </c>
      <c r="AJ423" s="55">
        <f t="shared" si="442"/>
        <v>0</v>
      </c>
      <c r="AK423" s="55">
        <f t="shared" si="443"/>
        <v>0</v>
      </c>
      <c r="AL423" s="55">
        <f t="shared" si="444"/>
        <v>0</v>
      </c>
      <c r="AN423" s="29">
        <v>15</v>
      </c>
      <c r="AO423" s="29">
        <f t="shared" si="445"/>
        <v>0</v>
      </c>
      <c r="AP423" s="29">
        <f t="shared" si="446"/>
        <v>0</v>
      </c>
      <c r="AQ423" s="51" t="s">
        <v>85</v>
      </c>
      <c r="AV423" s="29">
        <f t="shared" si="447"/>
        <v>0</v>
      </c>
      <c r="AW423" s="29">
        <f t="shared" si="448"/>
        <v>0</v>
      </c>
      <c r="AX423" s="29">
        <f t="shared" si="449"/>
        <v>0</v>
      </c>
      <c r="AY423" s="54" t="s">
        <v>645</v>
      </c>
      <c r="AZ423" s="54" t="s">
        <v>1538</v>
      </c>
      <c r="BA423" s="48" t="s">
        <v>1542</v>
      </c>
      <c r="BC423" s="29">
        <f t="shared" si="450"/>
        <v>0</v>
      </c>
      <c r="BD423" s="29">
        <f t="shared" si="451"/>
        <v>0</v>
      </c>
      <c r="BE423" s="29">
        <v>0</v>
      </c>
      <c r="BF423" s="29">
        <f t="shared" si="452"/>
        <v>0</v>
      </c>
      <c r="BH423" s="55">
        <f t="shared" si="453"/>
        <v>0</v>
      </c>
      <c r="BI423" s="55">
        <f t="shared" si="454"/>
        <v>0</v>
      </c>
      <c r="BJ423" s="55">
        <f t="shared" si="455"/>
        <v>0</v>
      </c>
    </row>
    <row r="424" spans="1:62" ht="12.75">
      <c r="A424" s="36" t="s">
        <v>873</v>
      </c>
      <c r="B424" s="36" t="s">
        <v>60</v>
      </c>
      <c r="C424" s="36" t="s">
        <v>1063</v>
      </c>
      <c r="D424" s="36" t="s">
        <v>515</v>
      </c>
      <c r="E424" s="36" t="s">
        <v>609</v>
      </c>
      <c r="F424" s="55">
        <f>'Stavební rozpočet'!F426</f>
        <v>14.2</v>
      </c>
      <c r="G424" s="55">
        <f>'Stavební rozpočet'!G426</f>
        <v>0</v>
      </c>
      <c r="H424" s="55">
        <f t="shared" si="430"/>
        <v>0</v>
      </c>
      <c r="I424" s="55">
        <f t="shared" si="431"/>
        <v>0</v>
      </c>
      <c r="J424" s="55">
        <f t="shared" si="432"/>
        <v>0</v>
      </c>
      <c r="K424" s="55">
        <f>'Stavební rozpočet'!K426</f>
        <v>0</v>
      </c>
      <c r="L424" s="55">
        <f t="shared" si="433"/>
        <v>0</v>
      </c>
      <c r="M424" s="51" t="s">
        <v>622</v>
      </c>
      <c r="Z424" s="29">
        <f t="shared" si="434"/>
        <v>0</v>
      </c>
      <c r="AB424" s="29">
        <f t="shared" si="435"/>
        <v>0</v>
      </c>
      <c r="AC424" s="29">
        <f t="shared" si="436"/>
        <v>0</v>
      </c>
      <c r="AD424" s="29">
        <f t="shared" si="437"/>
        <v>0</v>
      </c>
      <c r="AE424" s="29">
        <f t="shared" si="438"/>
        <v>0</v>
      </c>
      <c r="AF424" s="29">
        <f t="shared" si="439"/>
        <v>0</v>
      </c>
      <c r="AG424" s="29">
        <f t="shared" si="440"/>
        <v>0</v>
      </c>
      <c r="AH424" s="29">
        <f t="shared" si="441"/>
        <v>0</v>
      </c>
      <c r="AI424" s="48" t="s">
        <v>60</v>
      </c>
      <c r="AJ424" s="55">
        <f t="shared" si="442"/>
        <v>0</v>
      </c>
      <c r="AK424" s="55">
        <f t="shared" si="443"/>
        <v>0</v>
      </c>
      <c r="AL424" s="55">
        <f t="shared" si="444"/>
        <v>0</v>
      </c>
      <c r="AN424" s="29">
        <v>15</v>
      </c>
      <c r="AO424" s="29">
        <f t="shared" si="445"/>
        <v>0</v>
      </c>
      <c r="AP424" s="29">
        <f t="shared" si="446"/>
        <v>0</v>
      </c>
      <c r="AQ424" s="51" t="s">
        <v>85</v>
      </c>
      <c r="AV424" s="29">
        <f t="shared" si="447"/>
        <v>0</v>
      </c>
      <c r="AW424" s="29">
        <f t="shared" si="448"/>
        <v>0</v>
      </c>
      <c r="AX424" s="29">
        <f t="shared" si="449"/>
        <v>0</v>
      </c>
      <c r="AY424" s="54" t="s">
        <v>645</v>
      </c>
      <c r="AZ424" s="54" t="s">
        <v>1538</v>
      </c>
      <c r="BA424" s="48" t="s">
        <v>1542</v>
      </c>
      <c r="BC424" s="29">
        <f t="shared" si="450"/>
        <v>0</v>
      </c>
      <c r="BD424" s="29">
        <f t="shared" si="451"/>
        <v>0</v>
      </c>
      <c r="BE424" s="29">
        <v>0</v>
      </c>
      <c r="BF424" s="29">
        <f t="shared" si="452"/>
        <v>0</v>
      </c>
      <c r="BH424" s="55">
        <f t="shared" si="453"/>
        <v>0</v>
      </c>
      <c r="BI424" s="55">
        <f t="shared" si="454"/>
        <v>0</v>
      </c>
      <c r="BJ424" s="55">
        <f t="shared" si="455"/>
        <v>0</v>
      </c>
    </row>
    <row r="425" spans="1:62" ht="12.75">
      <c r="A425" s="36" t="s">
        <v>874</v>
      </c>
      <c r="B425" s="36" t="s">
        <v>60</v>
      </c>
      <c r="C425" s="36" t="s">
        <v>1064</v>
      </c>
      <c r="D425" s="36" t="s">
        <v>516</v>
      </c>
      <c r="E425" s="36" t="s">
        <v>609</v>
      </c>
      <c r="F425" s="55">
        <f>'Stavební rozpočet'!F427</f>
        <v>105.9</v>
      </c>
      <c r="G425" s="55">
        <f>'Stavební rozpočet'!G427</f>
        <v>0</v>
      </c>
      <c r="H425" s="55">
        <f t="shared" si="430"/>
        <v>0</v>
      </c>
      <c r="I425" s="55">
        <f t="shared" si="431"/>
        <v>0</v>
      </c>
      <c r="J425" s="55">
        <f t="shared" si="432"/>
        <v>0</v>
      </c>
      <c r="K425" s="55">
        <f>'Stavební rozpočet'!K427</f>
        <v>0</v>
      </c>
      <c r="L425" s="55">
        <f t="shared" si="433"/>
        <v>0</v>
      </c>
      <c r="M425" s="51" t="s">
        <v>622</v>
      </c>
      <c r="Z425" s="29">
        <f t="shared" si="434"/>
        <v>0</v>
      </c>
      <c r="AB425" s="29">
        <f t="shared" si="435"/>
        <v>0</v>
      </c>
      <c r="AC425" s="29">
        <f t="shared" si="436"/>
        <v>0</v>
      </c>
      <c r="AD425" s="29">
        <f t="shared" si="437"/>
        <v>0</v>
      </c>
      <c r="AE425" s="29">
        <f t="shared" si="438"/>
        <v>0</v>
      </c>
      <c r="AF425" s="29">
        <f t="shared" si="439"/>
        <v>0</v>
      </c>
      <c r="AG425" s="29">
        <f t="shared" si="440"/>
        <v>0</v>
      </c>
      <c r="AH425" s="29">
        <f t="shared" si="441"/>
        <v>0</v>
      </c>
      <c r="AI425" s="48" t="s">
        <v>60</v>
      </c>
      <c r="AJ425" s="55">
        <f t="shared" si="442"/>
        <v>0</v>
      </c>
      <c r="AK425" s="55">
        <f t="shared" si="443"/>
        <v>0</v>
      </c>
      <c r="AL425" s="55">
        <f t="shared" si="444"/>
        <v>0</v>
      </c>
      <c r="AN425" s="29">
        <v>15</v>
      </c>
      <c r="AO425" s="29">
        <f t="shared" si="445"/>
        <v>0</v>
      </c>
      <c r="AP425" s="29">
        <f t="shared" si="446"/>
        <v>0</v>
      </c>
      <c r="AQ425" s="51" t="s">
        <v>85</v>
      </c>
      <c r="AV425" s="29">
        <f t="shared" si="447"/>
        <v>0</v>
      </c>
      <c r="AW425" s="29">
        <f t="shared" si="448"/>
        <v>0</v>
      </c>
      <c r="AX425" s="29">
        <f t="shared" si="449"/>
        <v>0</v>
      </c>
      <c r="AY425" s="54" t="s">
        <v>645</v>
      </c>
      <c r="AZ425" s="54" t="s">
        <v>1538</v>
      </c>
      <c r="BA425" s="48" t="s">
        <v>1542</v>
      </c>
      <c r="BC425" s="29">
        <f t="shared" si="450"/>
        <v>0</v>
      </c>
      <c r="BD425" s="29">
        <f t="shared" si="451"/>
        <v>0</v>
      </c>
      <c r="BE425" s="29">
        <v>0</v>
      </c>
      <c r="BF425" s="29">
        <f t="shared" si="452"/>
        <v>0</v>
      </c>
      <c r="BH425" s="55">
        <f t="shared" si="453"/>
        <v>0</v>
      </c>
      <c r="BI425" s="55">
        <f t="shared" si="454"/>
        <v>0</v>
      </c>
      <c r="BJ425" s="55">
        <f t="shared" si="455"/>
        <v>0</v>
      </c>
    </row>
    <row r="426" spans="1:62" ht="12.75">
      <c r="A426" s="36" t="s">
        <v>875</v>
      </c>
      <c r="B426" s="36" t="s">
        <v>60</v>
      </c>
      <c r="C426" s="36" t="s">
        <v>1065</v>
      </c>
      <c r="D426" s="36" t="s">
        <v>1376</v>
      </c>
      <c r="E426" s="36" t="s">
        <v>609</v>
      </c>
      <c r="F426" s="55">
        <f>'Stavební rozpočet'!F428</f>
        <v>33.6</v>
      </c>
      <c r="G426" s="55">
        <f>'Stavební rozpočet'!G428</f>
        <v>0</v>
      </c>
      <c r="H426" s="55">
        <f t="shared" si="430"/>
        <v>0</v>
      </c>
      <c r="I426" s="55">
        <f t="shared" si="431"/>
        <v>0</v>
      </c>
      <c r="J426" s="55">
        <f t="shared" si="432"/>
        <v>0</v>
      </c>
      <c r="K426" s="55">
        <f>'Stavební rozpočet'!K428</f>
        <v>0</v>
      </c>
      <c r="L426" s="55">
        <f t="shared" si="433"/>
        <v>0</v>
      </c>
      <c r="M426" s="51" t="s">
        <v>622</v>
      </c>
      <c r="Z426" s="29">
        <f t="shared" si="434"/>
        <v>0</v>
      </c>
      <c r="AB426" s="29">
        <f t="shared" si="435"/>
        <v>0</v>
      </c>
      <c r="AC426" s="29">
        <f t="shared" si="436"/>
        <v>0</v>
      </c>
      <c r="AD426" s="29">
        <f t="shared" si="437"/>
        <v>0</v>
      </c>
      <c r="AE426" s="29">
        <f t="shared" si="438"/>
        <v>0</v>
      </c>
      <c r="AF426" s="29">
        <f t="shared" si="439"/>
        <v>0</v>
      </c>
      <c r="AG426" s="29">
        <f t="shared" si="440"/>
        <v>0</v>
      </c>
      <c r="AH426" s="29">
        <f t="shared" si="441"/>
        <v>0</v>
      </c>
      <c r="AI426" s="48" t="s">
        <v>60</v>
      </c>
      <c r="AJ426" s="55">
        <f t="shared" si="442"/>
        <v>0</v>
      </c>
      <c r="AK426" s="55">
        <f t="shared" si="443"/>
        <v>0</v>
      </c>
      <c r="AL426" s="55">
        <f t="shared" si="444"/>
        <v>0</v>
      </c>
      <c r="AN426" s="29">
        <v>15</v>
      </c>
      <c r="AO426" s="29">
        <f t="shared" si="445"/>
        <v>0</v>
      </c>
      <c r="AP426" s="29">
        <f t="shared" si="446"/>
        <v>0</v>
      </c>
      <c r="AQ426" s="51" t="s">
        <v>85</v>
      </c>
      <c r="AV426" s="29">
        <f t="shared" si="447"/>
        <v>0</v>
      </c>
      <c r="AW426" s="29">
        <f t="shared" si="448"/>
        <v>0</v>
      </c>
      <c r="AX426" s="29">
        <f t="shared" si="449"/>
        <v>0</v>
      </c>
      <c r="AY426" s="54" t="s">
        <v>645</v>
      </c>
      <c r="AZ426" s="54" t="s">
        <v>1538</v>
      </c>
      <c r="BA426" s="48" t="s">
        <v>1542</v>
      </c>
      <c r="BC426" s="29">
        <f t="shared" si="450"/>
        <v>0</v>
      </c>
      <c r="BD426" s="29">
        <f t="shared" si="451"/>
        <v>0</v>
      </c>
      <c r="BE426" s="29">
        <v>0</v>
      </c>
      <c r="BF426" s="29">
        <f t="shared" si="452"/>
        <v>0</v>
      </c>
      <c r="BH426" s="55">
        <f t="shared" si="453"/>
        <v>0</v>
      </c>
      <c r="BI426" s="55">
        <f t="shared" si="454"/>
        <v>0</v>
      </c>
      <c r="BJ426" s="55">
        <f t="shared" si="455"/>
        <v>0</v>
      </c>
    </row>
    <row r="427" spans="1:62" ht="12.75">
      <c r="A427" s="36" t="s">
        <v>876</v>
      </c>
      <c r="B427" s="36" t="s">
        <v>60</v>
      </c>
      <c r="C427" s="36" t="s">
        <v>1066</v>
      </c>
      <c r="D427" s="36" t="s">
        <v>1377</v>
      </c>
      <c r="E427" s="36" t="s">
        <v>609</v>
      </c>
      <c r="F427" s="55">
        <f>'Stavební rozpočet'!F429</f>
        <v>14.7</v>
      </c>
      <c r="G427" s="55">
        <f>'Stavební rozpočet'!G429</f>
        <v>0</v>
      </c>
      <c r="H427" s="55">
        <f t="shared" si="430"/>
        <v>0</v>
      </c>
      <c r="I427" s="55">
        <f t="shared" si="431"/>
        <v>0</v>
      </c>
      <c r="J427" s="55">
        <f t="shared" si="432"/>
        <v>0</v>
      </c>
      <c r="K427" s="55">
        <f>'Stavební rozpočet'!K429</f>
        <v>0</v>
      </c>
      <c r="L427" s="55">
        <f t="shared" si="433"/>
        <v>0</v>
      </c>
      <c r="M427" s="51" t="s">
        <v>622</v>
      </c>
      <c r="Z427" s="29">
        <f t="shared" si="434"/>
        <v>0</v>
      </c>
      <c r="AB427" s="29">
        <f t="shared" si="435"/>
        <v>0</v>
      </c>
      <c r="AC427" s="29">
        <f t="shared" si="436"/>
        <v>0</v>
      </c>
      <c r="AD427" s="29">
        <f t="shared" si="437"/>
        <v>0</v>
      </c>
      <c r="AE427" s="29">
        <f t="shared" si="438"/>
        <v>0</v>
      </c>
      <c r="AF427" s="29">
        <f t="shared" si="439"/>
        <v>0</v>
      </c>
      <c r="AG427" s="29">
        <f t="shared" si="440"/>
        <v>0</v>
      </c>
      <c r="AH427" s="29">
        <f t="shared" si="441"/>
        <v>0</v>
      </c>
      <c r="AI427" s="48" t="s">
        <v>60</v>
      </c>
      <c r="AJ427" s="55">
        <f t="shared" si="442"/>
        <v>0</v>
      </c>
      <c r="AK427" s="55">
        <f t="shared" si="443"/>
        <v>0</v>
      </c>
      <c r="AL427" s="55">
        <f t="shared" si="444"/>
        <v>0</v>
      </c>
      <c r="AN427" s="29">
        <v>15</v>
      </c>
      <c r="AO427" s="29">
        <f t="shared" si="445"/>
        <v>0</v>
      </c>
      <c r="AP427" s="29">
        <f t="shared" si="446"/>
        <v>0</v>
      </c>
      <c r="AQ427" s="51" t="s">
        <v>85</v>
      </c>
      <c r="AV427" s="29">
        <f t="shared" si="447"/>
        <v>0</v>
      </c>
      <c r="AW427" s="29">
        <f t="shared" si="448"/>
        <v>0</v>
      </c>
      <c r="AX427" s="29">
        <f t="shared" si="449"/>
        <v>0</v>
      </c>
      <c r="AY427" s="54" t="s">
        <v>645</v>
      </c>
      <c r="AZ427" s="54" t="s">
        <v>1538</v>
      </c>
      <c r="BA427" s="48" t="s">
        <v>1542</v>
      </c>
      <c r="BC427" s="29">
        <f t="shared" si="450"/>
        <v>0</v>
      </c>
      <c r="BD427" s="29">
        <f t="shared" si="451"/>
        <v>0</v>
      </c>
      <c r="BE427" s="29">
        <v>0</v>
      </c>
      <c r="BF427" s="29">
        <f t="shared" si="452"/>
        <v>0</v>
      </c>
      <c r="BH427" s="55">
        <f t="shared" si="453"/>
        <v>0</v>
      </c>
      <c r="BI427" s="55">
        <f t="shared" si="454"/>
        <v>0</v>
      </c>
      <c r="BJ427" s="55">
        <f t="shared" si="455"/>
        <v>0</v>
      </c>
    </row>
    <row r="428" spans="1:62" ht="12.75">
      <c r="A428" s="36" t="s">
        <v>877</v>
      </c>
      <c r="B428" s="36" t="s">
        <v>60</v>
      </c>
      <c r="C428" s="36" t="s">
        <v>1067</v>
      </c>
      <c r="D428" s="36" t="s">
        <v>1378</v>
      </c>
      <c r="E428" s="36" t="s">
        <v>609</v>
      </c>
      <c r="F428" s="55">
        <f>'Stavební rozpočet'!F430</f>
        <v>24.1</v>
      </c>
      <c r="G428" s="55">
        <f>'Stavební rozpočet'!G430</f>
        <v>0</v>
      </c>
      <c r="H428" s="55">
        <f t="shared" si="430"/>
        <v>0</v>
      </c>
      <c r="I428" s="55">
        <f t="shared" si="431"/>
        <v>0</v>
      </c>
      <c r="J428" s="55">
        <f t="shared" si="432"/>
        <v>0</v>
      </c>
      <c r="K428" s="55">
        <f>'Stavební rozpočet'!K430</f>
        <v>0</v>
      </c>
      <c r="L428" s="55">
        <f t="shared" si="433"/>
        <v>0</v>
      </c>
      <c r="M428" s="51" t="s">
        <v>622</v>
      </c>
      <c r="Z428" s="29">
        <f t="shared" si="434"/>
        <v>0</v>
      </c>
      <c r="AB428" s="29">
        <f t="shared" si="435"/>
        <v>0</v>
      </c>
      <c r="AC428" s="29">
        <f t="shared" si="436"/>
        <v>0</v>
      </c>
      <c r="AD428" s="29">
        <f t="shared" si="437"/>
        <v>0</v>
      </c>
      <c r="AE428" s="29">
        <f t="shared" si="438"/>
        <v>0</v>
      </c>
      <c r="AF428" s="29">
        <f t="shared" si="439"/>
        <v>0</v>
      </c>
      <c r="AG428" s="29">
        <f t="shared" si="440"/>
        <v>0</v>
      </c>
      <c r="AH428" s="29">
        <f t="shared" si="441"/>
        <v>0</v>
      </c>
      <c r="AI428" s="48" t="s">
        <v>60</v>
      </c>
      <c r="AJ428" s="55">
        <f t="shared" si="442"/>
        <v>0</v>
      </c>
      <c r="AK428" s="55">
        <f t="shared" si="443"/>
        <v>0</v>
      </c>
      <c r="AL428" s="55">
        <f t="shared" si="444"/>
        <v>0</v>
      </c>
      <c r="AN428" s="29">
        <v>15</v>
      </c>
      <c r="AO428" s="29">
        <f t="shared" si="445"/>
        <v>0</v>
      </c>
      <c r="AP428" s="29">
        <f t="shared" si="446"/>
        <v>0</v>
      </c>
      <c r="AQ428" s="51" t="s">
        <v>85</v>
      </c>
      <c r="AV428" s="29">
        <f t="shared" si="447"/>
        <v>0</v>
      </c>
      <c r="AW428" s="29">
        <f t="shared" si="448"/>
        <v>0</v>
      </c>
      <c r="AX428" s="29">
        <f t="shared" si="449"/>
        <v>0</v>
      </c>
      <c r="AY428" s="54" t="s">
        <v>645</v>
      </c>
      <c r="AZ428" s="54" t="s">
        <v>1538</v>
      </c>
      <c r="BA428" s="48" t="s">
        <v>1542</v>
      </c>
      <c r="BC428" s="29">
        <f t="shared" si="450"/>
        <v>0</v>
      </c>
      <c r="BD428" s="29">
        <f t="shared" si="451"/>
        <v>0</v>
      </c>
      <c r="BE428" s="29">
        <v>0</v>
      </c>
      <c r="BF428" s="29">
        <f t="shared" si="452"/>
        <v>0</v>
      </c>
      <c r="BH428" s="55">
        <f t="shared" si="453"/>
        <v>0</v>
      </c>
      <c r="BI428" s="55">
        <f t="shared" si="454"/>
        <v>0</v>
      </c>
      <c r="BJ428" s="55">
        <f t="shared" si="455"/>
        <v>0</v>
      </c>
    </row>
    <row r="429" spans="1:62" ht="12.75">
      <c r="A429" s="36" t="s">
        <v>878</v>
      </c>
      <c r="B429" s="36" t="s">
        <v>60</v>
      </c>
      <c r="C429" s="36" t="s">
        <v>324</v>
      </c>
      <c r="D429" s="36" t="s">
        <v>1379</v>
      </c>
      <c r="E429" s="36" t="s">
        <v>606</v>
      </c>
      <c r="F429" s="55">
        <f>'Stavební rozpočet'!F431</f>
        <v>2</v>
      </c>
      <c r="G429" s="55">
        <f>'Stavební rozpočet'!G431</f>
        <v>0</v>
      </c>
      <c r="H429" s="55">
        <f t="shared" si="430"/>
        <v>0</v>
      </c>
      <c r="I429" s="55">
        <f t="shared" si="431"/>
        <v>0</v>
      </c>
      <c r="J429" s="55">
        <f t="shared" si="432"/>
        <v>0</v>
      </c>
      <c r="K429" s="55">
        <f>'Stavební rozpočet'!K431</f>
        <v>0</v>
      </c>
      <c r="L429" s="55">
        <f t="shared" si="433"/>
        <v>0</v>
      </c>
      <c r="M429" s="51" t="s">
        <v>622</v>
      </c>
      <c r="Z429" s="29">
        <f t="shared" si="434"/>
        <v>0</v>
      </c>
      <c r="AB429" s="29">
        <f t="shared" si="435"/>
        <v>0</v>
      </c>
      <c r="AC429" s="29">
        <f t="shared" si="436"/>
        <v>0</v>
      </c>
      <c r="AD429" s="29">
        <f t="shared" si="437"/>
        <v>0</v>
      </c>
      <c r="AE429" s="29">
        <f t="shared" si="438"/>
        <v>0</v>
      </c>
      <c r="AF429" s="29">
        <f t="shared" si="439"/>
        <v>0</v>
      </c>
      <c r="AG429" s="29">
        <f t="shared" si="440"/>
        <v>0</v>
      </c>
      <c r="AH429" s="29">
        <f t="shared" si="441"/>
        <v>0</v>
      </c>
      <c r="AI429" s="48" t="s">
        <v>60</v>
      </c>
      <c r="AJ429" s="55">
        <f t="shared" si="442"/>
        <v>0</v>
      </c>
      <c r="AK429" s="55">
        <f t="shared" si="443"/>
        <v>0</v>
      </c>
      <c r="AL429" s="55">
        <f t="shared" si="444"/>
        <v>0</v>
      </c>
      <c r="AN429" s="29">
        <v>15</v>
      </c>
      <c r="AO429" s="29">
        <f t="shared" si="445"/>
        <v>0</v>
      </c>
      <c r="AP429" s="29">
        <f t="shared" si="446"/>
        <v>0</v>
      </c>
      <c r="AQ429" s="51" t="s">
        <v>85</v>
      </c>
      <c r="AV429" s="29">
        <f t="shared" si="447"/>
        <v>0</v>
      </c>
      <c r="AW429" s="29">
        <f t="shared" si="448"/>
        <v>0</v>
      </c>
      <c r="AX429" s="29">
        <f t="shared" si="449"/>
        <v>0</v>
      </c>
      <c r="AY429" s="54" t="s">
        <v>645</v>
      </c>
      <c r="AZ429" s="54" t="s">
        <v>1538</v>
      </c>
      <c r="BA429" s="48" t="s">
        <v>1542</v>
      </c>
      <c r="BC429" s="29">
        <f t="shared" si="450"/>
        <v>0</v>
      </c>
      <c r="BD429" s="29">
        <f t="shared" si="451"/>
        <v>0</v>
      </c>
      <c r="BE429" s="29">
        <v>0</v>
      </c>
      <c r="BF429" s="29">
        <f t="shared" si="452"/>
        <v>0</v>
      </c>
      <c r="BH429" s="55">
        <f t="shared" si="453"/>
        <v>0</v>
      </c>
      <c r="BI429" s="55">
        <f t="shared" si="454"/>
        <v>0</v>
      </c>
      <c r="BJ429" s="55">
        <f t="shared" si="455"/>
        <v>0</v>
      </c>
    </row>
    <row r="430" spans="1:62" ht="12.75">
      <c r="A430" s="36" t="s">
        <v>879</v>
      </c>
      <c r="B430" s="36" t="s">
        <v>60</v>
      </c>
      <c r="C430" s="36" t="s">
        <v>325</v>
      </c>
      <c r="D430" s="36" t="s">
        <v>1380</v>
      </c>
      <c r="E430" s="36" t="s">
        <v>606</v>
      </c>
      <c r="F430" s="55">
        <f>'Stavební rozpočet'!F432</f>
        <v>0</v>
      </c>
      <c r="G430" s="55">
        <f>'Stavební rozpočet'!G432</f>
        <v>0</v>
      </c>
      <c r="H430" s="55">
        <f t="shared" si="430"/>
        <v>0</v>
      </c>
      <c r="I430" s="55">
        <f t="shared" si="431"/>
        <v>0</v>
      </c>
      <c r="J430" s="55">
        <f t="shared" si="432"/>
        <v>0</v>
      </c>
      <c r="K430" s="55">
        <f>'Stavební rozpočet'!K432</f>
        <v>0</v>
      </c>
      <c r="L430" s="55">
        <f t="shared" si="433"/>
        <v>0</v>
      </c>
      <c r="M430" s="51" t="s">
        <v>622</v>
      </c>
      <c r="Z430" s="29">
        <f t="shared" si="434"/>
        <v>0</v>
      </c>
      <c r="AB430" s="29">
        <f t="shared" si="435"/>
        <v>0</v>
      </c>
      <c r="AC430" s="29">
        <f t="shared" si="436"/>
        <v>0</v>
      </c>
      <c r="AD430" s="29">
        <f t="shared" si="437"/>
        <v>0</v>
      </c>
      <c r="AE430" s="29">
        <f t="shared" si="438"/>
        <v>0</v>
      </c>
      <c r="AF430" s="29">
        <f t="shared" si="439"/>
        <v>0</v>
      </c>
      <c r="AG430" s="29">
        <f t="shared" si="440"/>
        <v>0</v>
      </c>
      <c r="AH430" s="29">
        <f t="shared" si="441"/>
        <v>0</v>
      </c>
      <c r="AI430" s="48" t="s">
        <v>60</v>
      </c>
      <c r="AJ430" s="55">
        <f t="shared" si="442"/>
        <v>0</v>
      </c>
      <c r="AK430" s="55">
        <f t="shared" si="443"/>
        <v>0</v>
      </c>
      <c r="AL430" s="55">
        <f t="shared" si="444"/>
        <v>0</v>
      </c>
      <c r="AN430" s="29">
        <v>15</v>
      </c>
      <c r="AO430" s="29">
        <f t="shared" si="445"/>
        <v>0</v>
      </c>
      <c r="AP430" s="29">
        <f t="shared" si="446"/>
        <v>0</v>
      </c>
      <c r="AQ430" s="51" t="s">
        <v>85</v>
      </c>
      <c r="AV430" s="29">
        <f t="shared" si="447"/>
        <v>0</v>
      </c>
      <c r="AW430" s="29">
        <f t="shared" si="448"/>
        <v>0</v>
      </c>
      <c r="AX430" s="29">
        <f t="shared" si="449"/>
        <v>0</v>
      </c>
      <c r="AY430" s="54" t="s">
        <v>645</v>
      </c>
      <c r="AZ430" s="54" t="s">
        <v>1538</v>
      </c>
      <c r="BA430" s="48" t="s">
        <v>1542</v>
      </c>
      <c r="BC430" s="29">
        <f t="shared" si="450"/>
        <v>0</v>
      </c>
      <c r="BD430" s="29">
        <f t="shared" si="451"/>
        <v>0</v>
      </c>
      <c r="BE430" s="29">
        <v>0</v>
      </c>
      <c r="BF430" s="29">
        <f t="shared" si="452"/>
        <v>0</v>
      </c>
      <c r="BH430" s="55">
        <f t="shared" si="453"/>
        <v>0</v>
      </c>
      <c r="BI430" s="55">
        <f t="shared" si="454"/>
        <v>0</v>
      </c>
      <c r="BJ430" s="55">
        <f t="shared" si="455"/>
        <v>0</v>
      </c>
    </row>
    <row r="431" spans="1:62" ht="12.75">
      <c r="A431" s="36" t="s">
        <v>880</v>
      </c>
      <c r="B431" s="36" t="s">
        <v>60</v>
      </c>
      <c r="C431" s="36" t="s">
        <v>326</v>
      </c>
      <c r="D431" s="36" t="s">
        <v>1381</v>
      </c>
      <c r="E431" s="36" t="s">
        <v>606</v>
      </c>
      <c r="F431" s="55">
        <f>'Stavební rozpočet'!F433</f>
        <v>0</v>
      </c>
      <c r="G431" s="55">
        <f>'Stavební rozpočet'!G433</f>
        <v>0</v>
      </c>
      <c r="H431" s="55">
        <f t="shared" si="430"/>
        <v>0</v>
      </c>
      <c r="I431" s="55">
        <f t="shared" si="431"/>
        <v>0</v>
      </c>
      <c r="J431" s="55">
        <f t="shared" si="432"/>
        <v>0</v>
      </c>
      <c r="K431" s="55">
        <f>'Stavební rozpočet'!K433</f>
        <v>0</v>
      </c>
      <c r="L431" s="55">
        <f t="shared" si="433"/>
        <v>0</v>
      </c>
      <c r="M431" s="51" t="s">
        <v>622</v>
      </c>
      <c r="Z431" s="29">
        <f t="shared" si="434"/>
        <v>0</v>
      </c>
      <c r="AB431" s="29">
        <f t="shared" si="435"/>
        <v>0</v>
      </c>
      <c r="AC431" s="29">
        <f t="shared" si="436"/>
        <v>0</v>
      </c>
      <c r="AD431" s="29">
        <f t="shared" si="437"/>
        <v>0</v>
      </c>
      <c r="AE431" s="29">
        <f t="shared" si="438"/>
        <v>0</v>
      </c>
      <c r="AF431" s="29">
        <f t="shared" si="439"/>
        <v>0</v>
      </c>
      <c r="AG431" s="29">
        <f t="shared" si="440"/>
        <v>0</v>
      </c>
      <c r="AH431" s="29">
        <f t="shared" si="441"/>
        <v>0</v>
      </c>
      <c r="AI431" s="48" t="s">
        <v>60</v>
      </c>
      <c r="AJ431" s="55">
        <f t="shared" si="442"/>
        <v>0</v>
      </c>
      <c r="AK431" s="55">
        <f t="shared" si="443"/>
        <v>0</v>
      </c>
      <c r="AL431" s="55">
        <f t="shared" si="444"/>
        <v>0</v>
      </c>
      <c r="AN431" s="29">
        <v>15</v>
      </c>
      <c r="AO431" s="29">
        <f t="shared" si="445"/>
        <v>0</v>
      </c>
      <c r="AP431" s="29">
        <f t="shared" si="446"/>
        <v>0</v>
      </c>
      <c r="AQ431" s="51" t="s">
        <v>85</v>
      </c>
      <c r="AV431" s="29">
        <f t="shared" si="447"/>
        <v>0</v>
      </c>
      <c r="AW431" s="29">
        <f t="shared" si="448"/>
        <v>0</v>
      </c>
      <c r="AX431" s="29">
        <f t="shared" si="449"/>
        <v>0</v>
      </c>
      <c r="AY431" s="54" t="s">
        <v>645</v>
      </c>
      <c r="AZ431" s="54" t="s">
        <v>1538</v>
      </c>
      <c r="BA431" s="48" t="s">
        <v>1542</v>
      </c>
      <c r="BC431" s="29">
        <f t="shared" si="450"/>
        <v>0</v>
      </c>
      <c r="BD431" s="29">
        <f t="shared" si="451"/>
        <v>0</v>
      </c>
      <c r="BE431" s="29">
        <v>0</v>
      </c>
      <c r="BF431" s="29">
        <f t="shared" si="452"/>
        <v>0</v>
      </c>
      <c r="BH431" s="55">
        <f t="shared" si="453"/>
        <v>0</v>
      </c>
      <c r="BI431" s="55">
        <f t="shared" si="454"/>
        <v>0</v>
      </c>
      <c r="BJ431" s="55">
        <f t="shared" si="455"/>
        <v>0</v>
      </c>
    </row>
    <row r="432" spans="1:62" ht="12.75">
      <c r="A432" s="36" t="s">
        <v>881</v>
      </c>
      <c r="B432" s="36" t="s">
        <v>60</v>
      </c>
      <c r="C432" s="36" t="s">
        <v>327</v>
      </c>
      <c r="D432" s="36" t="s">
        <v>1382</v>
      </c>
      <c r="E432" s="36" t="s">
        <v>606</v>
      </c>
      <c r="F432" s="55">
        <f>'Stavební rozpočet'!F434</f>
        <v>1</v>
      </c>
      <c r="G432" s="55">
        <f>'Stavební rozpočet'!G434</f>
        <v>0</v>
      </c>
      <c r="H432" s="55">
        <f t="shared" si="430"/>
        <v>0</v>
      </c>
      <c r="I432" s="55">
        <f t="shared" si="431"/>
        <v>0</v>
      </c>
      <c r="J432" s="55">
        <f t="shared" si="432"/>
        <v>0</v>
      </c>
      <c r="K432" s="55">
        <f>'Stavební rozpočet'!K434</f>
        <v>0</v>
      </c>
      <c r="L432" s="55">
        <f t="shared" si="433"/>
        <v>0</v>
      </c>
      <c r="M432" s="51" t="s">
        <v>622</v>
      </c>
      <c r="Z432" s="29">
        <f t="shared" si="434"/>
        <v>0</v>
      </c>
      <c r="AB432" s="29">
        <f t="shared" si="435"/>
        <v>0</v>
      </c>
      <c r="AC432" s="29">
        <f t="shared" si="436"/>
        <v>0</v>
      </c>
      <c r="AD432" s="29">
        <f t="shared" si="437"/>
        <v>0</v>
      </c>
      <c r="AE432" s="29">
        <f t="shared" si="438"/>
        <v>0</v>
      </c>
      <c r="AF432" s="29">
        <f t="shared" si="439"/>
        <v>0</v>
      </c>
      <c r="AG432" s="29">
        <f t="shared" si="440"/>
        <v>0</v>
      </c>
      <c r="AH432" s="29">
        <f t="shared" si="441"/>
        <v>0</v>
      </c>
      <c r="AI432" s="48" t="s">
        <v>60</v>
      </c>
      <c r="AJ432" s="55">
        <f t="shared" si="442"/>
        <v>0</v>
      </c>
      <c r="AK432" s="55">
        <f t="shared" si="443"/>
        <v>0</v>
      </c>
      <c r="AL432" s="55">
        <f t="shared" si="444"/>
        <v>0</v>
      </c>
      <c r="AN432" s="29">
        <v>15</v>
      </c>
      <c r="AO432" s="29">
        <f t="shared" si="445"/>
        <v>0</v>
      </c>
      <c r="AP432" s="29">
        <f t="shared" si="446"/>
        <v>0</v>
      </c>
      <c r="AQ432" s="51" t="s">
        <v>85</v>
      </c>
      <c r="AV432" s="29">
        <f t="shared" si="447"/>
        <v>0</v>
      </c>
      <c r="AW432" s="29">
        <f t="shared" si="448"/>
        <v>0</v>
      </c>
      <c r="AX432" s="29">
        <f t="shared" si="449"/>
        <v>0</v>
      </c>
      <c r="AY432" s="54" t="s">
        <v>645</v>
      </c>
      <c r="AZ432" s="54" t="s">
        <v>1538</v>
      </c>
      <c r="BA432" s="48" t="s">
        <v>1542</v>
      </c>
      <c r="BC432" s="29">
        <f t="shared" si="450"/>
        <v>0</v>
      </c>
      <c r="BD432" s="29">
        <f t="shared" si="451"/>
        <v>0</v>
      </c>
      <c r="BE432" s="29">
        <v>0</v>
      </c>
      <c r="BF432" s="29">
        <f t="shared" si="452"/>
        <v>0</v>
      </c>
      <c r="BH432" s="55">
        <f t="shared" si="453"/>
        <v>0</v>
      </c>
      <c r="BI432" s="55">
        <f t="shared" si="454"/>
        <v>0</v>
      </c>
      <c r="BJ432" s="55">
        <f t="shared" si="455"/>
        <v>0</v>
      </c>
    </row>
    <row r="433" spans="1:62" ht="12.75">
      <c r="A433" s="36" t="s">
        <v>882</v>
      </c>
      <c r="B433" s="36" t="s">
        <v>60</v>
      </c>
      <c r="C433" s="36" t="s">
        <v>1068</v>
      </c>
      <c r="D433" s="36" t="s">
        <v>1383</v>
      </c>
      <c r="E433" s="36" t="s">
        <v>606</v>
      </c>
      <c r="F433" s="55">
        <f>'Stavební rozpočet'!F435</f>
        <v>1</v>
      </c>
      <c r="G433" s="55">
        <f>'Stavební rozpočet'!G435</f>
        <v>0</v>
      </c>
      <c r="H433" s="55">
        <f t="shared" si="430"/>
        <v>0</v>
      </c>
      <c r="I433" s="55">
        <f t="shared" si="431"/>
        <v>0</v>
      </c>
      <c r="J433" s="55">
        <f t="shared" si="432"/>
        <v>0</v>
      </c>
      <c r="K433" s="55">
        <f>'Stavební rozpočet'!K435</f>
        <v>0</v>
      </c>
      <c r="L433" s="55">
        <f t="shared" si="433"/>
        <v>0</v>
      </c>
      <c r="M433" s="51" t="s">
        <v>622</v>
      </c>
      <c r="Z433" s="29">
        <f t="shared" si="434"/>
        <v>0</v>
      </c>
      <c r="AB433" s="29">
        <f t="shared" si="435"/>
        <v>0</v>
      </c>
      <c r="AC433" s="29">
        <f t="shared" si="436"/>
        <v>0</v>
      </c>
      <c r="AD433" s="29">
        <f t="shared" si="437"/>
        <v>0</v>
      </c>
      <c r="AE433" s="29">
        <f t="shared" si="438"/>
        <v>0</v>
      </c>
      <c r="AF433" s="29">
        <f t="shared" si="439"/>
        <v>0</v>
      </c>
      <c r="AG433" s="29">
        <f t="shared" si="440"/>
        <v>0</v>
      </c>
      <c r="AH433" s="29">
        <f t="shared" si="441"/>
        <v>0</v>
      </c>
      <c r="AI433" s="48" t="s">
        <v>60</v>
      </c>
      <c r="AJ433" s="55">
        <f t="shared" si="442"/>
        <v>0</v>
      </c>
      <c r="AK433" s="55">
        <f t="shared" si="443"/>
        <v>0</v>
      </c>
      <c r="AL433" s="55">
        <f t="shared" si="444"/>
        <v>0</v>
      </c>
      <c r="AN433" s="29">
        <v>15</v>
      </c>
      <c r="AO433" s="29">
        <f t="shared" si="445"/>
        <v>0</v>
      </c>
      <c r="AP433" s="29">
        <f t="shared" si="446"/>
        <v>0</v>
      </c>
      <c r="AQ433" s="51" t="s">
        <v>85</v>
      </c>
      <c r="AV433" s="29">
        <f t="shared" si="447"/>
        <v>0</v>
      </c>
      <c r="AW433" s="29">
        <f t="shared" si="448"/>
        <v>0</v>
      </c>
      <c r="AX433" s="29">
        <f t="shared" si="449"/>
        <v>0</v>
      </c>
      <c r="AY433" s="54" t="s">
        <v>645</v>
      </c>
      <c r="AZ433" s="54" t="s">
        <v>1538</v>
      </c>
      <c r="BA433" s="48" t="s">
        <v>1542</v>
      </c>
      <c r="BC433" s="29">
        <f t="shared" si="450"/>
        <v>0</v>
      </c>
      <c r="BD433" s="29">
        <f t="shared" si="451"/>
        <v>0</v>
      </c>
      <c r="BE433" s="29">
        <v>0</v>
      </c>
      <c r="BF433" s="29">
        <f t="shared" si="452"/>
        <v>0</v>
      </c>
      <c r="BH433" s="55">
        <f t="shared" si="453"/>
        <v>0</v>
      </c>
      <c r="BI433" s="55">
        <f t="shared" si="454"/>
        <v>0</v>
      </c>
      <c r="BJ433" s="55">
        <f t="shared" si="455"/>
        <v>0</v>
      </c>
    </row>
    <row r="434" spans="1:62" ht="12.75">
      <c r="A434" s="36" t="s">
        <v>883</v>
      </c>
      <c r="B434" s="36" t="s">
        <v>60</v>
      </c>
      <c r="C434" s="36" t="s">
        <v>1069</v>
      </c>
      <c r="D434" s="36" t="s">
        <v>1384</v>
      </c>
      <c r="E434" s="36" t="s">
        <v>606</v>
      </c>
      <c r="F434" s="55">
        <f>'Stavební rozpočet'!F436</f>
        <v>0</v>
      </c>
      <c r="G434" s="55">
        <f>'Stavební rozpočet'!G436</f>
        <v>0</v>
      </c>
      <c r="H434" s="55">
        <f t="shared" si="430"/>
        <v>0</v>
      </c>
      <c r="I434" s="55">
        <f t="shared" si="431"/>
        <v>0</v>
      </c>
      <c r="J434" s="55">
        <f t="shared" si="432"/>
        <v>0</v>
      </c>
      <c r="K434" s="55">
        <f>'Stavební rozpočet'!K436</f>
        <v>0</v>
      </c>
      <c r="L434" s="55">
        <f t="shared" si="433"/>
        <v>0</v>
      </c>
      <c r="M434" s="51" t="s">
        <v>622</v>
      </c>
      <c r="Z434" s="29">
        <f t="shared" si="434"/>
        <v>0</v>
      </c>
      <c r="AB434" s="29">
        <f t="shared" si="435"/>
        <v>0</v>
      </c>
      <c r="AC434" s="29">
        <f t="shared" si="436"/>
        <v>0</v>
      </c>
      <c r="AD434" s="29">
        <f t="shared" si="437"/>
        <v>0</v>
      </c>
      <c r="AE434" s="29">
        <f t="shared" si="438"/>
        <v>0</v>
      </c>
      <c r="AF434" s="29">
        <f t="shared" si="439"/>
        <v>0</v>
      </c>
      <c r="AG434" s="29">
        <f t="shared" si="440"/>
        <v>0</v>
      </c>
      <c r="AH434" s="29">
        <f t="shared" si="441"/>
        <v>0</v>
      </c>
      <c r="AI434" s="48" t="s">
        <v>60</v>
      </c>
      <c r="AJ434" s="55">
        <f t="shared" si="442"/>
        <v>0</v>
      </c>
      <c r="AK434" s="55">
        <f t="shared" si="443"/>
        <v>0</v>
      </c>
      <c r="AL434" s="55">
        <f t="shared" si="444"/>
        <v>0</v>
      </c>
      <c r="AN434" s="29">
        <v>15</v>
      </c>
      <c r="AO434" s="29">
        <f t="shared" si="445"/>
        <v>0</v>
      </c>
      <c r="AP434" s="29">
        <f t="shared" si="446"/>
        <v>0</v>
      </c>
      <c r="AQ434" s="51" t="s">
        <v>85</v>
      </c>
      <c r="AV434" s="29">
        <f t="shared" si="447"/>
        <v>0</v>
      </c>
      <c r="AW434" s="29">
        <f t="shared" si="448"/>
        <v>0</v>
      </c>
      <c r="AX434" s="29">
        <f t="shared" si="449"/>
        <v>0</v>
      </c>
      <c r="AY434" s="54" t="s">
        <v>645</v>
      </c>
      <c r="AZ434" s="54" t="s">
        <v>1538</v>
      </c>
      <c r="BA434" s="48" t="s">
        <v>1542</v>
      </c>
      <c r="BC434" s="29">
        <f t="shared" si="450"/>
        <v>0</v>
      </c>
      <c r="BD434" s="29">
        <f t="shared" si="451"/>
        <v>0</v>
      </c>
      <c r="BE434" s="29">
        <v>0</v>
      </c>
      <c r="BF434" s="29">
        <f t="shared" si="452"/>
        <v>0</v>
      </c>
      <c r="BH434" s="55">
        <f t="shared" si="453"/>
        <v>0</v>
      </c>
      <c r="BI434" s="55">
        <f t="shared" si="454"/>
        <v>0</v>
      </c>
      <c r="BJ434" s="55">
        <f t="shared" si="455"/>
        <v>0</v>
      </c>
    </row>
    <row r="435" spans="1:62" ht="12.75">
      <c r="A435" s="36" t="s">
        <v>884</v>
      </c>
      <c r="B435" s="36" t="s">
        <v>60</v>
      </c>
      <c r="C435" s="36" t="s">
        <v>1070</v>
      </c>
      <c r="D435" s="36" t="s">
        <v>1385</v>
      </c>
      <c r="E435" s="36" t="s">
        <v>606</v>
      </c>
      <c r="F435" s="55">
        <f>'Stavební rozpočet'!F437</f>
        <v>0</v>
      </c>
      <c r="G435" s="55">
        <f>'Stavební rozpočet'!G437</f>
        <v>0</v>
      </c>
      <c r="H435" s="55">
        <f t="shared" si="430"/>
        <v>0</v>
      </c>
      <c r="I435" s="55">
        <f t="shared" si="431"/>
        <v>0</v>
      </c>
      <c r="J435" s="55">
        <f t="shared" si="432"/>
        <v>0</v>
      </c>
      <c r="K435" s="55">
        <f>'Stavební rozpočet'!K437</f>
        <v>0</v>
      </c>
      <c r="L435" s="55">
        <f t="shared" si="433"/>
        <v>0</v>
      </c>
      <c r="M435" s="51" t="s">
        <v>622</v>
      </c>
      <c r="Z435" s="29">
        <f t="shared" si="434"/>
        <v>0</v>
      </c>
      <c r="AB435" s="29">
        <f t="shared" si="435"/>
        <v>0</v>
      </c>
      <c r="AC435" s="29">
        <f t="shared" si="436"/>
        <v>0</v>
      </c>
      <c r="AD435" s="29">
        <f t="shared" si="437"/>
        <v>0</v>
      </c>
      <c r="AE435" s="29">
        <f t="shared" si="438"/>
        <v>0</v>
      </c>
      <c r="AF435" s="29">
        <f t="shared" si="439"/>
        <v>0</v>
      </c>
      <c r="AG435" s="29">
        <f t="shared" si="440"/>
        <v>0</v>
      </c>
      <c r="AH435" s="29">
        <f t="shared" si="441"/>
        <v>0</v>
      </c>
      <c r="AI435" s="48" t="s">
        <v>60</v>
      </c>
      <c r="AJ435" s="55">
        <f t="shared" si="442"/>
        <v>0</v>
      </c>
      <c r="AK435" s="55">
        <f t="shared" si="443"/>
        <v>0</v>
      </c>
      <c r="AL435" s="55">
        <f t="shared" si="444"/>
        <v>0</v>
      </c>
      <c r="AN435" s="29">
        <v>15</v>
      </c>
      <c r="AO435" s="29">
        <f t="shared" si="445"/>
        <v>0</v>
      </c>
      <c r="AP435" s="29">
        <f t="shared" si="446"/>
        <v>0</v>
      </c>
      <c r="AQ435" s="51" t="s">
        <v>85</v>
      </c>
      <c r="AV435" s="29">
        <f t="shared" si="447"/>
        <v>0</v>
      </c>
      <c r="AW435" s="29">
        <f t="shared" si="448"/>
        <v>0</v>
      </c>
      <c r="AX435" s="29">
        <f t="shared" si="449"/>
        <v>0</v>
      </c>
      <c r="AY435" s="54" t="s">
        <v>645</v>
      </c>
      <c r="AZ435" s="54" t="s">
        <v>1538</v>
      </c>
      <c r="BA435" s="48" t="s">
        <v>1542</v>
      </c>
      <c r="BC435" s="29">
        <f t="shared" si="450"/>
        <v>0</v>
      </c>
      <c r="BD435" s="29">
        <f t="shared" si="451"/>
        <v>0</v>
      </c>
      <c r="BE435" s="29">
        <v>0</v>
      </c>
      <c r="BF435" s="29">
        <f t="shared" si="452"/>
        <v>0</v>
      </c>
      <c r="BH435" s="55">
        <f t="shared" si="453"/>
        <v>0</v>
      </c>
      <c r="BI435" s="55">
        <f t="shared" si="454"/>
        <v>0</v>
      </c>
      <c r="BJ435" s="55">
        <f t="shared" si="455"/>
        <v>0</v>
      </c>
    </row>
    <row r="436" spans="1:62" ht="12.75">
      <c r="A436" s="36" t="s">
        <v>885</v>
      </c>
      <c r="B436" s="36" t="s">
        <v>60</v>
      </c>
      <c r="C436" s="36" t="s">
        <v>1071</v>
      </c>
      <c r="D436" s="36" t="s">
        <v>1386</v>
      </c>
      <c r="E436" s="36" t="s">
        <v>606</v>
      </c>
      <c r="F436" s="55">
        <f>'Stavební rozpočet'!F438</f>
        <v>2</v>
      </c>
      <c r="G436" s="55">
        <f>'Stavební rozpočet'!G438</f>
        <v>0</v>
      </c>
      <c r="H436" s="55">
        <f t="shared" si="430"/>
        <v>0</v>
      </c>
      <c r="I436" s="55">
        <f t="shared" si="431"/>
        <v>0</v>
      </c>
      <c r="J436" s="55">
        <f t="shared" si="432"/>
        <v>0</v>
      </c>
      <c r="K436" s="55">
        <f>'Stavební rozpočet'!K438</f>
        <v>0</v>
      </c>
      <c r="L436" s="55">
        <f t="shared" si="433"/>
        <v>0</v>
      </c>
      <c r="M436" s="51" t="s">
        <v>622</v>
      </c>
      <c r="Z436" s="29">
        <f t="shared" si="434"/>
        <v>0</v>
      </c>
      <c r="AB436" s="29">
        <f t="shared" si="435"/>
        <v>0</v>
      </c>
      <c r="AC436" s="29">
        <f t="shared" si="436"/>
        <v>0</v>
      </c>
      <c r="AD436" s="29">
        <f t="shared" si="437"/>
        <v>0</v>
      </c>
      <c r="AE436" s="29">
        <f t="shared" si="438"/>
        <v>0</v>
      </c>
      <c r="AF436" s="29">
        <f t="shared" si="439"/>
        <v>0</v>
      </c>
      <c r="AG436" s="29">
        <f t="shared" si="440"/>
        <v>0</v>
      </c>
      <c r="AH436" s="29">
        <f t="shared" si="441"/>
        <v>0</v>
      </c>
      <c r="AI436" s="48" t="s">
        <v>60</v>
      </c>
      <c r="AJ436" s="55">
        <f t="shared" si="442"/>
        <v>0</v>
      </c>
      <c r="AK436" s="55">
        <f t="shared" si="443"/>
        <v>0</v>
      </c>
      <c r="AL436" s="55">
        <f t="shared" si="444"/>
        <v>0</v>
      </c>
      <c r="AN436" s="29">
        <v>15</v>
      </c>
      <c r="AO436" s="29">
        <f t="shared" si="445"/>
        <v>0</v>
      </c>
      <c r="AP436" s="29">
        <f t="shared" si="446"/>
        <v>0</v>
      </c>
      <c r="AQ436" s="51" t="s">
        <v>85</v>
      </c>
      <c r="AV436" s="29">
        <f t="shared" si="447"/>
        <v>0</v>
      </c>
      <c r="AW436" s="29">
        <f t="shared" si="448"/>
        <v>0</v>
      </c>
      <c r="AX436" s="29">
        <f t="shared" si="449"/>
        <v>0</v>
      </c>
      <c r="AY436" s="54" t="s">
        <v>645</v>
      </c>
      <c r="AZ436" s="54" t="s">
        <v>1538</v>
      </c>
      <c r="BA436" s="48" t="s">
        <v>1542</v>
      </c>
      <c r="BC436" s="29">
        <f t="shared" si="450"/>
        <v>0</v>
      </c>
      <c r="BD436" s="29">
        <f t="shared" si="451"/>
        <v>0</v>
      </c>
      <c r="BE436" s="29">
        <v>0</v>
      </c>
      <c r="BF436" s="29">
        <f t="shared" si="452"/>
        <v>0</v>
      </c>
      <c r="BH436" s="55">
        <f t="shared" si="453"/>
        <v>0</v>
      </c>
      <c r="BI436" s="55">
        <f t="shared" si="454"/>
        <v>0</v>
      </c>
      <c r="BJ436" s="55">
        <f t="shared" si="455"/>
        <v>0</v>
      </c>
    </row>
    <row r="437" spans="1:62" ht="12.75">
      <c r="A437" s="36" t="s">
        <v>886</v>
      </c>
      <c r="B437" s="36" t="s">
        <v>60</v>
      </c>
      <c r="C437" s="36" t="s">
        <v>1072</v>
      </c>
      <c r="D437" s="36" t="s">
        <v>1387</v>
      </c>
      <c r="E437" s="36" t="s">
        <v>606</v>
      </c>
      <c r="F437" s="55">
        <f>'Stavební rozpočet'!F439</f>
        <v>0</v>
      </c>
      <c r="G437" s="55">
        <f>'Stavební rozpočet'!G439</f>
        <v>0</v>
      </c>
      <c r="H437" s="55">
        <f t="shared" si="430"/>
        <v>0</v>
      </c>
      <c r="I437" s="55">
        <f t="shared" si="431"/>
        <v>0</v>
      </c>
      <c r="J437" s="55">
        <f t="shared" si="432"/>
        <v>0</v>
      </c>
      <c r="K437" s="55">
        <f>'Stavební rozpočet'!K439</f>
        <v>0</v>
      </c>
      <c r="L437" s="55">
        <f t="shared" si="433"/>
        <v>0</v>
      </c>
      <c r="M437" s="51" t="s">
        <v>622</v>
      </c>
      <c r="Z437" s="29">
        <f t="shared" si="434"/>
        <v>0</v>
      </c>
      <c r="AB437" s="29">
        <f t="shared" si="435"/>
        <v>0</v>
      </c>
      <c r="AC437" s="29">
        <f t="shared" si="436"/>
        <v>0</v>
      </c>
      <c r="AD437" s="29">
        <f t="shared" si="437"/>
        <v>0</v>
      </c>
      <c r="AE437" s="29">
        <f t="shared" si="438"/>
        <v>0</v>
      </c>
      <c r="AF437" s="29">
        <f t="shared" si="439"/>
        <v>0</v>
      </c>
      <c r="AG437" s="29">
        <f t="shared" si="440"/>
        <v>0</v>
      </c>
      <c r="AH437" s="29">
        <f t="shared" si="441"/>
        <v>0</v>
      </c>
      <c r="AI437" s="48" t="s">
        <v>60</v>
      </c>
      <c r="AJ437" s="55">
        <f t="shared" si="442"/>
        <v>0</v>
      </c>
      <c r="AK437" s="55">
        <f t="shared" si="443"/>
        <v>0</v>
      </c>
      <c r="AL437" s="55">
        <f t="shared" si="444"/>
        <v>0</v>
      </c>
      <c r="AN437" s="29">
        <v>15</v>
      </c>
      <c r="AO437" s="29">
        <f t="shared" si="445"/>
        <v>0</v>
      </c>
      <c r="AP437" s="29">
        <f t="shared" si="446"/>
        <v>0</v>
      </c>
      <c r="AQ437" s="51" t="s">
        <v>85</v>
      </c>
      <c r="AV437" s="29">
        <f t="shared" si="447"/>
        <v>0</v>
      </c>
      <c r="AW437" s="29">
        <f t="shared" si="448"/>
        <v>0</v>
      </c>
      <c r="AX437" s="29">
        <f t="shared" si="449"/>
        <v>0</v>
      </c>
      <c r="AY437" s="54" t="s">
        <v>645</v>
      </c>
      <c r="AZ437" s="54" t="s">
        <v>1538</v>
      </c>
      <c r="BA437" s="48" t="s">
        <v>1542</v>
      </c>
      <c r="BC437" s="29">
        <f t="shared" si="450"/>
        <v>0</v>
      </c>
      <c r="BD437" s="29">
        <f t="shared" si="451"/>
        <v>0</v>
      </c>
      <c r="BE437" s="29">
        <v>0</v>
      </c>
      <c r="BF437" s="29">
        <f t="shared" si="452"/>
        <v>0</v>
      </c>
      <c r="BH437" s="55">
        <f t="shared" si="453"/>
        <v>0</v>
      </c>
      <c r="BI437" s="55">
        <f t="shared" si="454"/>
        <v>0</v>
      </c>
      <c r="BJ437" s="55">
        <f t="shared" si="455"/>
        <v>0</v>
      </c>
    </row>
    <row r="438" spans="1:62" ht="12.75">
      <c r="A438" s="36" t="s">
        <v>887</v>
      </c>
      <c r="B438" s="36" t="s">
        <v>60</v>
      </c>
      <c r="C438" s="36" t="s">
        <v>1073</v>
      </c>
      <c r="D438" s="36" t="s">
        <v>1388</v>
      </c>
      <c r="E438" s="36" t="s">
        <v>606</v>
      </c>
      <c r="F438" s="55">
        <f>'Stavební rozpočet'!F440</f>
        <v>0</v>
      </c>
      <c r="G438" s="55">
        <f>'Stavební rozpočet'!G440</f>
        <v>0</v>
      </c>
      <c r="H438" s="55">
        <f t="shared" si="430"/>
        <v>0</v>
      </c>
      <c r="I438" s="55">
        <f t="shared" si="431"/>
        <v>0</v>
      </c>
      <c r="J438" s="55">
        <f t="shared" si="432"/>
        <v>0</v>
      </c>
      <c r="K438" s="55">
        <f>'Stavební rozpočet'!K440</f>
        <v>0</v>
      </c>
      <c r="L438" s="55">
        <f t="shared" si="433"/>
        <v>0</v>
      </c>
      <c r="M438" s="51" t="s">
        <v>622</v>
      </c>
      <c r="Z438" s="29">
        <f t="shared" si="434"/>
        <v>0</v>
      </c>
      <c r="AB438" s="29">
        <f t="shared" si="435"/>
        <v>0</v>
      </c>
      <c r="AC438" s="29">
        <f t="shared" si="436"/>
        <v>0</v>
      </c>
      <c r="AD438" s="29">
        <f t="shared" si="437"/>
        <v>0</v>
      </c>
      <c r="AE438" s="29">
        <f t="shared" si="438"/>
        <v>0</v>
      </c>
      <c r="AF438" s="29">
        <f t="shared" si="439"/>
        <v>0</v>
      </c>
      <c r="AG438" s="29">
        <f t="shared" si="440"/>
        <v>0</v>
      </c>
      <c r="AH438" s="29">
        <f t="shared" si="441"/>
        <v>0</v>
      </c>
      <c r="AI438" s="48" t="s">
        <v>60</v>
      </c>
      <c r="AJ438" s="55">
        <f t="shared" si="442"/>
        <v>0</v>
      </c>
      <c r="AK438" s="55">
        <f t="shared" si="443"/>
        <v>0</v>
      </c>
      <c r="AL438" s="55">
        <f t="shared" si="444"/>
        <v>0</v>
      </c>
      <c r="AN438" s="29">
        <v>15</v>
      </c>
      <c r="AO438" s="29">
        <f t="shared" si="445"/>
        <v>0</v>
      </c>
      <c r="AP438" s="29">
        <f t="shared" si="446"/>
        <v>0</v>
      </c>
      <c r="AQ438" s="51" t="s">
        <v>85</v>
      </c>
      <c r="AV438" s="29">
        <f t="shared" si="447"/>
        <v>0</v>
      </c>
      <c r="AW438" s="29">
        <f t="shared" si="448"/>
        <v>0</v>
      </c>
      <c r="AX438" s="29">
        <f t="shared" si="449"/>
        <v>0</v>
      </c>
      <c r="AY438" s="54" t="s">
        <v>645</v>
      </c>
      <c r="AZ438" s="54" t="s">
        <v>1538</v>
      </c>
      <c r="BA438" s="48" t="s">
        <v>1542</v>
      </c>
      <c r="BC438" s="29">
        <f t="shared" si="450"/>
        <v>0</v>
      </c>
      <c r="BD438" s="29">
        <f t="shared" si="451"/>
        <v>0</v>
      </c>
      <c r="BE438" s="29">
        <v>0</v>
      </c>
      <c r="BF438" s="29">
        <f t="shared" si="452"/>
        <v>0</v>
      </c>
      <c r="BH438" s="55">
        <f t="shared" si="453"/>
        <v>0</v>
      </c>
      <c r="BI438" s="55">
        <f t="shared" si="454"/>
        <v>0</v>
      </c>
      <c r="BJ438" s="55">
        <f t="shared" si="455"/>
        <v>0</v>
      </c>
    </row>
    <row r="439" spans="1:62" ht="12.75">
      <c r="A439" s="36" t="s">
        <v>888</v>
      </c>
      <c r="B439" s="36" t="s">
        <v>60</v>
      </c>
      <c r="C439" s="36" t="s">
        <v>1074</v>
      </c>
      <c r="D439" s="36" t="s">
        <v>1389</v>
      </c>
      <c r="E439" s="36" t="s">
        <v>606</v>
      </c>
      <c r="F439" s="55">
        <f>'Stavební rozpočet'!F441</f>
        <v>0</v>
      </c>
      <c r="G439" s="55">
        <f>'Stavební rozpočet'!G441</f>
        <v>0</v>
      </c>
      <c r="H439" s="55">
        <f t="shared" si="430"/>
        <v>0</v>
      </c>
      <c r="I439" s="55">
        <f t="shared" si="431"/>
        <v>0</v>
      </c>
      <c r="J439" s="55">
        <f t="shared" si="432"/>
        <v>0</v>
      </c>
      <c r="K439" s="55">
        <f>'Stavební rozpočet'!K441</f>
        <v>0</v>
      </c>
      <c r="L439" s="55">
        <f t="shared" si="433"/>
        <v>0</v>
      </c>
      <c r="M439" s="51" t="s">
        <v>622</v>
      </c>
      <c r="Z439" s="29">
        <f t="shared" si="434"/>
        <v>0</v>
      </c>
      <c r="AB439" s="29">
        <f t="shared" si="435"/>
        <v>0</v>
      </c>
      <c r="AC439" s="29">
        <f t="shared" si="436"/>
        <v>0</v>
      </c>
      <c r="AD439" s="29">
        <f t="shared" si="437"/>
        <v>0</v>
      </c>
      <c r="AE439" s="29">
        <f t="shared" si="438"/>
        <v>0</v>
      </c>
      <c r="AF439" s="29">
        <f t="shared" si="439"/>
        <v>0</v>
      </c>
      <c r="AG439" s="29">
        <f t="shared" si="440"/>
        <v>0</v>
      </c>
      <c r="AH439" s="29">
        <f t="shared" si="441"/>
        <v>0</v>
      </c>
      <c r="AI439" s="48" t="s">
        <v>60</v>
      </c>
      <c r="AJ439" s="55">
        <f t="shared" si="442"/>
        <v>0</v>
      </c>
      <c r="AK439" s="55">
        <f t="shared" si="443"/>
        <v>0</v>
      </c>
      <c r="AL439" s="55">
        <f t="shared" si="444"/>
        <v>0</v>
      </c>
      <c r="AN439" s="29">
        <v>15</v>
      </c>
      <c r="AO439" s="29">
        <f t="shared" si="445"/>
        <v>0</v>
      </c>
      <c r="AP439" s="29">
        <f t="shared" si="446"/>
        <v>0</v>
      </c>
      <c r="AQ439" s="51" t="s">
        <v>85</v>
      </c>
      <c r="AV439" s="29">
        <f t="shared" si="447"/>
        <v>0</v>
      </c>
      <c r="AW439" s="29">
        <f t="shared" si="448"/>
        <v>0</v>
      </c>
      <c r="AX439" s="29">
        <f t="shared" si="449"/>
        <v>0</v>
      </c>
      <c r="AY439" s="54" t="s">
        <v>645</v>
      </c>
      <c r="AZ439" s="54" t="s">
        <v>1538</v>
      </c>
      <c r="BA439" s="48" t="s">
        <v>1542</v>
      </c>
      <c r="BC439" s="29">
        <f t="shared" si="450"/>
        <v>0</v>
      </c>
      <c r="BD439" s="29">
        <f t="shared" si="451"/>
        <v>0</v>
      </c>
      <c r="BE439" s="29">
        <v>0</v>
      </c>
      <c r="BF439" s="29">
        <f t="shared" si="452"/>
        <v>0</v>
      </c>
      <c r="BH439" s="55">
        <f t="shared" si="453"/>
        <v>0</v>
      </c>
      <c r="BI439" s="55">
        <f t="shared" si="454"/>
        <v>0</v>
      </c>
      <c r="BJ439" s="55">
        <f t="shared" si="455"/>
        <v>0</v>
      </c>
    </row>
    <row r="440" spans="1:62" ht="12.75">
      <c r="A440" s="36" t="s">
        <v>889</v>
      </c>
      <c r="B440" s="36" t="s">
        <v>60</v>
      </c>
      <c r="C440" s="36" t="s">
        <v>1075</v>
      </c>
      <c r="D440" s="36" t="s">
        <v>1390</v>
      </c>
      <c r="E440" s="36" t="s">
        <v>606</v>
      </c>
      <c r="F440" s="55">
        <f>'Stavební rozpočet'!F442</f>
        <v>0</v>
      </c>
      <c r="G440" s="55">
        <f>'Stavební rozpočet'!G442</f>
        <v>0</v>
      </c>
      <c r="H440" s="55">
        <f t="shared" si="430"/>
        <v>0</v>
      </c>
      <c r="I440" s="55">
        <f t="shared" si="431"/>
        <v>0</v>
      </c>
      <c r="J440" s="55">
        <f t="shared" si="432"/>
        <v>0</v>
      </c>
      <c r="K440" s="55">
        <f>'Stavební rozpočet'!K442</f>
        <v>0</v>
      </c>
      <c r="L440" s="55">
        <f t="shared" si="433"/>
        <v>0</v>
      </c>
      <c r="M440" s="51" t="s">
        <v>622</v>
      </c>
      <c r="Z440" s="29">
        <f t="shared" si="434"/>
        <v>0</v>
      </c>
      <c r="AB440" s="29">
        <f t="shared" si="435"/>
        <v>0</v>
      </c>
      <c r="AC440" s="29">
        <f t="shared" si="436"/>
        <v>0</v>
      </c>
      <c r="AD440" s="29">
        <f t="shared" si="437"/>
        <v>0</v>
      </c>
      <c r="AE440" s="29">
        <f t="shared" si="438"/>
        <v>0</v>
      </c>
      <c r="AF440" s="29">
        <f t="shared" si="439"/>
        <v>0</v>
      </c>
      <c r="AG440" s="29">
        <f t="shared" si="440"/>
        <v>0</v>
      </c>
      <c r="AH440" s="29">
        <f t="shared" si="441"/>
        <v>0</v>
      </c>
      <c r="AI440" s="48" t="s">
        <v>60</v>
      </c>
      <c r="AJ440" s="55">
        <f t="shared" si="442"/>
        <v>0</v>
      </c>
      <c r="AK440" s="55">
        <f t="shared" si="443"/>
        <v>0</v>
      </c>
      <c r="AL440" s="55">
        <f t="shared" si="444"/>
        <v>0</v>
      </c>
      <c r="AN440" s="29">
        <v>15</v>
      </c>
      <c r="AO440" s="29">
        <f t="shared" si="445"/>
        <v>0</v>
      </c>
      <c r="AP440" s="29">
        <f t="shared" si="446"/>
        <v>0</v>
      </c>
      <c r="AQ440" s="51" t="s">
        <v>85</v>
      </c>
      <c r="AV440" s="29">
        <f t="shared" si="447"/>
        <v>0</v>
      </c>
      <c r="AW440" s="29">
        <f t="shared" si="448"/>
        <v>0</v>
      </c>
      <c r="AX440" s="29">
        <f t="shared" si="449"/>
        <v>0</v>
      </c>
      <c r="AY440" s="54" t="s">
        <v>645</v>
      </c>
      <c r="AZ440" s="54" t="s">
        <v>1538</v>
      </c>
      <c r="BA440" s="48" t="s">
        <v>1542</v>
      </c>
      <c r="BC440" s="29">
        <f t="shared" si="450"/>
        <v>0</v>
      </c>
      <c r="BD440" s="29">
        <f t="shared" si="451"/>
        <v>0</v>
      </c>
      <c r="BE440" s="29">
        <v>0</v>
      </c>
      <c r="BF440" s="29">
        <f t="shared" si="452"/>
        <v>0</v>
      </c>
      <c r="BH440" s="55">
        <f t="shared" si="453"/>
        <v>0</v>
      </c>
      <c r="BI440" s="55">
        <f t="shared" si="454"/>
        <v>0</v>
      </c>
      <c r="BJ440" s="55">
        <f t="shared" si="455"/>
        <v>0</v>
      </c>
    </row>
    <row r="441" spans="1:62" ht="12.75">
      <c r="A441" s="36" t="s">
        <v>890</v>
      </c>
      <c r="B441" s="36" t="s">
        <v>60</v>
      </c>
      <c r="C441" s="36" t="s">
        <v>1076</v>
      </c>
      <c r="D441" s="36" t="s">
        <v>1391</v>
      </c>
      <c r="E441" s="36" t="s">
        <v>606</v>
      </c>
      <c r="F441" s="55">
        <f>'Stavební rozpočet'!F443</f>
        <v>1</v>
      </c>
      <c r="G441" s="55">
        <f>'Stavební rozpočet'!G443</f>
        <v>0</v>
      </c>
      <c r="H441" s="55">
        <f t="shared" si="430"/>
        <v>0</v>
      </c>
      <c r="I441" s="55">
        <f t="shared" si="431"/>
        <v>0</v>
      </c>
      <c r="J441" s="55">
        <f t="shared" si="432"/>
        <v>0</v>
      </c>
      <c r="K441" s="55">
        <f>'Stavební rozpočet'!K443</f>
        <v>0</v>
      </c>
      <c r="L441" s="55">
        <f t="shared" si="433"/>
        <v>0</v>
      </c>
      <c r="M441" s="51" t="s">
        <v>622</v>
      </c>
      <c r="Z441" s="29">
        <f t="shared" si="434"/>
        <v>0</v>
      </c>
      <c r="AB441" s="29">
        <f t="shared" si="435"/>
        <v>0</v>
      </c>
      <c r="AC441" s="29">
        <f t="shared" si="436"/>
        <v>0</v>
      </c>
      <c r="AD441" s="29">
        <f t="shared" si="437"/>
        <v>0</v>
      </c>
      <c r="AE441" s="29">
        <f t="shared" si="438"/>
        <v>0</v>
      </c>
      <c r="AF441" s="29">
        <f t="shared" si="439"/>
        <v>0</v>
      </c>
      <c r="AG441" s="29">
        <f t="shared" si="440"/>
        <v>0</v>
      </c>
      <c r="AH441" s="29">
        <f t="shared" si="441"/>
        <v>0</v>
      </c>
      <c r="AI441" s="48" t="s">
        <v>60</v>
      </c>
      <c r="AJ441" s="55">
        <f t="shared" si="442"/>
        <v>0</v>
      </c>
      <c r="AK441" s="55">
        <f t="shared" si="443"/>
        <v>0</v>
      </c>
      <c r="AL441" s="55">
        <f t="shared" si="444"/>
        <v>0</v>
      </c>
      <c r="AN441" s="29">
        <v>15</v>
      </c>
      <c r="AO441" s="29">
        <f t="shared" si="445"/>
        <v>0</v>
      </c>
      <c r="AP441" s="29">
        <f t="shared" si="446"/>
        <v>0</v>
      </c>
      <c r="AQ441" s="51" t="s">
        <v>85</v>
      </c>
      <c r="AV441" s="29">
        <f t="shared" si="447"/>
        <v>0</v>
      </c>
      <c r="AW441" s="29">
        <f t="shared" si="448"/>
        <v>0</v>
      </c>
      <c r="AX441" s="29">
        <f t="shared" si="449"/>
        <v>0</v>
      </c>
      <c r="AY441" s="54" t="s">
        <v>645</v>
      </c>
      <c r="AZ441" s="54" t="s">
        <v>1538</v>
      </c>
      <c r="BA441" s="48" t="s">
        <v>1542</v>
      </c>
      <c r="BC441" s="29">
        <f t="shared" si="450"/>
        <v>0</v>
      </c>
      <c r="BD441" s="29">
        <f t="shared" si="451"/>
        <v>0</v>
      </c>
      <c r="BE441" s="29">
        <v>0</v>
      </c>
      <c r="BF441" s="29">
        <f t="shared" si="452"/>
        <v>0</v>
      </c>
      <c r="BH441" s="55">
        <f t="shared" si="453"/>
        <v>0</v>
      </c>
      <c r="BI441" s="55">
        <f t="shared" si="454"/>
        <v>0</v>
      </c>
      <c r="BJ441" s="55">
        <f t="shared" si="455"/>
        <v>0</v>
      </c>
    </row>
    <row r="442" spans="1:62" ht="12.75">
      <c r="A442" s="36" t="s">
        <v>891</v>
      </c>
      <c r="B442" s="36" t="s">
        <v>60</v>
      </c>
      <c r="C442" s="36" t="s">
        <v>1077</v>
      </c>
      <c r="D442" s="36" t="s">
        <v>517</v>
      </c>
      <c r="E442" s="36" t="s">
        <v>606</v>
      </c>
      <c r="F442" s="55">
        <f>'Stavební rozpočet'!F444</f>
        <v>2</v>
      </c>
      <c r="G442" s="55">
        <f>'Stavební rozpočet'!G444</f>
        <v>0</v>
      </c>
      <c r="H442" s="55">
        <f t="shared" si="430"/>
        <v>0</v>
      </c>
      <c r="I442" s="55">
        <f t="shared" si="431"/>
        <v>0</v>
      </c>
      <c r="J442" s="55">
        <f t="shared" si="432"/>
        <v>0</v>
      </c>
      <c r="K442" s="55">
        <f>'Stavební rozpočet'!K444</f>
        <v>0</v>
      </c>
      <c r="L442" s="55">
        <f t="shared" si="433"/>
        <v>0</v>
      </c>
      <c r="M442" s="51" t="s">
        <v>622</v>
      </c>
      <c r="Z442" s="29">
        <f t="shared" si="434"/>
        <v>0</v>
      </c>
      <c r="AB442" s="29">
        <f t="shared" si="435"/>
        <v>0</v>
      </c>
      <c r="AC442" s="29">
        <f t="shared" si="436"/>
        <v>0</v>
      </c>
      <c r="AD442" s="29">
        <f t="shared" si="437"/>
        <v>0</v>
      </c>
      <c r="AE442" s="29">
        <f t="shared" si="438"/>
        <v>0</v>
      </c>
      <c r="AF442" s="29">
        <f t="shared" si="439"/>
        <v>0</v>
      </c>
      <c r="AG442" s="29">
        <f t="shared" si="440"/>
        <v>0</v>
      </c>
      <c r="AH442" s="29">
        <f t="shared" si="441"/>
        <v>0</v>
      </c>
      <c r="AI442" s="48" t="s">
        <v>60</v>
      </c>
      <c r="AJ442" s="55">
        <f t="shared" si="442"/>
        <v>0</v>
      </c>
      <c r="AK442" s="55">
        <f t="shared" si="443"/>
        <v>0</v>
      </c>
      <c r="AL442" s="55">
        <f t="shared" si="444"/>
        <v>0</v>
      </c>
      <c r="AN442" s="29">
        <v>15</v>
      </c>
      <c r="AO442" s="29">
        <f t="shared" si="445"/>
        <v>0</v>
      </c>
      <c r="AP442" s="29">
        <f t="shared" si="446"/>
        <v>0</v>
      </c>
      <c r="AQ442" s="51" t="s">
        <v>85</v>
      </c>
      <c r="AV442" s="29">
        <f t="shared" si="447"/>
        <v>0</v>
      </c>
      <c r="AW442" s="29">
        <f t="shared" si="448"/>
        <v>0</v>
      </c>
      <c r="AX442" s="29">
        <f t="shared" si="449"/>
        <v>0</v>
      </c>
      <c r="AY442" s="54" t="s">
        <v>645</v>
      </c>
      <c r="AZ442" s="54" t="s">
        <v>1538</v>
      </c>
      <c r="BA442" s="48" t="s">
        <v>1542</v>
      </c>
      <c r="BC442" s="29">
        <f t="shared" si="450"/>
        <v>0</v>
      </c>
      <c r="BD442" s="29">
        <f t="shared" si="451"/>
        <v>0</v>
      </c>
      <c r="BE442" s="29">
        <v>0</v>
      </c>
      <c r="BF442" s="29">
        <f t="shared" si="452"/>
        <v>0</v>
      </c>
      <c r="BH442" s="55">
        <f t="shared" si="453"/>
        <v>0</v>
      </c>
      <c r="BI442" s="55">
        <f t="shared" si="454"/>
        <v>0</v>
      </c>
      <c r="BJ442" s="55">
        <f t="shared" si="455"/>
        <v>0</v>
      </c>
    </row>
    <row r="443" spans="1:62" ht="12.75">
      <c r="A443" s="36" t="s">
        <v>892</v>
      </c>
      <c r="B443" s="36" t="s">
        <v>60</v>
      </c>
      <c r="C443" s="36" t="s">
        <v>1078</v>
      </c>
      <c r="D443" s="36" t="s">
        <v>1392</v>
      </c>
      <c r="E443" s="36" t="s">
        <v>606</v>
      </c>
      <c r="F443" s="55">
        <f>'Stavební rozpočet'!F445</f>
        <v>2</v>
      </c>
      <c r="G443" s="55">
        <f>'Stavební rozpočet'!G445</f>
        <v>0</v>
      </c>
      <c r="H443" s="55">
        <f t="shared" si="430"/>
        <v>0</v>
      </c>
      <c r="I443" s="55">
        <f t="shared" si="431"/>
        <v>0</v>
      </c>
      <c r="J443" s="55">
        <f t="shared" si="432"/>
        <v>0</v>
      </c>
      <c r="K443" s="55">
        <f>'Stavební rozpočet'!K445</f>
        <v>0</v>
      </c>
      <c r="L443" s="55">
        <f t="shared" si="433"/>
        <v>0</v>
      </c>
      <c r="M443" s="51" t="s">
        <v>622</v>
      </c>
      <c r="Z443" s="29">
        <f t="shared" si="434"/>
        <v>0</v>
      </c>
      <c r="AB443" s="29">
        <f t="shared" si="435"/>
        <v>0</v>
      </c>
      <c r="AC443" s="29">
        <f t="shared" si="436"/>
        <v>0</v>
      </c>
      <c r="AD443" s="29">
        <f t="shared" si="437"/>
        <v>0</v>
      </c>
      <c r="AE443" s="29">
        <f t="shared" si="438"/>
        <v>0</v>
      </c>
      <c r="AF443" s="29">
        <f t="shared" si="439"/>
        <v>0</v>
      </c>
      <c r="AG443" s="29">
        <f t="shared" si="440"/>
        <v>0</v>
      </c>
      <c r="AH443" s="29">
        <f t="shared" si="441"/>
        <v>0</v>
      </c>
      <c r="AI443" s="48" t="s">
        <v>60</v>
      </c>
      <c r="AJ443" s="55">
        <f t="shared" si="442"/>
        <v>0</v>
      </c>
      <c r="AK443" s="55">
        <f t="shared" si="443"/>
        <v>0</v>
      </c>
      <c r="AL443" s="55">
        <f t="shared" si="444"/>
        <v>0</v>
      </c>
      <c r="AN443" s="29">
        <v>15</v>
      </c>
      <c r="AO443" s="29">
        <f t="shared" si="445"/>
        <v>0</v>
      </c>
      <c r="AP443" s="29">
        <f t="shared" si="446"/>
        <v>0</v>
      </c>
      <c r="AQ443" s="51" t="s">
        <v>85</v>
      </c>
      <c r="AV443" s="29">
        <f t="shared" si="447"/>
        <v>0</v>
      </c>
      <c r="AW443" s="29">
        <f t="shared" si="448"/>
        <v>0</v>
      </c>
      <c r="AX443" s="29">
        <f t="shared" si="449"/>
        <v>0</v>
      </c>
      <c r="AY443" s="54" t="s">
        <v>645</v>
      </c>
      <c r="AZ443" s="54" t="s">
        <v>1538</v>
      </c>
      <c r="BA443" s="48" t="s">
        <v>1542</v>
      </c>
      <c r="BC443" s="29">
        <f t="shared" si="450"/>
        <v>0</v>
      </c>
      <c r="BD443" s="29">
        <f t="shared" si="451"/>
        <v>0</v>
      </c>
      <c r="BE443" s="29">
        <v>0</v>
      </c>
      <c r="BF443" s="29">
        <f t="shared" si="452"/>
        <v>0</v>
      </c>
      <c r="BH443" s="55">
        <f t="shared" si="453"/>
        <v>0</v>
      </c>
      <c r="BI443" s="55">
        <f t="shared" si="454"/>
        <v>0</v>
      </c>
      <c r="BJ443" s="55">
        <f t="shared" si="455"/>
        <v>0</v>
      </c>
    </row>
    <row r="444" spans="1:62" ht="12.75">
      <c r="A444" s="36" t="s">
        <v>893</v>
      </c>
      <c r="B444" s="36" t="s">
        <v>60</v>
      </c>
      <c r="C444" s="36" t="s">
        <v>1079</v>
      </c>
      <c r="D444" s="36" t="s">
        <v>1393</v>
      </c>
      <c r="E444" s="36" t="s">
        <v>606</v>
      </c>
      <c r="F444" s="55">
        <f>'Stavební rozpočet'!F446</f>
        <v>0</v>
      </c>
      <c r="G444" s="55">
        <f>'Stavební rozpočet'!G446</f>
        <v>0</v>
      </c>
      <c r="H444" s="55">
        <f t="shared" si="430"/>
        <v>0</v>
      </c>
      <c r="I444" s="55">
        <f t="shared" si="431"/>
        <v>0</v>
      </c>
      <c r="J444" s="55">
        <f t="shared" si="432"/>
        <v>0</v>
      </c>
      <c r="K444" s="55">
        <f>'Stavební rozpočet'!K446</f>
        <v>0</v>
      </c>
      <c r="L444" s="55">
        <f t="shared" si="433"/>
        <v>0</v>
      </c>
      <c r="M444" s="51" t="s">
        <v>622</v>
      </c>
      <c r="Z444" s="29">
        <f t="shared" si="434"/>
        <v>0</v>
      </c>
      <c r="AB444" s="29">
        <f t="shared" si="435"/>
        <v>0</v>
      </c>
      <c r="AC444" s="29">
        <f t="shared" si="436"/>
        <v>0</v>
      </c>
      <c r="AD444" s="29">
        <f t="shared" si="437"/>
        <v>0</v>
      </c>
      <c r="AE444" s="29">
        <f t="shared" si="438"/>
        <v>0</v>
      </c>
      <c r="AF444" s="29">
        <f t="shared" si="439"/>
        <v>0</v>
      </c>
      <c r="AG444" s="29">
        <f t="shared" si="440"/>
        <v>0</v>
      </c>
      <c r="AH444" s="29">
        <f t="shared" si="441"/>
        <v>0</v>
      </c>
      <c r="AI444" s="48" t="s">
        <v>60</v>
      </c>
      <c r="AJ444" s="55">
        <f t="shared" si="442"/>
        <v>0</v>
      </c>
      <c r="AK444" s="55">
        <f t="shared" si="443"/>
        <v>0</v>
      </c>
      <c r="AL444" s="55">
        <f t="shared" si="444"/>
        <v>0</v>
      </c>
      <c r="AN444" s="29">
        <v>15</v>
      </c>
      <c r="AO444" s="29">
        <f t="shared" si="445"/>
        <v>0</v>
      </c>
      <c r="AP444" s="29">
        <f t="shared" si="446"/>
        <v>0</v>
      </c>
      <c r="AQ444" s="51" t="s">
        <v>85</v>
      </c>
      <c r="AV444" s="29">
        <f t="shared" si="447"/>
        <v>0</v>
      </c>
      <c r="AW444" s="29">
        <f t="shared" si="448"/>
        <v>0</v>
      </c>
      <c r="AX444" s="29">
        <f t="shared" si="449"/>
        <v>0</v>
      </c>
      <c r="AY444" s="54" t="s">
        <v>645</v>
      </c>
      <c r="AZ444" s="54" t="s">
        <v>1538</v>
      </c>
      <c r="BA444" s="48" t="s">
        <v>1542</v>
      </c>
      <c r="BC444" s="29">
        <f t="shared" si="450"/>
        <v>0</v>
      </c>
      <c r="BD444" s="29">
        <f t="shared" si="451"/>
        <v>0</v>
      </c>
      <c r="BE444" s="29">
        <v>0</v>
      </c>
      <c r="BF444" s="29">
        <f t="shared" si="452"/>
        <v>0</v>
      </c>
      <c r="BH444" s="55">
        <f t="shared" si="453"/>
        <v>0</v>
      </c>
      <c r="BI444" s="55">
        <f t="shared" si="454"/>
        <v>0</v>
      </c>
      <c r="BJ444" s="55">
        <f t="shared" si="455"/>
        <v>0</v>
      </c>
    </row>
    <row r="445" spans="1:62" ht="12.75">
      <c r="A445" s="36" t="s">
        <v>894</v>
      </c>
      <c r="B445" s="36" t="s">
        <v>60</v>
      </c>
      <c r="C445" s="36" t="s">
        <v>1080</v>
      </c>
      <c r="D445" s="36" t="s">
        <v>1394</v>
      </c>
      <c r="E445" s="36" t="s">
        <v>606</v>
      </c>
      <c r="F445" s="55">
        <f>'Stavební rozpočet'!F447</f>
        <v>0</v>
      </c>
      <c r="G445" s="55">
        <f>'Stavební rozpočet'!G447</f>
        <v>0</v>
      </c>
      <c r="H445" s="55">
        <f t="shared" si="430"/>
        <v>0</v>
      </c>
      <c r="I445" s="55">
        <f t="shared" si="431"/>
        <v>0</v>
      </c>
      <c r="J445" s="55">
        <f t="shared" si="432"/>
        <v>0</v>
      </c>
      <c r="K445" s="55">
        <f>'Stavební rozpočet'!K447</f>
        <v>0</v>
      </c>
      <c r="L445" s="55">
        <f t="shared" si="433"/>
        <v>0</v>
      </c>
      <c r="M445" s="51" t="s">
        <v>622</v>
      </c>
      <c r="Z445" s="29">
        <f t="shared" si="434"/>
        <v>0</v>
      </c>
      <c r="AB445" s="29">
        <f t="shared" si="435"/>
        <v>0</v>
      </c>
      <c r="AC445" s="29">
        <f t="shared" si="436"/>
        <v>0</v>
      </c>
      <c r="AD445" s="29">
        <f t="shared" si="437"/>
        <v>0</v>
      </c>
      <c r="AE445" s="29">
        <f t="shared" si="438"/>
        <v>0</v>
      </c>
      <c r="AF445" s="29">
        <f t="shared" si="439"/>
        <v>0</v>
      </c>
      <c r="AG445" s="29">
        <f t="shared" si="440"/>
        <v>0</v>
      </c>
      <c r="AH445" s="29">
        <f t="shared" si="441"/>
        <v>0</v>
      </c>
      <c r="AI445" s="48" t="s">
        <v>60</v>
      </c>
      <c r="AJ445" s="55">
        <f t="shared" si="442"/>
        <v>0</v>
      </c>
      <c r="AK445" s="55">
        <f t="shared" si="443"/>
        <v>0</v>
      </c>
      <c r="AL445" s="55">
        <f t="shared" si="444"/>
        <v>0</v>
      </c>
      <c r="AN445" s="29">
        <v>15</v>
      </c>
      <c r="AO445" s="29">
        <f t="shared" si="445"/>
        <v>0</v>
      </c>
      <c r="AP445" s="29">
        <f t="shared" si="446"/>
        <v>0</v>
      </c>
      <c r="AQ445" s="51" t="s">
        <v>85</v>
      </c>
      <c r="AV445" s="29">
        <f t="shared" si="447"/>
        <v>0</v>
      </c>
      <c r="AW445" s="29">
        <f t="shared" si="448"/>
        <v>0</v>
      </c>
      <c r="AX445" s="29">
        <f t="shared" si="449"/>
        <v>0</v>
      </c>
      <c r="AY445" s="54" t="s">
        <v>645</v>
      </c>
      <c r="AZ445" s="54" t="s">
        <v>1538</v>
      </c>
      <c r="BA445" s="48" t="s">
        <v>1542</v>
      </c>
      <c r="BC445" s="29">
        <f t="shared" si="450"/>
        <v>0</v>
      </c>
      <c r="BD445" s="29">
        <f t="shared" si="451"/>
        <v>0</v>
      </c>
      <c r="BE445" s="29">
        <v>0</v>
      </c>
      <c r="BF445" s="29">
        <f t="shared" si="452"/>
        <v>0</v>
      </c>
      <c r="BH445" s="55">
        <f t="shared" si="453"/>
        <v>0</v>
      </c>
      <c r="BI445" s="55">
        <f t="shared" si="454"/>
        <v>0</v>
      </c>
      <c r="BJ445" s="55">
        <f t="shared" si="455"/>
        <v>0</v>
      </c>
    </row>
    <row r="446" spans="1:62" ht="12.75">
      <c r="A446" s="36" t="s">
        <v>895</v>
      </c>
      <c r="B446" s="36" t="s">
        <v>60</v>
      </c>
      <c r="C446" s="36" t="s">
        <v>1081</v>
      </c>
      <c r="D446" s="36" t="s">
        <v>518</v>
      </c>
      <c r="E446" s="36" t="s">
        <v>606</v>
      </c>
      <c r="F446" s="55">
        <f>'Stavební rozpočet'!F448</f>
        <v>11</v>
      </c>
      <c r="G446" s="55">
        <f>'Stavební rozpočet'!G448</f>
        <v>0</v>
      </c>
      <c r="H446" s="55">
        <f t="shared" si="430"/>
        <v>0</v>
      </c>
      <c r="I446" s="55">
        <f t="shared" si="431"/>
        <v>0</v>
      </c>
      <c r="J446" s="55">
        <f t="shared" si="432"/>
        <v>0</v>
      </c>
      <c r="K446" s="55">
        <f>'Stavební rozpočet'!K448</f>
        <v>0</v>
      </c>
      <c r="L446" s="55">
        <f t="shared" si="433"/>
        <v>0</v>
      </c>
      <c r="M446" s="51" t="s">
        <v>622</v>
      </c>
      <c r="Z446" s="29">
        <f t="shared" si="434"/>
        <v>0</v>
      </c>
      <c r="AB446" s="29">
        <f t="shared" si="435"/>
        <v>0</v>
      </c>
      <c r="AC446" s="29">
        <f t="shared" si="436"/>
        <v>0</v>
      </c>
      <c r="AD446" s="29">
        <f t="shared" si="437"/>
        <v>0</v>
      </c>
      <c r="AE446" s="29">
        <f t="shared" si="438"/>
        <v>0</v>
      </c>
      <c r="AF446" s="29">
        <f t="shared" si="439"/>
        <v>0</v>
      </c>
      <c r="AG446" s="29">
        <f t="shared" si="440"/>
        <v>0</v>
      </c>
      <c r="AH446" s="29">
        <f t="shared" si="441"/>
        <v>0</v>
      </c>
      <c r="AI446" s="48" t="s">
        <v>60</v>
      </c>
      <c r="AJ446" s="55">
        <f t="shared" si="442"/>
        <v>0</v>
      </c>
      <c r="AK446" s="55">
        <f t="shared" si="443"/>
        <v>0</v>
      </c>
      <c r="AL446" s="55">
        <f t="shared" si="444"/>
        <v>0</v>
      </c>
      <c r="AN446" s="29">
        <v>15</v>
      </c>
      <c r="AO446" s="29">
        <f t="shared" si="445"/>
        <v>0</v>
      </c>
      <c r="AP446" s="29">
        <f t="shared" si="446"/>
        <v>0</v>
      </c>
      <c r="AQ446" s="51" t="s">
        <v>85</v>
      </c>
      <c r="AV446" s="29">
        <f t="shared" si="447"/>
        <v>0</v>
      </c>
      <c r="AW446" s="29">
        <f t="shared" si="448"/>
        <v>0</v>
      </c>
      <c r="AX446" s="29">
        <f t="shared" si="449"/>
        <v>0</v>
      </c>
      <c r="AY446" s="54" t="s">
        <v>645</v>
      </c>
      <c r="AZ446" s="54" t="s">
        <v>1538</v>
      </c>
      <c r="BA446" s="48" t="s">
        <v>1542</v>
      </c>
      <c r="BC446" s="29">
        <f t="shared" si="450"/>
        <v>0</v>
      </c>
      <c r="BD446" s="29">
        <f t="shared" si="451"/>
        <v>0</v>
      </c>
      <c r="BE446" s="29">
        <v>0</v>
      </c>
      <c r="BF446" s="29">
        <f t="shared" si="452"/>
        <v>0</v>
      </c>
      <c r="BH446" s="55">
        <f t="shared" si="453"/>
        <v>0</v>
      </c>
      <c r="BI446" s="55">
        <f t="shared" si="454"/>
        <v>0</v>
      </c>
      <c r="BJ446" s="55">
        <f t="shared" si="455"/>
        <v>0</v>
      </c>
    </row>
    <row r="447" spans="1:62" ht="12.75">
      <c r="A447" s="36" t="s">
        <v>896</v>
      </c>
      <c r="B447" s="36" t="s">
        <v>60</v>
      </c>
      <c r="C447" s="36" t="s">
        <v>1082</v>
      </c>
      <c r="D447" s="36" t="s">
        <v>1395</v>
      </c>
      <c r="E447" s="36" t="s">
        <v>606</v>
      </c>
      <c r="F447" s="55">
        <f>'Stavební rozpočet'!F449</f>
        <v>11</v>
      </c>
      <c r="G447" s="55">
        <f>'Stavební rozpočet'!G449</f>
        <v>0</v>
      </c>
      <c r="H447" s="55">
        <f t="shared" si="430"/>
        <v>0</v>
      </c>
      <c r="I447" s="55">
        <f t="shared" si="431"/>
        <v>0</v>
      </c>
      <c r="J447" s="55">
        <f t="shared" si="432"/>
        <v>0</v>
      </c>
      <c r="K447" s="55">
        <f>'Stavební rozpočet'!K449</f>
        <v>0</v>
      </c>
      <c r="L447" s="55">
        <f t="shared" si="433"/>
        <v>0</v>
      </c>
      <c r="M447" s="51" t="s">
        <v>622</v>
      </c>
      <c r="Z447" s="29">
        <f t="shared" si="434"/>
        <v>0</v>
      </c>
      <c r="AB447" s="29">
        <f t="shared" si="435"/>
        <v>0</v>
      </c>
      <c r="AC447" s="29">
        <f t="shared" si="436"/>
        <v>0</v>
      </c>
      <c r="AD447" s="29">
        <f t="shared" si="437"/>
        <v>0</v>
      </c>
      <c r="AE447" s="29">
        <f t="shared" si="438"/>
        <v>0</v>
      </c>
      <c r="AF447" s="29">
        <f t="shared" si="439"/>
        <v>0</v>
      </c>
      <c r="AG447" s="29">
        <f t="shared" si="440"/>
        <v>0</v>
      </c>
      <c r="AH447" s="29">
        <f t="shared" si="441"/>
        <v>0</v>
      </c>
      <c r="AI447" s="48" t="s">
        <v>60</v>
      </c>
      <c r="AJ447" s="55">
        <f t="shared" si="442"/>
        <v>0</v>
      </c>
      <c r="AK447" s="55">
        <f t="shared" si="443"/>
        <v>0</v>
      </c>
      <c r="AL447" s="55">
        <f t="shared" si="444"/>
        <v>0</v>
      </c>
      <c r="AN447" s="29">
        <v>15</v>
      </c>
      <c r="AO447" s="29">
        <f t="shared" si="445"/>
        <v>0</v>
      </c>
      <c r="AP447" s="29">
        <f t="shared" si="446"/>
        <v>0</v>
      </c>
      <c r="AQ447" s="51" t="s">
        <v>85</v>
      </c>
      <c r="AV447" s="29">
        <f t="shared" si="447"/>
        <v>0</v>
      </c>
      <c r="AW447" s="29">
        <f t="shared" si="448"/>
        <v>0</v>
      </c>
      <c r="AX447" s="29">
        <f t="shared" si="449"/>
        <v>0</v>
      </c>
      <c r="AY447" s="54" t="s">
        <v>645</v>
      </c>
      <c r="AZ447" s="54" t="s">
        <v>1538</v>
      </c>
      <c r="BA447" s="48" t="s">
        <v>1542</v>
      </c>
      <c r="BC447" s="29">
        <f t="shared" si="450"/>
        <v>0</v>
      </c>
      <c r="BD447" s="29">
        <f t="shared" si="451"/>
        <v>0</v>
      </c>
      <c r="BE447" s="29">
        <v>0</v>
      </c>
      <c r="BF447" s="29">
        <f t="shared" si="452"/>
        <v>0</v>
      </c>
      <c r="BH447" s="55">
        <f t="shared" si="453"/>
        <v>0</v>
      </c>
      <c r="BI447" s="55">
        <f t="shared" si="454"/>
        <v>0</v>
      </c>
      <c r="BJ447" s="55">
        <f t="shared" si="455"/>
        <v>0</v>
      </c>
    </row>
    <row r="448" spans="1:62" ht="12.75">
      <c r="A448" s="36" t="s">
        <v>897</v>
      </c>
      <c r="B448" s="36" t="s">
        <v>60</v>
      </c>
      <c r="C448" s="36" t="s">
        <v>1083</v>
      </c>
      <c r="D448" s="36" t="s">
        <v>1396</v>
      </c>
      <c r="E448" s="36" t="s">
        <v>606</v>
      </c>
      <c r="F448" s="55">
        <f>'Stavební rozpočet'!F450</f>
        <v>0</v>
      </c>
      <c r="G448" s="55">
        <f>'Stavební rozpočet'!G450</f>
        <v>0</v>
      </c>
      <c r="H448" s="55">
        <f aca="true" t="shared" si="456" ref="H448:H479">F448*AO448</f>
        <v>0</v>
      </c>
      <c r="I448" s="55">
        <f aca="true" t="shared" si="457" ref="I448:I479">F448*AP448</f>
        <v>0</v>
      </c>
      <c r="J448" s="55">
        <f aca="true" t="shared" si="458" ref="J448:J479">F448*G448</f>
        <v>0</v>
      </c>
      <c r="K448" s="55">
        <f>'Stavební rozpočet'!K450</f>
        <v>0</v>
      </c>
      <c r="L448" s="55">
        <f aca="true" t="shared" si="459" ref="L448:L479">F448*K448</f>
        <v>0</v>
      </c>
      <c r="M448" s="51" t="s">
        <v>622</v>
      </c>
      <c r="Z448" s="29">
        <f aca="true" t="shared" si="460" ref="Z448:Z479">IF(AQ448="5",BJ448,0)</f>
        <v>0</v>
      </c>
      <c r="AB448" s="29">
        <f aca="true" t="shared" si="461" ref="AB448:AB479">IF(AQ448="1",BH448,0)</f>
        <v>0</v>
      </c>
      <c r="AC448" s="29">
        <f aca="true" t="shared" si="462" ref="AC448:AC479">IF(AQ448="1",BI448,0)</f>
        <v>0</v>
      </c>
      <c r="AD448" s="29">
        <f aca="true" t="shared" si="463" ref="AD448:AD479">IF(AQ448="7",BH448,0)</f>
        <v>0</v>
      </c>
      <c r="AE448" s="29">
        <f aca="true" t="shared" si="464" ref="AE448:AE479">IF(AQ448="7",BI448,0)</f>
        <v>0</v>
      </c>
      <c r="AF448" s="29">
        <f aca="true" t="shared" si="465" ref="AF448:AF479">IF(AQ448="2",BH448,0)</f>
        <v>0</v>
      </c>
      <c r="AG448" s="29">
        <f aca="true" t="shared" si="466" ref="AG448:AG479">IF(AQ448="2",BI448,0)</f>
        <v>0</v>
      </c>
      <c r="AH448" s="29">
        <f aca="true" t="shared" si="467" ref="AH448:AH479">IF(AQ448="0",BJ448,0)</f>
        <v>0</v>
      </c>
      <c r="AI448" s="48" t="s">
        <v>60</v>
      </c>
      <c r="AJ448" s="55">
        <f aca="true" t="shared" si="468" ref="AJ448:AJ479">IF(AN448=0,J448,0)</f>
        <v>0</v>
      </c>
      <c r="AK448" s="55">
        <f aca="true" t="shared" si="469" ref="AK448:AK479">IF(AN448=15,J448,0)</f>
        <v>0</v>
      </c>
      <c r="AL448" s="55">
        <f aca="true" t="shared" si="470" ref="AL448:AL479">IF(AN448=21,J448,0)</f>
        <v>0</v>
      </c>
      <c r="AN448" s="29">
        <v>15</v>
      </c>
      <c r="AO448" s="29">
        <f aca="true" t="shared" si="471" ref="AO448:AO479">G448*0</f>
        <v>0</v>
      </c>
      <c r="AP448" s="29">
        <f aca="true" t="shared" si="472" ref="AP448:AP479">G448*(1-0)</f>
        <v>0</v>
      </c>
      <c r="AQ448" s="51" t="s">
        <v>85</v>
      </c>
      <c r="AV448" s="29">
        <f aca="true" t="shared" si="473" ref="AV448:AV479">AW448+AX448</f>
        <v>0</v>
      </c>
      <c r="AW448" s="29">
        <f aca="true" t="shared" si="474" ref="AW448:AW479">F448*AO448</f>
        <v>0</v>
      </c>
      <c r="AX448" s="29">
        <f aca="true" t="shared" si="475" ref="AX448:AX479">F448*AP448</f>
        <v>0</v>
      </c>
      <c r="AY448" s="54" t="s">
        <v>645</v>
      </c>
      <c r="AZ448" s="54" t="s">
        <v>1538</v>
      </c>
      <c r="BA448" s="48" t="s">
        <v>1542</v>
      </c>
      <c r="BC448" s="29">
        <f aca="true" t="shared" si="476" ref="BC448:BC479">AW448+AX448</f>
        <v>0</v>
      </c>
      <c r="BD448" s="29">
        <f aca="true" t="shared" si="477" ref="BD448:BD479">G448/(100-BE448)*100</f>
        <v>0</v>
      </c>
      <c r="BE448" s="29">
        <v>0</v>
      </c>
      <c r="BF448" s="29">
        <f aca="true" t="shared" si="478" ref="BF448:BF479">L448</f>
        <v>0</v>
      </c>
      <c r="BH448" s="55">
        <f aca="true" t="shared" si="479" ref="BH448:BH479">F448*AO448</f>
        <v>0</v>
      </c>
      <c r="BI448" s="55">
        <f aca="true" t="shared" si="480" ref="BI448:BI479">F448*AP448</f>
        <v>0</v>
      </c>
      <c r="BJ448" s="55">
        <f aca="true" t="shared" si="481" ref="BJ448:BJ479">F448*G448</f>
        <v>0</v>
      </c>
    </row>
    <row r="449" spans="1:62" ht="12.75">
      <c r="A449" s="36" t="s">
        <v>898</v>
      </c>
      <c r="B449" s="36" t="s">
        <v>60</v>
      </c>
      <c r="C449" s="36" t="s">
        <v>1084</v>
      </c>
      <c r="D449" s="36" t="s">
        <v>1397</v>
      </c>
      <c r="E449" s="36" t="s">
        <v>606</v>
      </c>
      <c r="F449" s="55">
        <f>'Stavební rozpočet'!F451</f>
        <v>0</v>
      </c>
      <c r="G449" s="55">
        <f>'Stavební rozpočet'!G451</f>
        <v>0</v>
      </c>
      <c r="H449" s="55">
        <f t="shared" si="456"/>
        <v>0</v>
      </c>
      <c r="I449" s="55">
        <f t="shared" si="457"/>
        <v>0</v>
      </c>
      <c r="J449" s="55">
        <f t="shared" si="458"/>
        <v>0</v>
      </c>
      <c r="K449" s="55">
        <f>'Stavební rozpočet'!K451</f>
        <v>0</v>
      </c>
      <c r="L449" s="55">
        <f t="shared" si="459"/>
        <v>0</v>
      </c>
      <c r="M449" s="51" t="s">
        <v>622</v>
      </c>
      <c r="Z449" s="29">
        <f t="shared" si="460"/>
        <v>0</v>
      </c>
      <c r="AB449" s="29">
        <f t="shared" si="461"/>
        <v>0</v>
      </c>
      <c r="AC449" s="29">
        <f t="shared" si="462"/>
        <v>0</v>
      </c>
      <c r="AD449" s="29">
        <f t="shared" si="463"/>
        <v>0</v>
      </c>
      <c r="AE449" s="29">
        <f t="shared" si="464"/>
        <v>0</v>
      </c>
      <c r="AF449" s="29">
        <f t="shared" si="465"/>
        <v>0</v>
      </c>
      <c r="AG449" s="29">
        <f t="shared" si="466"/>
        <v>0</v>
      </c>
      <c r="AH449" s="29">
        <f t="shared" si="467"/>
        <v>0</v>
      </c>
      <c r="AI449" s="48" t="s">
        <v>60</v>
      </c>
      <c r="AJ449" s="55">
        <f t="shared" si="468"/>
        <v>0</v>
      </c>
      <c r="AK449" s="55">
        <f t="shared" si="469"/>
        <v>0</v>
      </c>
      <c r="AL449" s="55">
        <f t="shared" si="470"/>
        <v>0</v>
      </c>
      <c r="AN449" s="29">
        <v>15</v>
      </c>
      <c r="AO449" s="29">
        <f t="shared" si="471"/>
        <v>0</v>
      </c>
      <c r="AP449" s="29">
        <f t="shared" si="472"/>
        <v>0</v>
      </c>
      <c r="AQ449" s="51" t="s">
        <v>85</v>
      </c>
      <c r="AV449" s="29">
        <f t="shared" si="473"/>
        <v>0</v>
      </c>
      <c r="AW449" s="29">
        <f t="shared" si="474"/>
        <v>0</v>
      </c>
      <c r="AX449" s="29">
        <f t="shared" si="475"/>
        <v>0</v>
      </c>
      <c r="AY449" s="54" t="s">
        <v>645</v>
      </c>
      <c r="AZ449" s="54" t="s">
        <v>1538</v>
      </c>
      <c r="BA449" s="48" t="s">
        <v>1542</v>
      </c>
      <c r="BC449" s="29">
        <f t="shared" si="476"/>
        <v>0</v>
      </c>
      <c r="BD449" s="29">
        <f t="shared" si="477"/>
        <v>0</v>
      </c>
      <c r="BE449" s="29">
        <v>0</v>
      </c>
      <c r="BF449" s="29">
        <f t="shared" si="478"/>
        <v>0</v>
      </c>
      <c r="BH449" s="55">
        <f t="shared" si="479"/>
        <v>0</v>
      </c>
      <c r="BI449" s="55">
        <f t="shared" si="480"/>
        <v>0</v>
      </c>
      <c r="BJ449" s="55">
        <f t="shared" si="481"/>
        <v>0</v>
      </c>
    </row>
    <row r="450" spans="1:62" ht="12.75">
      <c r="A450" s="36" t="s">
        <v>899</v>
      </c>
      <c r="B450" s="36" t="s">
        <v>60</v>
      </c>
      <c r="C450" s="36" t="s">
        <v>1085</v>
      </c>
      <c r="D450" s="36" t="s">
        <v>520</v>
      </c>
      <c r="E450" s="36" t="s">
        <v>606</v>
      </c>
      <c r="F450" s="55">
        <f>'Stavební rozpočet'!F452</f>
        <v>11</v>
      </c>
      <c r="G450" s="55">
        <f>'Stavební rozpočet'!G452</f>
        <v>0</v>
      </c>
      <c r="H450" s="55">
        <f t="shared" si="456"/>
        <v>0</v>
      </c>
      <c r="I450" s="55">
        <f t="shared" si="457"/>
        <v>0</v>
      </c>
      <c r="J450" s="55">
        <f t="shared" si="458"/>
        <v>0</v>
      </c>
      <c r="K450" s="55">
        <f>'Stavební rozpočet'!K452</f>
        <v>0</v>
      </c>
      <c r="L450" s="55">
        <f t="shared" si="459"/>
        <v>0</v>
      </c>
      <c r="M450" s="51" t="s">
        <v>622</v>
      </c>
      <c r="Z450" s="29">
        <f t="shared" si="460"/>
        <v>0</v>
      </c>
      <c r="AB450" s="29">
        <f t="shared" si="461"/>
        <v>0</v>
      </c>
      <c r="AC450" s="29">
        <f t="shared" si="462"/>
        <v>0</v>
      </c>
      <c r="AD450" s="29">
        <f t="shared" si="463"/>
        <v>0</v>
      </c>
      <c r="AE450" s="29">
        <f t="shared" si="464"/>
        <v>0</v>
      </c>
      <c r="AF450" s="29">
        <f t="shared" si="465"/>
        <v>0</v>
      </c>
      <c r="AG450" s="29">
        <f t="shared" si="466"/>
        <v>0</v>
      </c>
      <c r="AH450" s="29">
        <f t="shared" si="467"/>
        <v>0</v>
      </c>
      <c r="AI450" s="48" t="s">
        <v>60</v>
      </c>
      <c r="AJ450" s="55">
        <f t="shared" si="468"/>
        <v>0</v>
      </c>
      <c r="AK450" s="55">
        <f t="shared" si="469"/>
        <v>0</v>
      </c>
      <c r="AL450" s="55">
        <f t="shared" si="470"/>
        <v>0</v>
      </c>
      <c r="AN450" s="29">
        <v>15</v>
      </c>
      <c r="AO450" s="29">
        <f t="shared" si="471"/>
        <v>0</v>
      </c>
      <c r="AP450" s="29">
        <f t="shared" si="472"/>
        <v>0</v>
      </c>
      <c r="AQ450" s="51" t="s">
        <v>85</v>
      </c>
      <c r="AV450" s="29">
        <f t="shared" si="473"/>
        <v>0</v>
      </c>
      <c r="AW450" s="29">
        <f t="shared" si="474"/>
        <v>0</v>
      </c>
      <c r="AX450" s="29">
        <f t="shared" si="475"/>
        <v>0</v>
      </c>
      <c r="AY450" s="54" t="s">
        <v>645</v>
      </c>
      <c r="AZ450" s="54" t="s">
        <v>1538</v>
      </c>
      <c r="BA450" s="48" t="s">
        <v>1542</v>
      </c>
      <c r="BC450" s="29">
        <f t="shared" si="476"/>
        <v>0</v>
      </c>
      <c r="BD450" s="29">
        <f t="shared" si="477"/>
        <v>0</v>
      </c>
      <c r="BE450" s="29">
        <v>0</v>
      </c>
      <c r="BF450" s="29">
        <f t="shared" si="478"/>
        <v>0</v>
      </c>
      <c r="BH450" s="55">
        <f t="shared" si="479"/>
        <v>0</v>
      </c>
      <c r="BI450" s="55">
        <f t="shared" si="480"/>
        <v>0</v>
      </c>
      <c r="BJ450" s="55">
        <f t="shared" si="481"/>
        <v>0</v>
      </c>
    </row>
    <row r="451" spans="1:62" ht="12.75">
      <c r="A451" s="36" t="s">
        <v>900</v>
      </c>
      <c r="B451" s="36" t="s">
        <v>60</v>
      </c>
      <c r="C451" s="36" t="s">
        <v>1086</v>
      </c>
      <c r="D451" s="36" t="s">
        <v>1398</v>
      </c>
      <c r="E451" s="36" t="s">
        <v>606</v>
      </c>
      <c r="F451" s="55">
        <f>'Stavební rozpočet'!F453</f>
        <v>11</v>
      </c>
      <c r="G451" s="55">
        <f>'Stavební rozpočet'!G453</f>
        <v>0</v>
      </c>
      <c r="H451" s="55">
        <f t="shared" si="456"/>
        <v>0</v>
      </c>
      <c r="I451" s="55">
        <f t="shared" si="457"/>
        <v>0</v>
      </c>
      <c r="J451" s="55">
        <f t="shared" si="458"/>
        <v>0</v>
      </c>
      <c r="K451" s="55">
        <f>'Stavební rozpočet'!K453</f>
        <v>0</v>
      </c>
      <c r="L451" s="55">
        <f t="shared" si="459"/>
        <v>0</v>
      </c>
      <c r="M451" s="51" t="s">
        <v>622</v>
      </c>
      <c r="Z451" s="29">
        <f t="shared" si="460"/>
        <v>0</v>
      </c>
      <c r="AB451" s="29">
        <f t="shared" si="461"/>
        <v>0</v>
      </c>
      <c r="AC451" s="29">
        <f t="shared" si="462"/>
        <v>0</v>
      </c>
      <c r="AD451" s="29">
        <f t="shared" si="463"/>
        <v>0</v>
      </c>
      <c r="AE451" s="29">
        <f t="shared" si="464"/>
        <v>0</v>
      </c>
      <c r="AF451" s="29">
        <f t="shared" si="465"/>
        <v>0</v>
      </c>
      <c r="AG451" s="29">
        <f t="shared" si="466"/>
        <v>0</v>
      </c>
      <c r="AH451" s="29">
        <f t="shared" si="467"/>
        <v>0</v>
      </c>
      <c r="AI451" s="48" t="s">
        <v>60</v>
      </c>
      <c r="AJ451" s="55">
        <f t="shared" si="468"/>
        <v>0</v>
      </c>
      <c r="AK451" s="55">
        <f t="shared" si="469"/>
        <v>0</v>
      </c>
      <c r="AL451" s="55">
        <f t="shared" si="470"/>
        <v>0</v>
      </c>
      <c r="AN451" s="29">
        <v>15</v>
      </c>
      <c r="AO451" s="29">
        <f t="shared" si="471"/>
        <v>0</v>
      </c>
      <c r="AP451" s="29">
        <f t="shared" si="472"/>
        <v>0</v>
      </c>
      <c r="AQ451" s="51" t="s">
        <v>85</v>
      </c>
      <c r="AV451" s="29">
        <f t="shared" si="473"/>
        <v>0</v>
      </c>
      <c r="AW451" s="29">
        <f t="shared" si="474"/>
        <v>0</v>
      </c>
      <c r="AX451" s="29">
        <f t="shared" si="475"/>
        <v>0</v>
      </c>
      <c r="AY451" s="54" t="s">
        <v>645</v>
      </c>
      <c r="AZ451" s="54" t="s">
        <v>1538</v>
      </c>
      <c r="BA451" s="48" t="s">
        <v>1542</v>
      </c>
      <c r="BC451" s="29">
        <f t="shared" si="476"/>
        <v>0</v>
      </c>
      <c r="BD451" s="29">
        <f t="shared" si="477"/>
        <v>0</v>
      </c>
      <c r="BE451" s="29">
        <v>0</v>
      </c>
      <c r="BF451" s="29">
        <f t="shared" si="478"/>
        <v>0</v>
      </c>
      <c r="BH451" s="55">
        <f t="shared" si="479"/>
        <v>0</v>
      </c>
      <c r="BI451" s="55">
        <f t="shared" si="480"/>
        <v>0</v>
      </c>
      <c r="BJ451" s="55">
        <f t="shared" si="481"/>
        <v>0</v>
      </c>
    </row>
    <row r="452" spans="1:62" ht="12.75">
      <c r="A452" s="36" t="s">
        <v>901</v>
      </c>
      <c r="B452" s="36" t="s">
        <v>60</v>
      </c>
      <c r="C452" s="36" t="s">
        <v>1087</v>
      </c>
      <c r="D452" s="36" t="s">
        <v>522</v>
      </c>
      <c r="E452" s="36" t="s">
        <v>606</v>
      </c>
      <c r="F452" s="55">
        <f>'Stavební rozpočet'!F454</f>
        <v>11</v>
      </c>
      <c r="G452" s="55">
        <f>'Stavební rozpočet'!G454</f>
        <v>0</v>
      </c>
      <c r="H452" s="55">
        <f t="shared" si="456"/>
        <v>0</v>
      </c>
      <c r="I452" s="55">
        <f t="shared" si="457"/>
        <v>0</v>
      </c>
      <c r="J452" s="55">
        <f t="shared" si="458"/>
        <v>0</v>
      </c>
      <c r="K452" s="55">
        <f>'Stavební rozpočet'!K454</f>
        <v>0</v>
      </c>
      <c r="L452" s="55">
        <f t="shared" si="459"/>
        <v>0</v>
      </c>
      <c r="M452" s="51" t="s">
        <v>622</v>
      </c>
      <c r="Z452" s="29">
        <f t="shared" si="460"/>
        <v>0</v>
      </c>
      <c r="AB452" s="29">
        <f t="shared" si="461"/>
        <v>0</v>
      </c>
      <c r="AC452" s="29">
        <f t="shared" si="462"/>
        <v>0</v>
      </c>
      <c r="AD452" s="29">
        <f t="shared" si="463"/>
        <v>0</v>
      </c>
      <c r="AE452" s="29">
        <f t="shared" si="464"/>
        <v>0</v>
      </c>
      <c r="AF452" s="29">
        <f t="shared" si="465"/>
        <v>0</v>
      </c>
      <c r="AG452" s="29">
        <f t="shared" si="466"/>
        <v>0</v>
      </c>
      <c r="AH452" s="29">
        <f t="shared" si="467"/>
        <v>0</v>
      </c>
      <c r="AI452" s="48" t="s">
        <v>60</v>
      </c>
      <c r="AJ452" s="55">
        <f t="shared" si="468"/>
        <v>0</v>
      </c>
      <c r="AK452" s="55">
        <f t="shared" si="469"/>
        <v>0</v>
      </c>
      <c r="AL452" s="55">
        <f t="shared" si="470"/>
        <v>0</v>
      </c>
      <c r="AN452" s="29">
        <v>15</v>
      </c>
      <c r="AO452" s="29">
        <f t="shared" si="471"/>
        <v>0</v>
      </c>
      <c r="AP452" s="29">
        <f t="shared" si="472"/>
        <v>0</v>
      </c>
      <c r="AQ452" s="51" t="s">
        <v>85</v>
      </c>
      <c r="AV452" s="29">
        <f t="shared" si="473"/>
        <v>0</v>
      </c>
      <c r="AW452" s="29">
        <f t="shared" si="474"/>
        <v>0</v>
      </c>
      <c r="AX452" s="29">
        <f t="shared" si="475"/>
        <v>0</v>
      </c>
      <c r="AY452" s="54" t="s">
        <v>645</v>
      </c>
      <c r="AZ452" s="54" t="s">
        <v>1538</v>
      </c>
      <c r="BA452" s="48" t="s">
        <v>1542</v>
      </c>
      <c r="BC452" s="29">
        <f t="shared" si="476"/>
        <v>0</v>
      </c>
      <c r="BD452" s="29">
        <f t="shared" si="477"/>
        <v>0</v>
      </c>
      <c r="BE452" s="29">
        <v>0</v>
      </c>
      <c r="BF452" s="29">
        <f t="shared" si="478"/>
        <v>0</v>
      </c>
      <c r="BH452" s="55">
        <f t="shared" si="479"/>
        <v>0</v>
      </c>
      <c r="BI452" s="55">
        <f t="shared" si="480"/>
        <v>0</v>
      </c>
      <c r="BJ452" s="55">
        <f t="shared" si="481"/>
        <v>0</v>
      </c>
    </row>
    <row r="453" spans="1:62" ht="12.75">
      <c r="A453" s="36" t="s">
        <v>902</v>
      </c>
      <c r="B453" s="36" t="s">
        <v>60</v>
      </c>
      <c r="C453" s="36" t="s">
        <v>1088</v>
      </c>
      <c r="D453" s="36" t="s">
        <v>523</v>
      </c>
      <c r="E453" s="36" t="s">
        <v>606</v>
      </c>
      <c r="F453" s="55">
        <f>'Stavební rozpočet'!F455</f>
        <v>11</v>
      </c>
      <c r="G453" s="55">
        <f>'Stavební rozpočet'!G455</f>
        <v>0</v>
      </c>
      <c r="H453" s="55">
        <f t="shared" si="456"/>
        <v>0</v>
      </c>
      <c r="I453" s="55">
        <f t="shared" si="457"/>
        <v>0</v>
      </c>
      <c r="J453" s="55">
        <f t="shared" si="458"/>
        <v>0</v>
      </c>
      <c r="K453" s="55">
        <f>'Stavební rozpočet'!K455</f>
        <v>0</v>
      </c>
      <c r="L453" s="55">
        <f t="shared" si="459"/>
        <v>0</v>
      </c>
      <c r="M453" s="51" t="s">
        <v>622</v>
      </c>
      <c r="Z453" s="29">
        <f t="shared" si="460"/>
        <v>0</v>
      </c>
      <c r="AB453" s="29">
        <f t="shared" si="461"/>
        <v>0</v>
      </c>
      <c r="AC453" s="29">
        <f t="shared" si="462"/>
        <v>0</v>
      </c>
      <c r="AD453" s="29">
        <f t="shared" si="463"/>
        <v>0</v>
      </c>
      <c r="AE453" s="29">
        <f t="shared" si="464"/>
        <v>0</v>
      </c>
      <c r="AF453" s="29">
        <f t="shared" si="465"/>
        <v>0</v>
      </c>
      <c r="AG453" s="29">
        <f t="shared" si="466"/>
        <v>0</v>
      </c>
      <c r="AH453" s="29">
        <f t="shared" si="467"/>
        <v>0</v>
      </c>
      <c r="AI453" s="48" t="s">
        <v>60</v>
      </c>
      <c r="AJ453" s="55">
        <f t="shared" si="468"/>
        <v>0</v>
      </c>
      <c r="AK453" s="55">
        <f t="shared" si="469"/>
        <v>0</v>
      </c>
      <c r="AL453" s="55">
        <f t="shared" si="470"/>
        <v>0</v>
      </c>
      <c r="AN453" s="29">
        <v>15</v>
      </c>
      <c r="AO453" s="29">
        <f t="shared" si="471"/>
        <v>0</v>
      </c>
      <c r="AP453" s="29">
        <f t="shared" si="472"/>
        <v>0</v>
      </c>
      <c r="AQ453" s="51" t="s">
        <v>85</v>
      </c>
      <c r="AV453" s="29">
        <f t="shared" si="473"/>
        <v>0</v>
      </c>
      <c r="AW453" s="29">
        <f t="shared" si="474"/>
        <v>0</v>
      </c>
      <c r="AX453" s="29">
        <f t="shared" si="475"/>
        <v>0</v>
      </c>
      <c r="AY453" s="54" t="s">
        <v>645</v>
      </c>
      <c r="AZ453" s="54" t="s">
        <v>1538</v>
      </c>
      <c r="BA453" s="48" t="s">
        <v>1542</v>
      </c>
      <c r="BC453" s="29">
        <f t="shared" si="476"/>
        <v>0</v>
      </c>
      <c r="BD453" s="29">
        <f t="shared" si="477"/>
        <v>0</v>
      </c>
      <c r="BE453" s="29">
        <v>0</v>
      </c>
      <c r="BF453" s="29">
        <f t="shared" si="478"/>
        <v>0</v>
      </c>
      <c r="BH453" s="55">
        <f t="shared" si="479"/>
        <v>0</v>
      </c>
      <c r="BI453" s="55">
        <f t="shared" si="480"/>
        <v>0</v>
      </c>
      <c r="BJ453" s="55">
        <f t="shared" si="481"/>
        <v>0</v>
      </c>
    </row>
    <row r="454" spans="1:62" ht="12.75">
      <c r="A454" s="36" t="s">
        <v>903</v>
      </c>
      <c r="B454" s="36" t="s">
        <v>60</v>
      </c>
      <c r="C454" s="36" t="s">
        <v>328</v>
      </c>
      <c r="D454" s="36" t="s">
        <v>524</v>
      </c>
      <c r="E454" s="36" t="s">
        <v>606</v>
      </c>
      <c r="F454" s="55">
        <f>'Stavební rozpočet'!F456</f>
        <v>4</v>
      </c>
      <c r="G454" s="55">
        <f>'Stavební rozpočet'!G456</f>
        <v>0</v>
      </c>
      <c r="H454" s="55">
        <f t="shared" si="456"/>
        <v>0</v>
      </c>
      <c r="I454" s="55">
        <f t="shared" si="457"/>
        <v>0</v>
      </c>
      <c r="J454" s="55">
        <f t="shared" si="458"/>
        <v>0</v>
      </c>
      <c r="K454" s="55">
        <f>'Stavební rozpočet'!K456</f>
        <v>0</v>
      </c>
      <c r="L454" s="55">
        <f t="shared" si="459"/>
        <v>0</v>
      </c>
      <c r="M454" s="51" t="s">
        <v>622</v>
      </c>
      <c r="Z454" s="29">
        <f t="shared" si="460"/>
        <v>0</v>
      </c>
      <c r="AB454" s="29">
        <f t="shared" si="461"/>
        <v>0</v>
      </c>
      <c r="AC454" s="29">
        <f t="shared" si="462"/>
        <v>0</v>
      </c>
      <c r="AD454" s="29">
        <f t="shared" si="463"/>
        <v>0</v>
      </c>
      <c r="AE454" s="29">
        <f t="shared" si="464"/>
        <v>0</v>
      </c>
      <c r="AF454" s="29">
        <f t="shared" si="465"/>
        <v>0</v>
      </c>
      <c r="AG454" s="29">
        <f t="shared" si="466"/>
        <v>0</v>
      </c>
      <c r="AH454" s="29">
        <f t="shared" si="467"/>
        <v>0</v>
      </c>
      <c r="AI454" s="48" t="s">
        <v>60</v>
      </c>
      <c r="AJ454" s="55">
        <f t="shared" si="468"/>
        <v>0</v>
      </c>
      <c r="AK454" s="55">
        <f t="shared" si="469"/>
        <v>0</v>
      </c>
      <c r="AL454" s="55">
        <f t="shared" si="470"/>
        <v>0</v>
      </c>
      <c r="AN454" s="29">
        <v>15</v>
      </c>
      <c r="AO454" s="29">
        <f t="shared" si="471"/>
        <v>0</v>
      </c>
      <c r="AP454" s="29">
        <f t="shared" si="472"/>
        <v>0</v>
      </c>
      <c r="AQ454" s="51" t="s">
        <v>85</v>
      </c>
      <c r="AV454" s="29">
        <f t="shared" si="473"/>
        <v>0</v>
      </c>
      <c r="AW454" s="29">
        <f t="shared" si="474"/>
        <v>0</v>
      </c>
      <c r="AX454" s="29">
        <f t="shared" si="475"/>
        <v>0</v>
      </c>
      <c r="AY454" s="54" t="s">
        <v>645</v>
      </c>
      <c r="AZ454" s="54" t="s">
        <v>1538</v>
      </c>
      <c r="BA454" s="48" t="s">
        <v>1542</v>
      </c>
      <c r="BC454" s="29">
        <f t="shared" si="476"/>
        <v>0</v>
      </c>
      <c r="BD454" s="29">
        <f t="shared" si="477"/>
        <v>0</v>
      </c>
      <c r="BE454" s="29">
        <v>0</v>
      </c>
      <c r="BF454" s="29">
        <f t="shared" si="478"/>
        <v>0</v>
      </c>
      <c r="BH454" s="55">
        <f t="shared" si="479"/>
        <v>0</v>
      </c>
      <c r="BI454" s="55">
        <f t="shared" si="480"/>
        <v>0</v>
      </c>
      <c r="BJ454" s="55">
        <f t="shared" si="481"/>
        <v>0</v>
      </c>
    </row>
    <row r="455" spans="1:62" ht="12.75">
      <c r="A455" s="36" t="s">
        <v>904</v>
      </c>
      <c r="B455" s="36" t="s">
        <v>60</v>
      </c>
      <c r="C455" s="36" t="s">
        <v>329</v>
      </c>
      <c r="D455" s="36" t="s">
        <v>525</v>
      </c>
      <c r="E455" s="36" t="s">
        <v>606</v>
      </c>
      <c r="F455" s="55">
        <f>'Stavební rozpočet'!F457</f>
        <v>4</v>
      </c>
      <c r="G455" s="55">
        <f>'Stavební rozpočet'!G457</f>
        <v>0</v>
      </c>
      <c r="H455" s="55">
        <f t="shared" si="456"/>
        <v>0</v>
      </c>
      <c r="I455" s="55">
        <f t="shared" si="457"/>
        <v>0</v>
      </c>
      <c r="J455" s="55">
        <f t="shared" si="458"/>
        <v>0</v>
      </c>
      <c r="K455" s="55">
        <f>'Stavební rozpočet'!K457</f>
        <v>0</v>
      </c>
      <c r="L455" s="55">
        <f t="shared" si="459"/>
        <v>0</v>
      </c>
      <c r="M455" s="51" t="s">
        <v>622</v>
      </c>
      <c r="Z455" s="29">
        <f t="shared" si="460"/>
        <v>0</v>
      </c>
      <c r="AB455" s="29">
        <f t="shared" si="461"/>
        <v>0</v>
      </c>
      <c r="AC455" s="29">
        <f t="shared" si="462"/>
        <v>0</v>
      </c>
      <c r="AD455" s="29">
        <f t="shared" si="463"/>
        <v>0</v>
      </c>
      <c r="AE455" s="29">
        <f t="shared" si="464"/>
        <v>0</v>
      </c>
      <c r="AF455" s="29">
        <f t="shared" si="465"/>
        <v>0</v>
      </c>
      <c r="AG455" s="29">
        <f t="shared" si="466"/>
        <v>0</v>
      </c>
      <c r="AH455" s="29">
        <f t="shared" si="467"/>
        <v>0</v>
      </c>
      <c r="AI455" s="48" t="s">
        <v>60</v>
      </c>
      <c r="AJ455" s="55">
        <f t="shared" si="468"/>
        <v>0</v>
      </c>
      <c r="AK455" s="55">
        <f t="shared" si="469"/>
        <v>0</v>
      </c>
      <c r="AL455" s="55">
        <f t="shared" si="470"/>
        <v>0</v>
      </c>
      <c r="AN455" s="29">
        <v>15</v>
      </c>
      <c r="AO455" s="29">
        <f t="shared" si="471"/>
        <v>0</v>
      </c>
      <c r="AP455" s="29">
        <f t="shared" si="472"/>
        <v>0</v>
      </c>
      <c r="AQ455" s="51" t="s">
        <v>85</v>
      </c>
      <c r="AV455" s="29">
        <f t="shared" si="473"/>
        <v>0</v>
      </c>
      <c r="AW455" s="29">
        <f t="shared" si="474"/>
        <v>0</v>
      </c>
      <c r="AX455" s="29">
        <f t="shared" si="475"/>
        <v>0</v>
      </c>
      <c r="AY455" s="54" t="s">
        <v>645</v>
      </c>
      <c r="AZ455" s="54" t="s">
        <v>1538</v>
      </c>
      <c r="BA455" s="48" t="s">
        <v>1542</v>
      </c>
      <c r="BC455" s="29">
        <f t="shared" si="476"/>
        <v>0</v>
      </c>
      <c r="BD455" s="29">
        <f t="shared" si="477"/>
        <v>0</v>
      </c>
      <c r="BE455" s="29">
        <v>0</v>
      </c>
      <c r="BF455" s="29">
        <f t="shared" si="478"/>
        <v>0</v>
      </c>
      <c r="BH455" s="55">
        <f t="shared" si="479"/>
        <v>0</v>
      </c>
      <c r="BI455" s="55">
        <f t="shared" si="480"/>
        <v>0</v>
      </c>
      <c r="BJ455" s="55">
        <f t="shared" si="481"/>
        <v>0</v>
      </c>
    </row>
    <row r="456" spans="1:62" ht="12.75">
      <c r="A456" s="36" t="s">
        <v>905</v>
      </c>
      <c r="B456" s="36" t="s">
        <v>60</v>
      </c>
      <c r="C456" s="36" t="s">
        <v>330</v>
      </c>
      <c r="D456" s="36" t="s">
        <v>526</v>
      </c>
      <c r="E456" s="36" t="s">
        <v>606</v>
      </c>
      <c r="F456" s="55">
        <f>'Stavební rozpočet'!F458</f>
        <v>4</v>
      </c>
      <c r="G456" s="55">
        <f>'Stavební rozpočet'!G458</f>
        <v>0</v>
      </c>
      <c r="H456" s="55">
        <f t="shared" si="456"/>
        <v>0</v>
      </c>
      <c r="I456" s="55">
        <f t="shared" si="457"/>
        <v>0</v>
      </c>
      <c r="J456" s="55">
        <f t="shared" si="458"/>
        <v>0</v>
      </c>
      <c r="K456" s="55">
        <f>'Stavební rozpočet'!K458</f>
        <v>0</v>
      </c>
      <c r="L456" s="55">
        <f t="shared" si="459"/>
        <v>0</v>
      </c>
      <c r="M456" s="51" t="s">
        <v>622</v>
      </c>
      <c r="Z456" s="29">
        <f t="shared" si="460"/>
        <v>0</v>
      </c>
      <c r="AB456" s="29">
        <f t="shared" si="461"/>
        <v>0</v>
      </c>
      <c r="AC456" s="29">
        <f t="shared" si="462"/>
        <v>0</v>
      </c>
      <c r="AD456" s="29">
        <f t="shared" si="463"/>
        <v>0</v>
      </c>
      <c r="AE456" s="29">
        <f t="shared" si="464"/>
        <v>0</v>
      </c>
      <c r="AF456" s="29">
        <f t="shared" si="465"/>
        <v>0</v>
      </c>
      <c r="AG456" s="29">
        <f t="shared" si="466"/>
        <v>0</v>
      </c>
      <c r="AH456" s="29">
        <f t="shared" si="467"/>
        <v>0</v>
      </c>
      <c r="AI456" s="48" t="s">
        <v>60</v>
      </c>
      <c r="AJ456" s="55">
        <f t="shared" si="468"/>
        <v>0</v>
      </c>
      <c r="AK456" s="55">
        <f t="shared" si="469"/>
        <v>0</v>
      </c>
      <c r="AL456" s="55">
        <f t="shared" si="470"/>
        <v>0</v>
      </c>
      <c r="AN456" s="29">
        <v>15</v>
      </c>
      <c r="AO456" s="29">
        <f t="shared" si="471"/>
        <v>0</v>
      </c>
      <c r="AP456" s="29">
        <f t="shared" si="472"/>
        <v>0</v>
      </c>
      <c r="AQ456" s="51" t="s">
        <v>85</v>
      </c>
      <c r="AV456" s="29">
        <f t="shared" si="473"/>
        <v>0</v>
      </c>
      <c r="AW456" s="29">
        <f t="shared" si="474"/>
        <v>0</v>
      </c>
      <c r="AX456" s="29">
        <f t="shared" si="475"/>
        <v>0</v>
      </c>
      <c r="AY456" s="54" t="s">
        <v>645</v>
      </c>
      <c r="AZ456" s="54" t="s">
        <v>1538</v>
      </c>
      <c r="BA456" s="48" t="s">
        <v>1542</v>
      </c>
      <c r="BC456" s="29">
        <f t="shared" si="476"/>
        <v>0</v>
      </c>
      <c r="BD456" s="29">
        <f t="shared" si="477"/>
        <v>0</v>
      </c>
      <c r="BE456" s="29">
        <v>0</v>
      </c>
      <c r="BF456" s="29">
        <f t="shared" si="478"/>
        <v>0</v>
      </c>
      <c r="BH456" s="55">
        <f t="shared" si="479"/>
        <v>0</v>
      </c>
      <c r="BI456" s="55">
        <f t="shared" si="480"/>
        <v>0</v>
      </c>
      <c r="BJ456" s="55">
        <f t="shared" si="481"/>
        <v>0</v>
      </c>
    </row>
    <row r="457" spans="1:62" ht="12.75">
      <c r="A457" s="36" t="s">
        <v>906</v>
      </c>
      <c r="B457" s="36" t="s">
        <v>60</v>
      </c>
      <c r="C457" s="36" t="s">
        <v>331</v>
      </c>
      <c r="D457" s="36" t="s">
        <v>527</v>
      </c>
      <c r="E457" s="36" t="s">
        <v>606</v>
      </c>
      <c r="F457" s="55">
        <f>'Stavební rozpočet'!F459</f>
        <v>4</v>
      </c>
      <c r="G457" s="55">
        <f>'Stavební rozpočet'!G459</f>
        <v>0</v>
      </c>
      <c r="H457" s="55">
        <f t="shared" si="456"/>
        <v>0</v>
      </c>
      <c r="I457" s="55">
        <f t="shared" si="457"/>
        <v>0</v>
      </c>
      <c r="J457" s="55">
        <f t="shared" si="458"/>
        <v>0</v>
      </c>
      <c r="K457" s="55">
        <f>'Stavební rozpočet'!K459</f>
        <v>0</v>
      </c>
      <c r="L457" s="55">
        <f t="shared" si="459"/>
        <v>0</v>
      </c>
      <c r="M457" s="51" t="s">
        <v>622</v>
      </c>
      <c r="Z457" s="29">
        <f t="shared" si="460"/>
        <v>0</v>
      </c>
      <c r="AB457" s="29">
        <f t="shared" si="461"/>
        <v>0</v>
      </c>
      <c r="AC457" s="29">
        <f t="shared" si="462"/>
        <v>0</v>
      </c>
      <c r="AD457" s="29">
        <f t="shared" si="463"/>
        <v>0</v>
      </c>
      <c r="AE457" s="29">
        <f t="shared" si="464"/>
        <v>0</v>
      </c>
      <c r="AF457" s="29">
        <f t="shared" si="465"/>
        <v>0</v>
      </c>
      <c r="AG457" s="29">
        <f t="shared" si="466"/>
        <v>0</v>
      </c>
      <c r="AH457" s="29">
        <f t="shared" si="467"/>
        <v>0</v>
      </c>
      <c r="AI457" s="48" t="s">
        <v>60</v>
      </c>
      <c r="AJ457" s="55">
        <f t="shared" si="468"/>
        <v>0</v>
      </c>
      <c r="AK457" s="55">
        <f t="shared" si="469"/>
        <v>0</v>
      </c>
      <c r="AL457" s="55">
        <f t="shared" si="470"/>
        <v>0</v>
      </c>
      <c r="AN457" s="29">
        <v>15</v>
      </c>
      <c r="AO457" s="29">
        <f t="shared" si="471"/>
        <v>0</v>
      </c>
      <c r="AP457" s="29">
        <f t="shared" si="472"/>
        <v>0</v>
      </c>
      <c r="AQ457" s="51" t="s">
        <v>85</v>
      </c>
      <c r="AV457" s="29">
        <f t="shared" si="473"/>
        <v>0</v>
      </c>
      <c r="AW457" s="29">
        <f t="shared" si="474"/>
        <v>0</v>
      </c>
      <c r="AX457" s="29">
        <f t="shared" si="475"/>
        <v>0</v>
      </c>
      <c r="AY457" s="54" t="s">
        <v>645</v>
      </c>
      <c r="AZ457" s="54" t="s">
        <v>1538</v>
      </c>
      <c r="BA457" s="48" t="s">
        <v>1542</v>
      </c>
      <c r="BC457" s="29">
        <f t="shared" si="476"/>
        <v>0</v>
      </c>
      <c r="BD457" s="29">
        <f t="shared" si="477"/>
        <v>0</v>
      </c>
      <c r="BE457" s="29">
        <v>0</v>
      </c>
      <c r="BF457" s="29">
        <f t="shared" si="478"/>
        <v>0</v>
      </c>
      <c r="BH457" s="55">
        <f t="shared" si="479"/>
        <v>0</v>
      </c>
      <c r="BI457" s="55">
        <f t="shared" si="480"/>
        <v>0</v>
      </c>
      <c r="BJ457" s="55">
        <f t="shared" si="481"/>
        <v>0</v>
      </c>
    </row>
    <row r="458" spans="1:62" ht="12.75">
      <c r="A458" s="36" t="s">
        <v>907</v>
      </c>
      <c r="B458" s="36" t="s">
        <v>60</v>
      </c>
      <c r="C458" s="36" t="s">
        <v>332</v>
      </c>
      <c r="D458" s="36" t="s">
        <v>528</v>
      </c>
      <c r="E458" s="36" t="s">
        <v>606</v>
      </c>
      <c r="F458" s="55">
        <f>'Stavební rozpočet'!F460</f>
        <v>2</v>
      </c>
      <c r="G458" s="55">
        <f>'Stavební rozpočet'!G460</f>
        <v>0</v>
      </c>
      <c r="H458" s="55">
        <f t="shared" si="456"/>
        <v>0</v>
      </c>
      <c r="I458" s="55">
        <f t="shared" si="457"/>
        <v>0</v>
      </c>
      <c r="J458" s="55">
        <f t="shared" si="458"/>
        <v>0</v>
      </c>
      <c r="K458" s="55">
        <f>'Stavební rozpočet'!K460</f>
        <v>0</v>
      </c>
      <c r="L458" s="55">
        <f t="shared" si="459"/>
        <v>0</v>
      </c>
      <c r="M458" s="51" t="s">
        <v>622</v>
      </c>
      <c r="Z458" s="29">
        <f t="shared" si="460"/>
        <v>0</v>
      </c>
      <c r="AB458" s="29">
        <f t="shared" si="461"/>
        <v>0</v>
      </c>
      <c r="AC458" s="29">
        <f t="shared" si="462"/>
        <v>0</v>
      </c>
      <c r="AD458" s="29">
        <f t="shared" si="463"/>
        <v>0</v>
      </c>
      <c r="AE458" s="29">
        <f t="shared" si="464"/>
        <v>0</v>
      </c>
      <c r="AF458" s="29">
        <f t="shared" si="465"/>
        <v>0</v>
      </c>
      <c r="AG458" s="29">
        <f t="shared" si="466"/>
        <v>0</v>
      </c>
      <c r="AH458" s="29">
        <f t="shared" si="467"/>
        <v>0</v>
      </c>
      <c r="AI458" s="48" t="s">
        <v>60</v>
      </c>
      <c r="AJ458" s="55">
        <f t="shared" si="468"/>
        <v>0</v>
      </c>
      <c r="AK458" s="55">
        <f t="shared" si="469"/>
        <v>0</v>
      </c>
      <c r="AL458" s="55">
        <f t="shared" si="470"/>
        <v>0</v>
      </c>
      <c r="AN458" s="29">
        <v>15</v>
      </c>
      <c r="AO458" s="29">
        <f t="shared" si="471"/>
        <v>0</v>
      </c>
      <c r="AP458" s="29">
        <f t="shared" si="472"/>
        <v>0</v>
      </c>
      <c r="AQ458" s="51" t="s">
        <v>85</v>
      </c>
      <c r="AV458" s="29">
        <f t="shared" si="473"/>
        <v>0</v>
      </c>
      <c r="AW458" s="29">
        <f t="shared" si="474"/>
        <v>0</v>
      </c>
      <c r="AX458" s="29">
        <f t="shared" si="475"/>
        <v>0</v>
      </c>
      <c r="AY458" s="54" t="s">
        <v>645</v>
      </c>
      <c r="AZ458" s="54" t="s">
        <v>1538</v>
      </c>
      <c r="BA458" s="48" t="s">
        <v>1542</v>
      </c>
      <c r="BC458" s="29">
        <f t="shared" si="476"/>
        <v>0</v>
      </c>
      <c r="BD458" s="29">
        <f t="shared" si="477"/>
        <v>0</v>
      </c>
      <c r="BE458" s="29">
        <v>0</v>
      </c>
      <c r="BF458" s="29">
        <f t="shared" si="478"/>
        <v>0</v>
      </c>
      <c r="BH458" s="55">
        <f t="shared" si="479"/>
        <v>0</v>
      </c>
      <c r="BI458" s="55">
        <f t="shared" si="480"/>
        <v>0</v>
      </c>
      <c r="BJ458" s="55">
        <f t="shared" si="481"/>
        <v>0</v>
      </c>
    </row>
    <row r="459" spans="1:62" ht="12.75">
      <c r="A459" s="36" t="s">
        <v>908</v>
      </c>
      <c r="B459" s="36" t="s">
        <v>60</v>
      </c>
      <c r="C459" s="36" t="s">
        <v>335</v>
      </c>
      <c r="D459" s="36" t="s">
        <v>530</v>
      </c>
      <c r="E459" s="36" t="s">
        <v>611</v>
      </c>
      <c r="F459" s="55">
        <f>'Stavební rozpočet'!F461</f>
        <v>10</v>
      </c>
      <c r="G459" s="55">
        <f>'Stavební rozpočet'!G461</f>
        <v>0</v>
      </c>
      <c r="H459" s="55">
        <f t="shared" si="456"/>
        <v>0</v>
      </c>
      <c r="I459" s="55">
        <f t="shared" si="457"/>
        <v>0</v>
      </c>
      <c r="J459" s="55">
        <f t="shared" si="458"/>
        <v>0</v>
      </c>
      <c r="K459" s="55">
        <f>'Stavební rozpočet'!K461</f>
        <v>0</v>
      </c>
      <c r="L459" s="55">
        <f t="shared" si="459"/>
        <v>0</v>
      </c>
      <c r="M459" s="51" t="s">
        <v>622</v>
      </c>
      <c r="Z459" s="29">
        <f t="shared" si="460"/>
        <v>0</v>
      </c>
      <c r="AB459" s="29">
        <f t="shared" si="461"/>
        <v>0</v>
      </c>
      <c r="AC459" s="29">
        <f t="shared" si="462"/>
        <v>0</v>
      </c>
      <c r="AD459" s="29">
        <f t="shared" si="463"/>
        <v>0</v>
      </c>
      <c r="AE459" s="29">
        <f t="shared" si="464"/>
        <v>0</v>
      </c>
      <c r="AF459" s="29">
        <f t="shared" si="465"/>
        <v>0</v>
      </c>
      <c r="AG459" s="29">
        <f t="shared" si="466"/>
        <v>0</v>
      </c>
      <c r="AH459" s="29">
        <f t="shared" si="467"/>
        <v>0</v>
      </c>
      <c r="AI459" s="48" t="s">
        <v>60</v>
      </c>
      <c r="AJ459" s="55">
        <f t="shared" si="468"/>
        <v>0</v>
      </c>
      <c r="AK459" s="55">
        <f t="shared" si="469"/>
        <v>0</v>
      </c>
      <c r="AL459" s="55">
        <f t="shared" si="470"/>
        <v>0</v>
      </c>
      <c r="AN459" s="29">
        <v>15</v>
      </c>
      <c r="AO459" s="29">
        <f t="shared" si="471"/>
        <v>0</v>
      </c>
      <c r="AP459" s="29">
        <f t="shared" si="472"/>
        <v>0</v>
      </c>
      <c r="AQ459" s="51" t="s">
        <v>85</v>
      </c>
      <c r="AV459" s="29">
        <f t="shared" si="473"/>
        <v>0</v>
      </c>
      <c r="AW459" s="29">
        <f t="shared" si="474"/>
        <v>0</v>
      </c>
      <c r="AX459" s="29">
        <f t="shared" si="475"/>
        <v>0</v>
      </c>
      <c r="AY459" s="54" t="s">
        <v>645</v>
      </c>
      <c r="AZ459" s="54" t="s">
        <v>1538</v>
      </c>
      <c r="BA459" s="48" t="s">
        <v>1542</v>
      </c>
      <c r="BC459" s="29">
        <f t="shared" si="476"/>
        <v>0</v>
      </c>
      <c r="BD459" s="29">
        <f t="shared" si="477"/>
        <v>0</v>
      </c>
      <c r="BE459" s="29">
        <v>0</v>
      </c>
      <c r="BF459" s="29">
        <f t="shared" si="478"/>
        <v>0</v>
      </c>
      <c r="BH459" s="55">
        <f t="shared" si="479"/>
        <v>0</v>
      </c>
      <c r="BI459" s="55">
        <f t="shared" si="480"/>
        <v>0</v>
      </c>
      <c r="BJ459" s="55">
        <f t="shared" si="481"/>
        <v>0</v>
      </c>
    </row>
    <row r="460" spans="1:62" ht="12.75">
      <c r="A460" s="36" t="s">
        <v>909</v>
      </c>
      <c r="B460" s="36" t="s">
        <v>60</v>
      </c>
      <c r="C460" s="36" t="s">
        <v>336</v>
      </c>
      <c r="D460" s="36" t="s">
        <v>531</v>
      </c>
      <c r="E460" s="36" t="s">
        <v>611</v>
      </c>
      <c r="F460" s="55">
        <f>'Stavební rozpočet'!F462</f>
        <v>15</v>
      </c>
      <c r="G460" s="55">
        <f>'Stavební rozpočet'!G462</f>
        <v>0</v>
      </c>
      <c r="H460" s="55">
        <f t="shared" si="456"/>
        <v>0</v>
      </c>
      <c r="I460" s="55">
        <f t="shared" si="457"/>
        <v>0</v>
      </c>
      <c r="J460" s="55">
        <f t="shared" si="458"/>
        <v>0</v>
      </c>
      <c r="K460" s="55">
        <f>'Stavební rozpočet'!K462</f>
        <v>0</v>
      </c>
      <c r="L460" s="55">
        <f t="shared" si="459"/>
        <v>0</v>
      </c>
      <c r="M460" s="51" t="s">
        <v>622</v>
      </c>
      <c r="Z460" s="29">
        <f t="shared" si="460"/>
        <v>0</v>
      </c>
      <c r="AB460" s="29">
        <f t="shared" si="461"/>
        <v>0</v>
      </c>
      <c r="AC460" s="29">
        <f t="shared" si="462"/>
        <v>0</v>
      </c>
      <c r="AD460" s="29">
        <f t="shared" si="463"/>
        <v>0</v>
      </c>
      <c r="AE460" s="29">
        <f t="shared" si="464"/>
        <v>0</v>
      </c>
      <c r="AF460" s="29">
        <f t="shared" si="465"/>
        <v>0</v>
      </c>
      <c r="AG460" s="29">
        <f t="shared" si="466"/>
        <v>0</v>
      </c>
      <c r="AH460" s="29">
        <f t="shared" si="467"/>
        <v>0</v>
      </c>
      <c r="AI460" s="48" t="s">
        <v>60</v>
      </c>
      <c r="AJ460" s="55">
        <f t="shared" si="468"/>
        <v>0</v>
      </c>
      <c r="AK460" s="55">
        <f t="shared" si="469"/>
        <v>0</v>
      </c>
      <c r="AL460" s="55">
        <f t="shared" si="470"/>
        <v>0</v>
      </c>
      <c r="AN460" s="29">
        <v>15</v>
      </c>
      <c r="AO460" s="29">
        <f t="shared" si="471"/>
        <v>0</v>
      </c>
      <c r="AP460" s="29">
        <f t="shared" si="472"/>
        <v>0</v>
      </c>
      <c r="AQ460" s="51" t="s">
        <v>85</v>
      </c>
      <c r="AV460" s="29">
        <f t="shared" si="473"/>
        <v>0</v>
      </c>
      <c r="AW460" s="29">
        <f t="shared" si="474"/>
        <v>0</v>
      </c>
      <c r="AX460" s="29">
        <f t="shared" si="475"/>
        <v>0</v>
      </c>
      <c r="AY460" s="54" t="s">
        <v>645</v>
      </c>
      <c r="AZ460" s="54" t="s">
        <v>1538</v>
      </c>
      <c r="BA460" s="48" t="s">
        <v>1542</v>
      </c>
      <c r="BC460" s="29">
        <f t="shared" si="476"/>
        <v>0</v>
      </c>
      <c r="BD460" s="29">
        <f t="shared" si="477"/>
        <v>0</v>
      </c>
      <c r="BE460" s="29">
        <v>0</v>
      </c>
      <c r="BF460" s="29">
        <f t="shared" si="478"/>
        <v>0</v>
      </c>
      <c r="BH460" s="55">
        <f t="shared" si="479"/>
        <v>0</v>
      </c>
      <c r="BI460" s="55">
        <f t="shared" si="480"/>
        <v>0</v>
      </c>
      <c r="BJ460" s="55">
        <f t="shared" si="481"/>
        <v>0</v>
      </c>
    </row>
    <row r="461" spans="1:62" ht="12.75">
      <c r="A461" s="36" t="s">
        <v>910</v>
      </c>
      <c r="B461" s="36" t="s">
        <v>60</v>
      </c>
      <c r="C461" s="36" t="s">
        <v>337</v>
      </c>
      <c r="D461" s="36" t="s">
        <v>532</v>
      </c>
      <c r="E461" s="36" t="s">
        <v>606</v>
      </c>
      <c r="F461" s="55">
        <f>'Stavební rozpočet'!F463</f>
        <v>1</v>
      </c>
      <c r="G461" s="55">
        <f>'Stavební rozpočet'!G463</f>
        <v>0</v>
      </c>
      <c r="H461" s="55">
        <f t="shared" si="456"/>
        <v>0</v>
      </c>
      <c r="I461" s="55">
        <f t="shared" si="457"/>
        <v>0</v>
      </c>
      <c r="J461" s="55">
        <f t="shared" si="458"/>
        <v>0</v>
      </c>
      <c r="K461" s="55">
        <f>'Stavební rozpočet'!K463</f>
        <v>0</v>
      </c>
      <c r="L461" s="55">
        <f t="shared" si="459"/>
        <v>0</v>
      </c>
      <c r="M461" s="51" t="s">
        <v>622</v>
      </c>
      <c r="Z461" s="29">
        <f t="shared" si="460"/>
        <v>0</v>
      </c>
      <c r="AB461" s="29">
        <f t="shared" si="461"/>
        <v>0</v>
      </c>
      <c r="AC461" s="29">
        <f t="shared" si="462"/>
        <v>0</v>
      </c>
      <c r="AD461" s="29">
        <f t="shared" si="463"/>
        <v>0</v>
      </c>
      <c r="AE461" s="29">
        <f t="shared" si="464"/>
        <v>0</v>
      </c>
      <c r="AF461" s="29">
        <f t="shared" si="465"/>
        <v>0</v>
      </c>
      <c r="AG461" s="29">
        <f t="shared" si="466"/>
        <v>0</v>
      </c>
      <c r="AH461" s="29">
        <f t="shared" si="467"/>
        <v>0</v>
      </c>
      <c r="AI461" s="48" t="s">
        <v>60</v>
      </c>
      <c r="AJ461" s="55">
        <f t="shared" si="468"/>
        <v>0</v>
      </c>
      <c r="AK461" s="55">
        <f t="shared" si="469"/>
        <v>0</v>
      </c>
      <c r="AL461" s="55">
        <f t="shared" si="470"/>
        <v>0</v>
      </c>
      <c r="AN461" s="29">
        <v>15</v>
      </c>
      <c r="AO461" s="29">
        <f t="shared" si="471"/>
        <v>0</v>
      </c>
      <c r="AP461" s="29">
        <f t="shared" si="472"/>
        <v>0</v>
      </c>
      <c r="AQ461" s="51" t="s">
        <v>85</v>
      </c>
      <c r="AV461" s="29">
        <f t="shared" si="473"/>
        <v>0</v>
      </c>
      <c r="AW461" s="29">
        <f t="shared" si="474"/>
        <v>0</v>
      </c>
      <c r="AX461" s="29">
        <f t="shared" si="475"/>
        <v>0</v>
      </c>
      <c r="AY461" s="54" t="s">
        <v>645</v>
      </c>
      <c r="AZ461" s="54" t="s">
        <v>1538</v>
      </c>
      <c r="BA461" s="48" t="s">
        <v>1542</v>
      </c>
      <c r="BC461" s="29">
        <f t="shared" si="476"/>
        <v>0</v>
      </c>
      <c r="BD461" s="29">
        <f t="shared" si="477"/>
        <v>0</v>
      </c>
      <c r="BE461" s="29">
        <v>0</v>
      </c>
      <c r="BF461" s="29">
        <f t="shared" si="478"/>
        <v>0</v>
      </c>
      <c r="BH461" s="55">
        <f t="shared" si="479"/>
        <v>0</v>
      </c>
      <c r="BI461" s="55">
        <f t="shared" si="480"/>
        <v>0</v>
      </c>
      <c r="BJ461" s="55">
        <f t="shared" si="481"/>
        <v>0</v>
      </c>
    </row>
    <row r="462" spans="1:62" ht="12.75">
      <c r="A462" s="36" t="s">
        <v>911</v>
      </c>
      <c r="B462" s="36" t="s">
        <v>60</v>
      </c>
      <c r="C462" s="36" t="s">
        <v>340</v>
      </c>
      <c r="D462" s="36" t="s">
        <v>529</v>
      </c>
      <c r="E462" s="36" t="s">
        <v>609</v>
      </c>
      <c r="F462" s="55">
        <f>'Stavební rozpočet'!F464</f>
        <v>2.3</v>
      </c>
      <c r="G462" s="55">
        <f>'Stavební rozpočet'!G464</f>
        <v>0</v>
      </c>
      <c r="H462" s="55">
        <f t="shared" si="456"/>
        <v>0</v>
      </c>
      <c r="I462" s="55">
        <f t="shared" si="457"/>
        <v>0</v>
      </c>
      <c r="J462" s="55">
        <f t="shared" si="458"/>
        <v>0</v>
      </c>
      <c r="K462" s="55">
        <f>'Stavební rozpočet'!K464</f>
        <v>0</v>
      </c>
      <c r="L462" s="55">
        <f t="shared" si="459"/>
        <v>0</v>
      </c>
      <c r="M462" s="51" t="s">
        <v>622</v>
      </c>
      <c r="Z462" s="29">
        <f t="shared" si="460"/>
        <v>0</v>
      </c>
      <c r="AB462" s="29">
        <f t="shared" si="461"/>
        <v>0</v>
      </c>
      <c r="AC462" s="29">
        <f t="shared" si="462"/>
        <v>0</v>
      </c>
      <c r="AD462" s="29">
        <f t="shared" si="463"/>
        <v>0</v>
      </c>
      <c r="AE462" s="29">
        <f t="shared" si="464"/>
        <v>0</v>
      </c>
      <c r="AF462" s="29">
        <f t="shared" si="465"/>
        <v>0</v>
      </c>
      <c r="AG462" s="29">
        <f t="shared" si="466"/>
        <v>0</v>
      </c>
      <c r="AH462" s="29">
        <f t="shared" si="467"/>
        <v>0</v>
      </c>
      <c r="AI462" s="48" t="s">
        <v>60</v>
      </c>
      <c r="AJ462" s="55">
        <f t="shared" si="468"/>
        <v>0</v>
      </c>
      <c r="AK462" s="55">
        <f t="shared" si="469"/>
        <v>0</v>
      </c>
      <c r="AL462" s="55">
        <f t="shared" si="470"/>
        <v>0</v>
      </c>
      <c r="AN462" s="29">
        <v>15</v>
      </c>
      <c r="AO462" s="29">
        <f t="shared" si="471"/>
        <v>0</v>
      </c>
      <c r="AP462" s="29">
        <f t="shared" si="472"/>
        <v>0</v>
      </c>
      <c r="AQ462" s="51" t="s">
        <v>85</v>
      </c>
      <c r="AV462" s="29">
        <f t="shared" si="473"/>
        <v>0</v>
      </c>
      <c r="AW462" s="29">
        <f t="shared" si="474"/>
        <v>0</v>
      </c>
      <c r="AX462" s="29">
        <f t="shared" si="475"/>
        <v>0</v>
      </c>
      <c r="AY462" s="54" t="s">
        <v>645</v>
      </c>
      <c r="AZ462" s="54" t="s">
        <v>1538</v>
      </c>
      <c r="BA462" s="48" t="s">
        <v>1542</v>
      </c>
      <c r="BC462" s="29">
        <f t="shared" si="476"/>
        <v>0</v>
      </c>
      <c r="BD462" s="29">
        <f t="shared" si="477"/>
        <v>0</v>
      </c>
      <c r="BE462" s="29">
        <v>0</v>
      </c>
      <c r="BF462" s="29">
        <f t="shared" si="478"/>
        <v>0</v>
      </c>
      <c r="BH462" s="55">
        <f t="shared" si="479"/>
        <v>0</v>
      </c>
      <c r="BI462" s="55">
        <f t="shared" si="480"/>
        <v>0</v>
      </c>
      <c r="BJ462" s="55">
        <f t="shared" si="481"/>
        <v>0</v>
      </c>
    </row>
    <row r="463" spans="1:62" ht="12.75">
      <c r="A463" s="36" t="s">
        <v>912</v>
      </c>
      <c r="B463" s="36" t="s">
        <v>60</v>
      </c>
      <c r="C463" s="36" t="s">
        <v>341</v>
      </c>
      <c r="D463" s="36" t="s">
        <v>533</v>
      </c>
      <c r="E463" s="36" t="s">
        <v>606</v>
      </c>
      <c r="F463" s="55">
        <f>'Stavební rozpočet'!F465</f>
        <v>1</v>
      </c>
      <c r="G463" s="55">
        <f>'Stavební rozpočet'!G465</f>
        <v>0</v>
      </c>
      <c r="H463" s="55">
        <f t="shared" si="456"/>
        <v>0</v>
      </c>
      <c r="I463" s="55">
        <f t="shared" si="457"/>
        <v>0</v>
      </c>
      <c r="J463" s="55">
        <f t="shared" si="458"/>
        <v>0</v>
      </c>
      <c r="K463" s="55">
        <f>'Stavební rozpočet'!K465</f>
        <v>0</v>
      </c>
      <c r="L463" s="55">
        <f t="shared" si="459"/>
        <v>0</v>
      </c>
      <c r="M463" s="51" t="s">
        <v>622</v>
      </c>
      <c r="Z463" s="29">
        <f t="shared" si="460"/>
        <v>0</v>
      </c>
      <c r="AB463" s="29">
        <f t="shared" si="461"/>
        <v>0</v>
      </c>
      <c r="AC463" s="29">
        <f t="shared" si="462"/>
        <v>0</v>
      </c>
      <c r="AD463" s="29">
        <f t="shared" si="463"/>
        <v>0</v>
      </c>
      <c r="AE463" s="29">
        <f t="shared" si="464"/>
        <v>0</v>
      </c>
      <c r="AF463" s="29">
        <f t="shared" si="465"/>
        <v>0</v>
      </c>
      <c r="AG463" s="29">
        <f t="shared" si="466"/>
        <v>0</v>
      </c>
      <c r="AH463" s="29">
        <f t="shared" si="467"/>
        <v>0</v>
      </c>
      <c r="AI463" s="48" t="s">
        <v>60</v>
      </c>
      <c r="AJ463" s="55">
        <f t="shared" si="468"/>
        <v>0</v>
      </c>
      <c r="AK463" s="55">
        <f t="shared" si="469"/>
        <v>0</v>
      </c>
      <c r="AL463" s="55">
        <f t="shared" si="470"/>
        <v>0</v>
      </c>
      <c r="AN463" s="29">
        <v>15</v>
      </c>
      <c r="AO463" s="29">
        <f t="shared" si="471"/>
        <v>0</v>
      </c>
      <c r="AP463" s="29">
        <f t="shared" si="472"/>
        <v>0</v>
      </c>
      <c r="AQ463" s="51" t="s">
        <v>85</v>
      </c>
      <c r="AV463" s="29">
        <f t="shared" si="473"/>
        <v>0</v>
      </c>
      <c r="AW463" s="29">
        <f t="shared" si="474"/>
        <v>0</v>
      </c>
      <c r="AX463" s="29">
        <f t="shared" si="475"/>
        <v>0</v>
      </c>
      <c r="AY463" s="54" t="s">
        <v>645</v>
      </c>
      <c r="AZ463" s="54" t="s">
        <v>1538</v>
      </c>
      <c r="BA463" s="48" t="s">
        <v>1542</v>
      </c>
      <c r="BC463" s="29">
        <f t="shared" si="476"/>
        <v>0</v>
      </c>
      <c r="BD463" s="29">
        <f t="shared" si="477"/>
        <v>0</v>
      </c>
      <c r="BE463" s="29">
        <v>0</v>
      </c>
      <c r="BF463" s="29">
        <f t="shared" si="478"/>
        <v>0</v>
      </c>
      <c r="BH463" s="55">
        <f t="shared" si="479"/>
        <v>0</v>
      </c>
      <c r="BI463" s="55">
        <f t="shared" si="480"/>
        <v>0</v>
      </c>
      <c r="BJ463" s="55">
        <f t="shared" si="481"/>
        <v>0</v>
      </c>
    </row>
    <row r="464" spans="1:62" ht="12.75">
      <c r="A464" s="36" t="s">
        <v>913</v>
      </c>
      <c r="B464" s="36" t="s">
        <v>60</v>
      </c>
      <c r="C464" s="36" t="s">
        <v>342</v>
      </c>
      <c r="D464" s="36" t="s">
        <v>534</v>
      </c>
      <c r="E464" s="36" t="s">
        <v>606</v>
      </c>
      <c r="F464" s="55">
        <f>'Stavební rozpočet'!F466</f>
        <v>4</v>
      </c>
      <c r="G464" s="55">
        <f>'Stavební rozpočet'!G466</f>
        <v>0</v>
      </c>
      <c r="H464" s="55">
        <f t="shared" si="456"/>
        <v>0</v>
      </c>
      <c r="I464" s="55">
        <f t="shared" si="457"/>
        <v>0</v>
      </c>
      <c r="J464" s="55">
        <f t="shared" si="458"/>
        <v>0</v>
      </c>
      <c r="K464" s="55">
        <f>'Stavební rozpočet'!K466</f>
        <v>0</v>
      </c>
      <c r="L464" s="55">
        <f t="shared" si="459"/>
        <v>0</v>
      </c>
      <c r="M464" s="51" t="s">
        <v>622</v>
      </c>
      <c r="Z464" s="29">
        <f t="shared" si="460"/>
        <v>0</v>
      </c>
      <c r="AB464" s="29">
        <f t="shared" si="461"/>
        <v>0</v>
      </c>
      <c r="AC464" s="29">
        <f t="shared" si="462"/>
        <v>0</v>
      </c>
      <c r="AD464" s="29">
        <f t="shared" si="463"/>
        <v>0</v>
      </c>
      <c r="AE464" s="29">
        <f t="shared" si="464"/>
        <v>0</v>
      </c>
      <c r="AF464" s="29">
        <f t="shared" si="465"/>
        <v>0</v>
      </c>
      <c r="AG464" s="29">
        <f t="shared" si="466"/>
        <v>0</v>
      </c>
      <c r="AH464" s="29">
        <f t="shared" si="467"/>
        <v>0</v>
      </c>
      <c r="AI464" s="48" t="s">
        <v>60</v>
      </c>
      <c r="AJ464" s="55">
        <f t="shared" si="468"/>
        <v>0</v>
      </c>
      <c r="AK464" s="55">
        <f t="shared" si="469"/>
        <v>0</v>
      </c>
      <c r="AL464" s="55">
        <f t="shared" si="470"/>
        <v>0</v>
      </c>
      <c r="AN464" s="29">
        <v>15</v>
      </c>
      <c r="AO464" s="29">
        <f t="shared" si="471"/>
        <v>0</v>
      </c>
      <c r="AP464" s="29">
        <f t="shared" si="472"/>
        <v>0</v>
      </c>
      <c r="AQ464" s="51" t="s">
        <v>85</v>
      </c>
      <c r="AV464" s="29">
        <f t="shared" si="473"/>
        <v>0</v>
      </c>
      <c r="AW464" s="29">
        <f t="shared" si="474"/>
        <v>0</v>
      </c>
      <c r="AX464" s="29">
        <f t="shared" si="475"/>
        <v>0</v>
      </c>
      <c r="AY464" s="54" t="s">
        <v>645</v>
      </c>
      <c r="AZ464" s="54" t="s">
        <v>1538</v>
      </c>
      <c r="BA464" s="48" t="s">
        <v>1542</v>
      </c>
      <c r="BC464" s="29">
        <f t="shared" si="476"/>
        <v>0</v>
      </c>
      <c r="BD464" s="29">
        <f t="shared" si="477"/>
        <v>0</v>
      </c>
      <c r="BE464" s="29">
        <v>0</v>
      </c>
      <c r="BF464" s="29">
        <f t="shared" si="478"/>
        <v>0</v>
      </c>
      <c r="BH464" s="55">
        <f t="shared" si="479"/>
        <v>0</v>
      </c>
      <c r="BI464" s="55">
        <f t="shared" si="480"/>
        <v>0</v>
      </c>
      <c r="BJ464" s="55">
        <f t="shared" si="481"/>
        <v>0</v>
      </c>
    </row>
    <row r="465" spans="1:62" ht="12.75">
      <c r="A465" s="36" t="s">
        <v>914</v>
      </c>
      <c r="B465" s="36" t="s">
        <v>60</v>
      </c>
      <c r="C465" s="36" t="s">
        <v>343</v>
      </c>
      <c r="D465" s="36" t="s">
        <v>535</v>
      </c>
      <c r="E465" s="36" t="s">
        <v>606</v>
      </c>
      <c r="F465" s="55">
        <f>'Stavební rozpočet'!F467</f>
        <v>1</v>
      </c>
      <c r="G465" s="55">
        <f>'Stavební rozpočet'!G467</f>
        <v>0</v>
      </c>
      <c r="H465" s="55">
        <f t="shared" si="456"/>
        <v>0</v>
      </c>
      <c r="I465" s="55">
        <f t="shared" si="457"/>
        <v>0</v>
      </c>
      <c r="J465" s="55">
        <f t="shared" si="458"/>
        <v>0</v>
      </c>
      <c r="K465" s="55">
        <f>'Stavební rozpočet'!K467</f>
        <v>0</v>
      </c>
      <c r="L465" s="55">
        <f t="shared" si="459"/>
        <v>0</v>
      </c>
      <c r="M465" s="51" t="s">
        <v>622</v>
      </c>
      <c r="Z465" s="29">
        <f t="shared" si="460"/>
        <v>0</v>
      </c>
      <c r="AB465" s="29">
        <f t="shared" si="461"/>
        <v>0</v>
      </c>
      <c r="AC465" s="29">
        <f t="shared" si="462"/>
        <v>0</v>
      </c>
      <c r="AD465" s="29">
        <f t="shared" si="463"/>
        <v>0</v>
      </c>
      <c r="AE465" s="29">
        <f t="shared" si="464"/>
        <v>0</v>
      </c>
      <c r="AF465" s="29">
        <f t="shared" si="465"/>
        <v>0</v>
      </c>
      <c r="AG465" s="29">
        <f t="shared" si="466"/>
        <v>0</v>
      </c>
      <c r="AH465" s="29">
        <f t="shared" si="467"/>
        <v>0</v>
      </c>
      <c r="AI465" s="48" t="s">
        <v>60</v>
      </c>
      <c r="AJ465" s="55">
        <f t="shared" si="468"/>
        <v>0</v>
      </c>
      <c r="AK465" s="55">
        <f t="shared" si="469"/>
        <v>0</v>
      </c>
      <c r="AL465" s="55">
        <f t="shared" si="470"/>
        <v>0</v>
      </c>
      <c r="AN465" s="29">
        <v>15</v>
      </c>
      <c r="AO465" s="29">
        <f t="shared" si="471"/>
        <v>0</v>
      </c>
      <c r="AP465" s="29">
        <f t="shared" si="472"/>
        <v>0</v>
      </c>
      <c r="AQ465" s="51" t="s">
        <v>85</v>
      </c>
      <c r="AV465" s="29">
        <f t="shared" si="473"/>
        <v>0</v>
      </c>
      <c r="AW465" s="29">
        <f t="shared" si="474"/>
        <v>0</v>
      </c>
      <c r="AX465" s="29">
        <f t="shared" si="475"/>
        <v>0</v>
      </c>
      <c r="AY465" s="54" t="s">
        <v>645</v>
      </c>
      <c r="AZ465" s="54" t="s">
        <v>1538</v>
      </c>
      <c r="BA465" s="48" t="s">
        <v>1542</v>
      </c>
      <c r="BC465" s="29">
        <f t="shared" si="476"/>
        <v>0</v>
      </c>
      <c r="BD465" s="29">
        <f t="shared" si="477"/>
        <v>0</v>
      </c>
      <c r="BE465" s="29">
        <v>0</v>
      </c>
      <c r="BF465" s="29">
        <f t="shared" si="478"/>
        <v>0</v>
      </c>
      <c r="BH465" s="55">
        <f t="shared" si="479"/>
        <v>0</v>
      </c>
      <c r="BI465" s="55">
        <f t="shared" si="480"/>
        <v>0</v>
      </c>
      <c r="BJ465" s="55">
        <f t="shared" si="481"/>
        <v>0</v>
      </c>
    </row>
    <row r="466" spans="1:62" ht="12.75">
      <c r="A466" s="36" t="s">
        <v>915</v>
      </c>
      <c r="B466" s="36" t="s">
        <v>60</v>
      </c>
      <c r="C466" s="36" t="s">
        <v>344</v>
      </c>
      <c r="D466" s="36" t="s">
        <v>536</v>
      </c>
      <c r="E466" s="36" t="s">
        <v>606</v>
      </c>
      <c r="F466" s="55">
        <f>'Stavební rozpočet'!F468</f>
        <v>1</v>
      </c>
      <c r="G466" s="55">
        <f>'Stavební rozpočet'!G468</f>
        <v>0</v>
      </c>
      <c r="H466" s="55">
        <f t="shared" si="456"/>
        <v>0</v>
      </c>
      <c r="I466" s="55">
        <f t="shared" si="457"/>
        <v>0</v>
      </c>
      <c r="J466" s="55">
        <f t="shared" si="458"/>
        <v>0</v>
      </c>
      <c r="K466" s="55">
        <f>'Stavební rozpočet'!K468</f>
        <v>0</v>
      </c>
      <c r="L466" s="55">
        <f t="shared" si="459"/>
        <v>0</v>
      </c>
      <c r="M466" s="51" t="s">
        <v>622</v>
      </c>
      <c r="Z466" s="29">
        <f t="shared" si="460"/>
        <v>0</v>
      </c>
      <c r="AB466" s="29">
        <f t="shared" si="461"/>
        <v>0</v>
      </c>
      <c r="AC466" s="29">
        <f t="shared" si="462"/>
        <v>0</v>
      </c>
      <c r="AD466" s="29">
        <f t="shared" si="463"/>
        <v>0</v>
      </c>
      <c r="AE466" s="29">
        <f t="shared" si="464"/>
        <v>0</v>
      </c>
      <c r="AF466" s="29">
        <f t="shared" si="465"/>
        <v>0</v>
      </c>
      <c r="AG466" s="29">
        <f t="shared" si="466"/>
        <v>0</v>
      </c>
      <c r="AH466" s="29">
        <f t="shared" si="467"/>
        <v>0</v>
      </c>
      <c r="AI466" s="48" t="s">
        <v>60</v>
      </c>
      <c r="AJ466" s="55">
        <f t="shared" si="468"/>
        <v>0</v>
      </c>
      <c r="AK466" s="55">
        <f t="shared" si="469"/>
        <v>0</v>
      </c>
      <c r="AL466" s="55">
        <f t="shared" si="470"/>
        <v>0</v>
      </c>
      <c r="AN466" s="29">
        <v>15</v>
      </c>
      <c r="AO466" s="29">
        <f t="shared" si="471"/>
        <v>0</v>
      </c>
      <c r="AP466" s="29">
        <f t="shared" si="472"/>
        <v>0</v>
      </c>
      <c r="AQ466" s="51" t="s">
        <v>85</v>
      </c>
      <c r="AV466" s="29">
        <f t="shared" si="473"/>
        <v>0</v>
      </c>
      <c r="AW466" s="29">
        <f t="shared" si="474"/>
        <v>0</v>
      </c>
      <c r="AX466" s="29">
        <f t="shared" si="475"/>
        <v>0</v>
      </c>
      <c r="AY466" s="54" t="s">
        <v>645</v>
      </c>
      <c r="AZ466" s="54" t="s">
        <v>1538</v>
      </c>
      <c r="BA466" s="48" t="s">
        <v>1542</v>
      </c>
      <c r="BC466" s="29">
        <f t="shared" si="476"/>
        <v>0</v>
      </c>
      <c r="BD466" s="29">
        <f t="shared" si="477"/>
        <v>0</v>
      </c>
      <c r="BE466" s="29">
        <v>0</v>
      </c>
      <c r="BF466" s="29">
        <f t="shared" si="478"/>
        <v>0</v>
      </c>
      <c r="BH466" s="55">
        <f t="shared" si="479"/>
        <v>0</v>
      </c>
      <c r="BI466" s="55">
        <f t="shared" si="480"/>
        <v>0</v>
      </c>
      <c r="BJ466" s="55">
        <f t="shared" si="481"/>
        <v>0</v>
      </c>
    </row>
    <row r="467" spans="1:62" ht="12.75">
      <c r="A467" s="36" t="s">
        <v>916</v>
      </c>
      <c r="B467" s="36" t="s">
        <v>60</v>
      </c>
      <c r="C467" s="36" t="s">
        <v>345</v>
      </c>
      <c r="D467" s="36" t="s">
        <v>537</v>
      </c>
      <c r="E467" s="36" t="s">
        <v>606</v>
      </c>
      <c r="F467" s="55">
        <f>'Stavební rozpočet'!F469</f>
        <v>1</v>
      </c>
      <c r="G467" s="55">
        <f>'Stavební rozpočet'!G469</f>
        <v>0</v>
      </c>
      <c r="H467" s="55">
        <f t="shared" si="456"/>
        <v>0</v>
      </c>
      <c r="I467" s="55">
        <f t="shared" si="457"/>
        <v>0</v>
      </c>
      <c r="J467" s="55">
        <f t="shared" si="458"/>
        <v>0</v>
      </c>
      <c r="K467" s="55">
        <f>'Stavební rozpočet'!K469</f>
        <v>0</v>
      </c>
      <c r="L467" s="55">
        <f t="shared" si="459"/>
        <v>0</v>
      </c>
      <c r="M467" s="51" t="s">
        <v>622</v>
      </c>
      <c r="Z467" s="29">
        <f t="shared" si="460"/>
        <v>0</v>
      </c>
      <c r="AB467" s="29">
        <f t="shared" si="461"/>
        <v>0</v>
      </c>
      <c r="AC467" s="29">
        <f t="shared" si="462"/>
        <v>0</v>
      </c>
      <c r="AD467" s="29">
        <f t="shared" si="463"/>
        <v>0</v>
      </c>
      <c r="AE467" s="29">
        <f t="shared" si="464"/>
        <v>0</v>
      </c>
      <c r="AF467" s="29">
        <f t="shared" si="465"/>
        <v>0</v>
      </c>
      <c r="AG467" s="29">
        <f t="shared" si="466"/>
        <v>0</v>
      </c>
      <c r="AH467" s="29">
        <f t="shared" si="467"/>
        <v>0</v>
      </c>
      <c r="AI467" s="48" t="s">
        <v>60</v>
      </c>
      <c r="AJ467" s="55">
        <f t="shared" si="468"/>
        <v>0</v>
      </c>
      <c r="AK467" s="55">
        <f t="shared" si="469"/>
        <v>0</v>
      </c>
      <c r="AL467" s="55">
        <f t="shared" si="470"/>
        <v>0</v>
      </c>
      <c r="AN467" s="29">
        <v>15</v>
      </c>
      <c r="AO467" s="29">
        <f t="shared" si="471"/>
        <v>0</v>
      </c>
      <c r="AP467" s="29">
        <f t="shared" si="472"/>
        <v>0</v>
      </c>
      <c r="AQ467" s="51" t="s">
        <v>85</v>
      </c>
      <c r="AV467" s="29">
        <f t="shared" si="473"/>
        <v>0</v>
      </c>
      <c r="AW467" s="29">
        <f t="shared" si="474"/>
        <v>0</v>
      </c>
      <c r="AX467" s="29">
        <f t="shared" si="475"/>
        <v>0</v>
      </c>
      <c r="AY467" s="54" t="s">
        <v>645</v>
      </c>
      <c r="AZ467" s="54" t="s">
        <v>1538</v>
      </c>
      <c r="BA467" s="48" t="s">
        <v>1542</v>
      </c>
      <c r="BC467" s="29">
        <f t="shared" si="476"/>
        <v>0</v>
      </c>
      <c r="BD467" s="29">
        <f t="shared" si="477"/>
        <v>0</v>
      </c>
      <c r="BE467" s="29">
        <v>0</v>
      </c>
      <c r="BF467" s="29">
        <f t="shared" si="478"/>
        <v>0</v>
      </c>
      <c r="BH467" s="55">
        <f t="shared" si="479"/>
        <v>0</v>
      </c>
      <c r="BI467" s="55">
        <f t="shared" si="480"/>
        <v>0</v>
      </c>
      <c r="BJ467" s="55">
        <f t="shared" si="481"/>
        <v>0</v>
      </c>
    </row>
    <row r="468" spans="1:62" ht="12.75">
      <c r="A468" s="36" t="s">
        <v>917</v>
      </c>
      <c r="B468" s="36" t="s">
        <v>60</v>
      </c>
      <c r="C468" s="36" t="s">
        <v>346</v>
      </c>
      <c r="D468" s="36" t="s">
        <v>538</v>
      </c>
      <c r="E468" s="36" t="s">
        <v>606</v>
      </c>
      <c r="F468" s="55">
        <f>'Stavební rozpočet'!F470</f>
        <v>2</v>
      </c>
      <c r="G468" s="55">
        <f>'Stavební rozpočet'!G470</f>
        <v>0</v>
      </c>
      <c r="H468" s="55">
        <f t="shared" si="456"/>
        <v>0</v>
      </c>
      <c r="I468" s="55">
        <f t="shared" si="457"/>
        <v>0</v>
      </c>
      <c r="J468" s="55">
        <f t="shared" si="458"/>
        <v>0</v>
      </c>
      <c r="K468" s="55">
        <f>'Stavební rozpočet'!K470</f>
        <v>0</v>
      </c>
      <c r="L468" s="55">
        <f t="shared" si="459"/>
        <v>0</v>
      </c>
      <c r="M468" s="51" t="s">
        <v>622</v>
      </c>
      <c r="Z468" s="29">
        <f t="shared" si="460"/>
        <v>0</v>
      </c>
      <c r="AB468" s="29">
        <f t="shared" si="461"/>
        <v>0</v>
      </c>
      <c r="AC468" s="29">
        <f t="shared" si="462"/>
        <v>0</v>
      </c>
      <c r="AD468" s="29">
        <f t="shared" si="463"/>
        <v>0</v>
      </c>
      <c r="AE468" s="29">
        <f t="shared" si="464"/>
        <v>0</v>
      </c>
      <c r="AF468" s="29">
        <f t="shared" si="465"/>
        <v>0</v>
      </c>
      <c r="AG468" s="29">
        <f t="shared" si="466"/>
        <v>0</v>
      </c>
      <c r="AH468" s="29">
        <f t="shared" si="467"/>
        <v>0</v>
      </c>
      <c r="AI468" s="48" t="s">
        <v>60</v>
      </c>
      <c r="AJ468" s="55">
        <f t="shared" si="468"/>
        <v>0</v>
      </c>
      <c r="AK468" s="55">
        <f t="shared" si="469"/>
        <v>0</v>
      </c>
      <c r="AL468" s="55">
        <f t="shared" si="470"/>
        <v>0</v>
      </c>
      <c r="AN468" s="29">
        <v>15</v>
      </c>
      <c r="AO468" s="29">
        <f t="shared" si="471"/>
        <v>0</v>
      </c>
      <c r="AP468" s="29">
        <f t="shared" si="472"/>
        <v>0</v>
      </c>
      <c r="AQ468" s="51" t="s">
        <v>85</v>
      </c>
      <c r="AV468" s="29">
        <f t="shared" si="473"/>
        <v>0</v>
      </c>
      <c r="AW468" s="29">
        <f t="shared" si="474"/>
        <v>0</v>
      </c>
      <c r="AX468" s="29">
        <f t="shared" si="475"/>
        <v>0</v>
      </c>
      <c r="AY468" s="54" t="s">
        <v>645</v>
      </c>
      <c r="AZ468" s="54" t="s">
        <v>1538</v>
      </c>
      <c r="BA468" s="48" t="s">
        <v>1542</v>
      </c>
      <c r="BC468" s="29">
        <f t="shared" si="476"/>
        <v>0</v>
      </c>
      <c r="BD468" s="29">
        <f t="shared" si="477"/>
        <v>0</v>
      </c>
      <c r="BE468" s="29">
        <v>0</v>
      </c>
      <c r="BF468" s="29">
        <f t="shared" si="478"/>
        <v>0</v>
      </c>
      <c r="BH468" s="55">
        <f t="shared" si="479"/>
        <v>0</v>
      </c>
      <c r="BI468" s="55">
        <f t="shared" si="480"/>
        <v>0</v>
      </c>
      <c r="BJ468" s="55">
        <f t="shared" si="481"/>
        <v>0</v>
      </c>
    </row>
    <row r="469" spans="1:62" ht="12.75">
      <c r="A469" s="36" t="s">
        <v>918</v>
      </c>
      <c r="B469" s="36" t="s">
        <v>60</v>
      </c>
      <c r="C469" s="36" t="s">
        <v>1089</v>
      </c>
      <c r="D469" s="36" t="s">
        <v>541</v>
      </c>
      <c r="E469" s="36" t="s">
        <v>606</v>
      </c>
      <c r="F469" s="55">
        <f>'Stavební rozpočet'!F471</f>
        <v>2</v>
      </c>
      <c r="G469" s="55">
        <f>'Stavební rozpočet'!G471</f>
        <v>0</v>
      </c>
      <c r="H469" s="55">
        <f t="shared" si="456"/>
        <v>0</v>
      </c>
      <c r="I469" s="55">
        <f t="shared" si="457"/>
        <v>0</v>
      </c>
      <c r="J469" s="55">
        <f t="shared" si="458"/>
        <v>0</v>
      </c>
      <c r="K469" s="55">
        <f>'Stavební rozpočet'!K471</f>
        <v>0</v>
      </c>
      <c r="L469" s="55">
        <f t="shared" si="459"/>
        <v>0</v>
      </c>
      <c r="M469" s="51" t="s">
        <v>622</v>
      </c>
      <c r="Z469" s="29">
        <f t="shared" si="460"/>
        <v>0</v>
      </c>
      <c r="AB469" s="29">
        <f t="shared" si="461"/>
        <v>0</v>
      </c>
      <c r="AC469" s="29">
        <f t="shared" si="462"/>
        <v>0</v>
      </c>
      <c r="AD469" s="29">
        <f t="shared" si="463"/>
        <v>0</v>
      </c>
      <c r="AE469" s="29">
        <f t="shared" si="464"/>
        <v>0</v>
      </c>
      <c r="AF469" s="29">
        <f t="shared" si="465"/>
        <v>0</v>
      </c>
      <c r="AG469" s="29">
        <f t="shared" si="466"/>
        <v>0</v>
      </c>
      <c r="AH469" s="29">
        <f t="shared" si="467"/>
        <v>0</v>
      </c>
      <c r="AI469" s="48" t="s">
        <v>60</v>
      </c>
      <c r="AJ469" s="55">
        <f t="shared" si="468"/>
        <v>0</v>
      </c>
      <c r="AK469" s="55">
        <f t="shared" si="469"/>
        <v>0</v>
      </c>
      <c r="AL469" s="55">
        <f t="shared" si="470"/>
        <v>0</v>
      </c>
      <c r="AN469" s="29">
        <v>15</v>
      </c>
      <c r="AO469" s="29">
        <f t="shared" si="471"/>
        <v>0</v>
      </c>
      <c r="AP469" s="29">
        <f t="shared" si="472"/>
        <v>0</v>
      </c>
      <c r="AQ469" s="51" t="s">
        <v>85</v>
      </c>
      <c r="AV469" s="29">
        <f t="shared" si="473"/>
        <v>0</v>
      </c>
      <c r="AW469" s="29">
        <f t="shared" si="474"/>
        <v>0</v>
      </c>
      <c r="AX469" s="29">
        <f t="shared" si="475"/>
        <v>0</v>
      </c>
      <c r="AY469" s="54" t="s">
        <v>645</v>
      </c>
      <c r="AZ469" s="54" t="s">
        <v>1538</v>
      </c>
      <c r="BA469" s="48" t="s">
        <v>1542</v>
      </c>
      <c r="BC469" s="29">
        <f t="shared" si="476"/>
        <v>0</v>
      </c>
      <c r="BD469" s="29">
        <f t="shared" si="477"/>
        <v>0</v>
      </c>
      <c r="BE469" s="29">
        <v>0</v>
      </c>
      <c r="BF469" s="29">
        <f t="shared" si="478"/>
        <v>0</v>
      </c>
      <c r="BH469" s="55">
        <f t="shared" si="479"/>
        <v>0</v>
      </c>
      <c r="BI469" s="55">
        <f t="shared" si="480"/>
        <v>0</v>
      </c>
      <c r="BJ469" s="55">
        <f t="shared" si="481"/>
        <v>0</v>
      </c>
    </row>
    <row r="470" spans="1:62" ht="12.75">
      <c r="A470" s="36" t="s">
        <v>919</v>
      </c>
      <c r="B470" s="36" t="s">
        <v>60</v>
      </c>
      <c r="C470" s="36" t="s">
        <v>1090</v>
      </c>
      <c r="D470" s="36" t="s">
        <v>539</v>
      </c>
      <c r="E470" s="36" t="s">
        <v>606</v>
      </c>
      <c r="F470" s="55">
        <f>'Stavební rozpočet'!F472</f>
        <v>2</v>
      </c>
      <c r="G470" s="55">
        <f>'Stavební rozpočet'!G472</f>
        <v>0</v>
      </c>
      <c r="H470" s="55">
        <f t="shared" si="456"/>
        <v>0</v>
      </c>
      <c r="I470" s="55">
        <f t="shared" si="457"/>
        <v>0</v>
      </c>
      <c r="J470" s="55">
        <f t="shared" si="458"/>
        <v>0</v>
      </c>
      <c r="K470" s="55">
        <f>'Stavební rozpočet'!K472</f>
        <v>0</v>
      </c>
      <c r="L470" s="55">
        <f t="shared" si="459"/>
        <v>0</v>
      </c>
      <c r="M470" s="51" t="s">
        <v>622</v>
      </c>
      <c r="Z470" s="29">
        <f t="shared" si="460"/>
        <v>0</v>
      </c>
      <c r="AB470" s="29">
        <f t="shared" si="461"/>
        <v>0</v>
      </c>
      <c r="AC470" s="29">
        <f t="shared" si="462"/>
        <v>0</v>
      </c>
      <c r="AD470" s="29">
        <f t="shared" si="463"/>
        <v>0</v>
      </c>
      <c r="AE470" s="29">
        <f t="shared" si="464"/>
        <v>0</v>
      </c>
      <c r="AF470" s="29">
        <f t="shared" si="465"/>
        <v>0</v>
      </c>
      <c r="AG470" s="29">
        <f t="shared" si="466"/>
        <v>0</v>
      </c>
      <c r="AH470" s="29">
        <f t="shared" si="467"/>
        <v>0</v>
      </c>
      <c r="AI470" s="48" t="s">
        <v>60</v>
      </c>
      <c r="AJ470" s="55">
        <f t="shared" si="468"/>
        <v>0</v>
      </c>
      <c r="AK470" s="55">
        <f t="shared" si="469"/>
        <v>0</v>
      </c>
      <c r="AL470" s="55">
        <f t="shared" si="470"/>
        <v>0</v>
      </c>
      <c r="AN470" s="29">
        <v>15</v>
      </c>
      <c r="AO470" s="29">
        <f t="shared" si="471"/>
        <v>0</v>
      </c>
      <c r="AP470" s="29">
        <f t="shared" si="472"/>
        <v>0</v>
      </c>
      <c r="AQ470" s="51" t="s">
        <v>85</v>
      </c>
      <c r="AV470" s="29">
        <f t="shared" si="473"/>
        <v>0</v>
      </c>
      <c r="AW470" s="29">
        <f t="shared" si="474"/>
        <v>0</v>
      </c>
      <c r="AX470" s="29">
        <f t="shared" si="475"/>
        <v>0</v>
      </c>
      <c r="AY470" s="54" t="s">
        <v>645</v>
      </c>
      <c r="AZ470" s="54" t="s">
        <v>1538</v>
      </c>
      <c r="BA470" s="48" t="s">
        <v>1542</v>
      </c>
      <c r="BC470" s="29">
        <f t="shared" si="476"/>
        <v>0</v>
      </c>
      <c r="BD470" s="29">
        <f t="shared" si="477"/>
        <v>0</v>
      </c>
      <c r="BE470" s="29">
        <v>0</v>
      </c>
      <c r="BF470" s="29">
        <f t="shared" si="478"/>
        <v>0</v>
      </c>
      <c r="BH470" s="55">
        <f t="shared" si="479"/>
        <v>0</v>
      </c>
      <c r="BI470" s="55">
        <f t="shared" si="480"/>
        <v>0</v>
      </c>
      <c r="BJ470" s="55">
        <f t="shared" si="481"/>
        <v>0</v>
      </c>
    </row>
    <row r="471" spans="1:62" ht="12.75">
      <c r="A471" s="36" t="s">
        <v>920</v>
      </c>
      <c r="B471" s="36" t="s">
        <v>60</v>
      </c>
      <c r="C471" s="36" t="s">
        <v>1091</v>
      </c>
      <c r="D471" s="36" t="s">
        <v>1399</v>
      </c>
      <c r="E471" s="36" t="s">
        <v>606</v>
      </c>
      <c r="F471" s="55">
        <f>'Stavební rozpočet'!F473</f>
        <v>4</v>
      </c>
      <c r="G471" s="55">
        <f>'Stavební rozpočet'!G473</f>
        <v>0</v>
      </c>
      <c r="H471" s="55">
        <f t="shared" si="456"/>
        <v>0</v>
      </c>
      <c r="I471" s="55">
        <f t="shared" si="457"/>
        <v>0</v>
      </c>
      <c r="J471" s="55">
        <f t="shared" si="458"/>
        <v>0</v>
      </c>
      <c r="K471" s="55">
        <f>'Stavební rozpočet'!K473</f>
        <v>0</v>
      </c>
      <c r="L471" s="55">
        <f t="shared" si="459"/>
        <v>0</v>
      </c>
      <c r="M471" s="51" t="s">
        <v>622</v>
      </c>
      <c r="Z471" s="29">
        <f t="shared" si="460"/>
        <v>0</v>
      </c>
      <c r="AB471" s="29">
        <f t="shared" si="461"/>
        <v>0</v>
      </c>
      <c r="AC471" s="29">
        <f t="shared" si="462"/>
        <v>0</v>
      </c>
      <c r="AD471" s="29">
        <f t="shared" si="463"/>
        <v>0</v>
      </c>
      <c r="AE471" s="29">
        <f t="shared" si="464"/>
        <v>0</v>
      </c>
      <c r="AF471" s="29">
        <f t="shared" si="465"/>
        <v>0</v>
      </c>
      <c r="AG471" s="29">
        <f t="shared" si="466"/>
        <v>0</v>
      </c>
      <c r="AH471" s="29">
        <f t="shared" si="467"/>
        <v>0</v>
      </c>
      <c r="AI471" s="48" t="s">
        <v>60</v>
      </c>
      <c r="AJ471" s="55">
        <f t="shared" si="468"/>
        <v>0</v>
      </c>
      <c r="AK471" s="55">
        <f t="shared" si="469"/>
        <v>0</v>
      </c>
      <c r="AL471" s="55">
        <f t="shared" si="470"/>
        <v>0</v>
      </c>
      <c r="AN471" s="29">
        <v>15</v>
      </c>
      <c r="AO471" s="29">
        <f t="shared" si="471"/>
        <v>0</v>
      </c>
      <c r="AP471" s="29">
        <f t="shared" si="472"/>
        <v>0</v>
      </c>
      <c r="AQ471" s="51" t="s">
        <v>85</v>
      </c>
      <c r="AV471" s="29">
        <f t="shared" si="473"/>
        <v>0</v>
      </c>
      <c r="AW471" s="29">
        <f t="shared" si="474"/>
        <v>0</v>
      </c>
      <c r="AX471" s="29">
        <f t="shared" si="475"/>
        <v>0</v>
      </c>
      <c r="AY471" s="54" t="s">
        <v>645</v>
      </c>
      <c r="AZ471" s="54" t="s">
        <v>1538</v>
      </c>
      <c r="BA471" s="48" t="s">
        <v>1542</v>
      </c>
      <c r="BC471" s="29">
        <f t="shared" si="476"/>
        <v>0</v>
      </c>
      <c r="BD471" s="29">
        <f t="shared" si="477"/>
        <v>0</v>
      </c>
      <c r="BE471" s="29">
        <v>0</v>
      </c>
      <c r="BF471" s="29">
        <f t="shared" si="478"/>
        <v>0</v>
      </c>
      <c r="BH471" s="55">
        <f t="shared" si="479"/>
        <v>0</v>
      </c>
      <c r="BI471" s="55">
        <f t="shared" si="480"/>
        <v>0</v>
      </c>
      <c r="BJ471" s="55">
        <f t="shared" si="481"/>
        <v>0</v>
      </c>
    </row>
    <row r="472" spans="1:62" ht="12.75">
      <c r="A472" s="36" t="s">
        <v>921</v>
      </c>
      <c r="B472" s="36" t="s">
        <v>60</v>
      </c>
      <c r="C472" s="36" t="s">
        <v>1092</v>
      </c>
      <c r="D472" s="36" t="s">
        <v>540</v>
      </c>
      <c r="E472" s="36" t="s">
        <v>606</v>
      </c>
      <c r="F472" s="55">
        <f>'Stavební rozpočet'!F474</f>
        <v>1</v>
      </c>
      <c r="G472" s="55">
        <f>'Stavební rozpočet'!G474</f>
        <v>0</v>
      </c>
      <c r="H472" s="55">
        <f t="shared" si="456"/>
        <v>0</v>
      </c>
      <c r="I472" s="55">
        <f t="shared" si="457"/>
        <v>0</v>
      </c>
      <c r="J472" s="55">
        <f t="shared" si="458"/>
        <v>0</v>
      </c>
      <c r="K472" s="55">
        <f>'Stavební rozpočet'!K474</f>
        <v>0</v>
      </c>
      <c r="L472" s="55">
        <f t="shared" si="459"/>
        <v>0</v>
      </c>
      <c r="M472" s="51" t="s">
        <v>622</v>
      </c>
      <c r="Z472" s="29">
        <f t="shared" si="460"/>
        <v>0</v>
      </c>
      <c r="AB472" s="29">
        <f t="shared" si="461"/>
        <v>0</v>
      </c>
      <c r="AC472" s="29">
        <f t="shared" si="462"/>
        <v>0</v>
      </c>
      <c r="AD472" s="29">
        <f t="shared" si="463"/>
        <v>0</v>
      </c>
      <c r="AE472" s="29">
        <f t="shared" si="464"/>
        <v>0</v>
      </c>
      <c r="AF472" s="29">
        <f t="shared" si="465"/>
        <v>0</v>
      </c>
      <c r="AG472" s="29">
        <f t="shared" si="466"/>
        <v>0</v>
      </c>
      <c r="AH472" s="29">
        <f t="shared" si="467"/>
        <v>0</v>
      </c>
      <c r="AI472" s="48" t="s">
        <v>60</v>
      </c>
      <c r="AJ472" s="55">
        <f t="shared" si="468"/>
        <v>0</v>
      </c>
      <c r="AK472" s="55">
        <f t="shared" si="469"/>
        <v>0</v>
      </c>
      <c r="AL472" s="55">
        <f t="shared" si="470"/>
        <v>0</v>
      </c>
      <c r="AN472" s="29">
        <v>15</v>
      </c>
      <c r="AO472" s="29">
        <f t="shared" si="471"/>
        <v>0</v>
      </c>
      <c r="AP472" s="29">
        <f t="shared" si="472"/>
        <v>0</v>
      </c>
      <c r="AQ472" s="51" t="s">
        <v>85</v>
      </c>
      <c r="AV472" s="29">
        <f t="shared" si="473"/>
        <v>0</v>
      </c>
      <c r="AW472" s="29">
        <f t="shared" si="474"/>
        <v>0</v>
      </c>
      <c r="AX472" s="29">
        <f t="shared" si="475"/>
        <v>0</v>
      </c>
      <c r="AY472" s="54" t="s">
        <v>645</v>
      </c>
      <c r="AZ472" s="54" t="s">
        <v>1538</v>
      </c>
      <c r="BA472" s="48" t="s">
        <v>1542</v>
      </c>
      <c r="BC472" s="29">
        <f t="shared" si="476"/>
        <v>0</v>
      </c>
      <c r="BD472" s="29">
        <f t="shared" si="477"/>
        <v>0</v>
      </c>
      <c r="BE472" s="29">
        <v>0</v>
      </c>
      <c r="BF472" s="29">
        <f t="shared" si="478"/>
        <v>0</v>
      </c>
      <c r="BH472" s="55">
        <f t="shared" si="479"/>
        <v>0</v>
      </c>
      <c r="BI472" s="55">
        <f t="shared" si="480"/>
        <v>0</v>
      </c>
      <c r="BJ472" s="55">
        <f t="shared" si="481"/>
        <v>0</v>
      </c>
    </row>
    <row r="473" spans="1:62" ht="12.75">
      <c r="A473" s="36" t="s">
        <v>922</v>
      </c>
      <c r="B473" s="36" t="s">
        <v>60</v>
      </c>
      <c r="C473" s="36" t="s">
        <v>1093</v>
      </c>
      <c r="D473" s="36" t="s">
        <v>501</v>
      </c>
      <c r="E473" s="36" t="s">
        <v>611</v>
      </c>
      <c r="F473" s="55">
        <f>'Stavební rozpočet'!F475</f>
        <v>20</v>
      </c>
      <c r="G473" s="55">
        <f>'Stavební rozpočet'!G475</f>
        <v>0</v>
      </c>
      <c r="H473" s="55">
        <f t="shared" si="456"/>
        <v>0</v>
      </c>
      <c r="I473" s="55">
        <f t="shared" si="457"/>
        <v>0</v>
      </c>
      <c r="J473" s="55">
        <f t="shared" si="458"/>
        <v>0</v>
      </c>
      <c r="K473" s="55">
        <f>'Stavební rozpočet'!K475</f>
        <v>0</v>
      </c>
      <c r="L473" s="55">
        <f t="shared" si="459"/>
        <v>0</v>
      </c>
      <c r="M473" s="51" t="s">
        <v>622</v>
      </c>
      <c r="Z473" s="29">
        <f t="shared" si="460"/>
        <v>0</v>
      </c>
      <c r="AB473" s="29">
        <f t="shared" si="461"/>
        <v>0</v>
      </c>
      <c r="AC473" s="29">
        <f t="shared" si="462"/>
        <v>0</v>
      </c>
      <c r="AD473" s="29">
        <f t="shared" si="463"/>
        <v>0</v>
      </c>
      <c r="AE473" s="29">
        <f t="shared" si="464"/>
        <v>0</v>
      </c>
      <c r="AF473" s="29">
        <f t="shared" si="465"/>
        <v>0</v>
      </c>
      <c r="AG473" s="29">
        <f t="shared" si="466"/>
        <v>0</v>
      </c>
      <c r="AH473" s="29">
        <f t="shared" si="467"/>
        <v>0</v>
      </c>
      <c r="AI473" s="48" t="s">
        <v>60</v>
      </c>
      <c r="AJ473" s="55">
        <f t="shared" si="468"/>
        <v>0</v>
      </c>
      <c r="AK473" s="55">
        <f t="shared" si="469"/>
        <v>0</v>
      </c>
      <c r="AL473" s="55">
        <f t="shared" si="470"/>
        <v>0</v>
      </c>
      <c r="AN473" s="29">
        <v>15</v>
      </c>
      <c r="AO473" s="29">
        <f t="shared" si="471"/>
        <v>0</v>
      </c>
      <c r="AP473" s="29">
        <f t="shared" si="472"/>
        <v>0</v>
      </c>
      <c r="AQ473" s="51" t="s">
        <v>85</v>
      </c>
      <c r="AV473" s="29">
        <f t="shared" si="473"/>
        <v>0</v>
      </c>
      <c r="AW473" s="29">
        <f t="shared" si="474"/>
        <v>0</v>
      </c>
      <c r="AX473" s="29">
        <f t="shared" si="475"/>
        <v>0</v>
      </c>
      <c r="AY473" s="54" t="s">
        <v>645</v>
      </c>
      <c r="AZ473" s="54" t="s">
        <v>1538</v>
      </c>
      <c r="BA473" s="48" t="s">
        <v>1542</v>
      </c>
      <c r="BC473" s="29">
        <f t="shared" si="476"/>
        <v>0</v>
      </c>
      <c r="BD473" s="29">
        <f t="shared" si="477"/>
        <v>0</v>
      </c>
      <c r="BE473" s="29">
        <v>0</v>
      </c>
      <c r="BF473" s="29">
        <f t="shared" si="478"/>
        <v>0</v>
      </c>
      <c r="BH473" s="55">
        <f t="shared" si="479"/>
        <v>0</v>
      </c>
      <c r="BI473" s="55">
        <f t="shared" si="480"/>
        <v>0</v>
      </c>
      <c r="BJ473" s="55">
        <f t="shared" si="481"/>
        <v>0</v>
      </c>
    </row>
    <row r="474" spans="1:62" ht="12.75">
      <c r="A474" s="36" t="s">
        <v>923</v>
      </c>
      <c r="B474" s="36" t="s">
        <v>60</v>
      </c>
      <c r="C474" s="36" t="s">
        <v>1094</v>
      </c>
      <c r="D474" s="36" t="s">
        <v>502</v>
      </c>
      <c r="E474" s="36" t="s">
        <v>606</v>
      </c>
      <c r="F474" s="55">
        <f>'Stavební rozpočet'!F476</f>
        <v>1</v>
      </c>
      <c r="G474" s="55">
        <f>'Stavební rozpočet'!G476</f>
        <v>0</v>
      </c>
      <c r="H474" s="55">
        <f t="shared" si="456"/>
        <v>0</v>
      </c>
      <c r="I474" s="55">
        <f t="shared" si="457"/>
        <v>0</v>
      </c>
      <c r="J474" s="55">
        <f t="shared" si="458"/>
        <v>0</v>
      </c>
      <c r="K474" s="55">
        <f>'Stavební rozpočet'!K476</f>
        <v>0</v>
      </c>
      <c r="L474" s="55">
        <f t="shared" si="459"/>
        <v>0</v>
      </c>
      <c r="M474" s="51" t="s">
        <v>622</v>
      </c>
      <c r="Z474" s="29">
        <f t="shared" si="460"/>
        <v>0</v>
      </c>
      <c r="AB474" s="29">
        <f t="shared" si="461"/>
        <v>0</v>
      </c>
      <c r="AC474" s="29">
        <f t="shared" si="462"/>
        <v>0</v>
      </c>
      <c r="AD474" s="29">
        <f t="shared" si="463"/>
        <v>0</v>
      </c>
      <c r="AE474" s="29">
        <f t="shared" si="464"/>
        <v>0</v>
      </c>
      <c r="AF474" s="29">
        <f t="shared" si="465"/>
        <v>0</v>
      </c>
      <c r="AG474" s="29">
        <f t="shared" si="466"/>
        <v>0</v>
      </c>
      <c r="AH474" s="29">
        <f t="shared" si="467"/>
        <v>0</v>
      </c>
      <c r="AI474" s="48" t="s">
        <v>60</v>
      </c>
      <c r="AJ474" s="55">
        <f t="shared" si="468"/>
        <v>0</v>
      </c>
      <c r="AK474" s="55">
        <f t="shared" si="469"/>
        <v>0</v>
      </c>
      <c r="AL474" s="55">
        <f t="shared" si="470"/>
        <v>0</v>
      </c>
      <c r="AN474" s="29">
        <v>15</v>
      </c>
      <c r="AO474" s="29">
        <f t="shared" si="471"/>
        <v>0</v>
      </c>
      <c r="AP474" s="29">
        <f t="shared" si="472"/>
        <v>0</v>
      </c>
      <c r="AQ474" s="51" t="s">
        <v>85</v>
      </c>
      <c r="AV474" s="29">
        <f t="shared" si="473"/>
        <v>0</v>
      </c>
      <c r="AW474" s="29">
        <f t="shared" si="474"/>
        <v>0</v>
      </c>
      <c r="AX474" s="29">
        <f t="shared" si="475"/>
        <v>0</v>
      </c>
      <c r="AY474" s="54" t="s">
        <v>645</v>
      </c>
      <c r="AZ474" s="54" t="s">
        <v>1538</v>
      </c>
      <c r="BA474" s="48" t="s">
        <v>1542</v>
      </c>
      <c r="BC474" s="29">
        <f t="shared" si="476"/>
        <v>0</v>
      </c>
      <c r="BD474" s="29">
        <f t="shared" si="477"/>
        <v>0</v>
      </c>
      <c r="BE474" s="29">
        <v>0</v>
      </c>
      <c r="BF474" s="29">
        <f t="shared" si="478"/>
        <v>0</v>
      </c>
      <c r="BH474" s="55">
        <f t="shared" si="479"/>
        <v>0</v>
      </c>
      <c r="BI474" s="55">
        <f t="shared" si="480"/>
        <v>0</v>
      </c>
      <c r="BJ474" s="55">
        <f t="shared" si="481"/>
        <v>0</v>
      </c>
    </row>
    <row r="475" spans="1:62" ht="12.75">
      <c r="A475" s="36" t="s">
        <v>924</v>
      </c>
      <c r="B475" s="36" t="s">
        <v>60</v>
      </c>
      <c r="C475" s="36" t="s">
        <v>1095</v>
      </c>
      <c r="D475" s="36" t="s">
        <v>543</v>
      </c>
      <c r="E475" s="36" t="s">
        <v>606</v>
      </c>
      <c r="F475" s="55">
        <f>'Stavební rozpočet'!F477</f>
        <v>1</v>
      </c>
      <c r="G475" s="55">
        <f>'Stavební rozpočet'!G477</f>
        <v>0</v>
      </c>
      <c r="H475" s="55">
        <f t="shared" si="456"/>
        <v>0</v>
      </c>
      <c r="I475" s="55">
        <f t="shared" si="457"/>
        <v>0</v>
      </c>
      <c r="J475" s="55">
        <f t="shared" si="458"/>
        <v>0</v>
      </c>
      <c r="K475" s="55">
        <f>'Stavební rozpočet'!K477</f>
        <v>0</v>
      </c>
      <c r="L475" s="55">
        <f t="shared" si="459"/>
        <v>0</v>
      </c>
      <c r="M475" s="51" t="s">
        <v>622</v>
      </c>
      <c r="Z475" s="29">
        <f t="shared" si="460"/>
        <v>0</v>
      </c>
      <c r="AB475" s="29">
        <f t="shared" si="461"/>
        <v>0</v>
      </c>
      <c r="AC475" s="29">
        <f t="shared" si="462"/>
        <v>0</v>
      </c>
      <c r="AD475" s="29">
        <f t="shared" si="463"/>
        <v>0</v>
      </c>
      <c r="AE475" s="29">
        <f t="shared" si="464"/>
        <v>0</v>
      </c>
      <c r="AF475" s="29">
        <f t="shared" si="465"/>
        <v>0</v>
      </c>
      <c r="AG475" s="29">
        <f t="shared" si="466"/>
        <v>0</v>
      </c>
      <c r="AH475" s="29">
        <f t="shared" si="467"/>
        <v>0</v>
      </c>
      <c r="AI475" s="48" t="s">
        <v>60</v>
      </c>
      <c r="AJ475" s="55">
        <f t="shared" si="468"/>
        <v>0</v>
      </c>
      <c r="AK475" s="55">
        <f t="shared" si="469"/>
        <v>0</v>
      </c>
      <c r="AL475" s="55">
        <f t="shared" si="470"/>
        <v>0</v>
      </c>
      <c r="AN475" s="29">
        <v>15</v>
      </c>
      <c r="AO475" s="29">
        <f t="shared" si="471"/>
        <v>0</v>
      </c>
      <c r="AP475" s="29">
        <f t="shared" si="472"/>
        <v>0</v>
      </c>
      <c r="AQ475" s="51" t="s">
        <v>85</v>
      </c>
      <c r="AV475" s="29">
        <f t="shared" si="473"/>
        <v>0</v>
      </c>
      <c r="AW475" s="29">
        <f t="shared" si="474"/>
        <v>0</v>
      </c>
      <c r="AX475" s="29">
        <f t="shared" si="475"/>
        <v>0</v>
      </c>
      <c r="AY475" s="54" t="s">
        <v>645</v>
      </c>
      <c r="AZ475" s="54" t="s">
        <v>1538</v>
      </c>
      <c r="BA475" s="48" t="s">
        <v>1542</v>
      </c>
      <c r="BC475" s="29">
        <f t="shared" si="476"/>
        <v>0</v>
      </c>
      <c r="BD475" s="29">
        <f t="shared" si="477"/>
        <v>0</v>
      </c>
      <c r="BE475" s="29">
        <v>0</v>
      </c>
      <c r="BF475" s="29">
        <f t="shared" si="478"/>
        <v>0</v>
      </c>
      <c r="BH475" s="55">
        <f t="shared" si="479"/>
        <v>0</v>
      </c>
      <c r="BI475" s="55">
        <f t="shared" si="480"/>
        <v>0</v>
      </c>
      <c r="BJ475" s="55">
        <f t="shared" si="481"/>
        <v>0</v>
      </c>
    </row>
    <row r="476" spans="1:62" ht="12.75">
      <c r="A476" s="36" t="s">
        <v>925</v>
      </c>
      <c r="B476" s="36" t="s">
        <v>60</v>
      </c>
      <c r="C476" s="36" t="s">
        <v>1096</v>
      </c>
      <c r="D476" s="36" t="s">
        <v>490</v>
      </c>
      <c r="E476" s="36" t="s">
        <v>606</v>
      </c>
      <c r="F476" s="55">
        <f>'Stavební rozpočet'!F478</f>
        <v>1</v>
      </c>
      <c r="G476" s="55">
        <f>'Stavební rozpočet'!G478</f>
        <v>0</v>
      </c>
      <c r="H476" s="55">
        <f t="shared" si="456"/>
        <v>0</v>
      </c>
      <c r="I476" s="55">
        <f t="shared" si="457"/>
        <v>0</v>
      </c>
      <c r="J476" s="55">
        <f t="shared" si="458"/>
        <v>0</v>
      </c>
      <c r="K476" s="55">
        <f>'Stavební rozpočet'!K478</f>
        <v>0</v>
      </c>
      <c r="L476" s="55">
        <f t="shared" si="459"/>
        <v>0</v>
      </c>
      <c r="M476" s="51" t="s">
        <v>622</v>
      </c>
      <c r="Z476" s="29">
        <f t="shared" si="460"/>
        <v>0</v>
      </c>
      <c r="AB476" s="29">
        <f t="shared" si="461"/>
        <v>0</v>
      </c>
      <c r="AC476" s="29">
        <f t="shared" si="462"/>
        <v>0</v>
      </c>
      <c r="AD476" s="29">
        <f t="shared" si="463"/>
        <v>0</v>
      </c>
      <c r="AE476" s="29">
        <f t="shared" si="464"/>
        <v>0</v>
      </c>
      <c r="AF476" s="29">
        <f t="shared" si="465"/>
        <v>0</v>
      </c>
      <c r="AG476" s="29">
        <f t="shared" si="466"/>
        <v>0</v>
      </c>
      <c r="AH476" s="29">
        <f t="shared" si="467"/>
        <v>0</v>
      </c>
      <c r="AI476" s="48" t="s">
        <v>60</v>
      </c>
      <c r="AJ476" s="55">
        <f t="shared" si="468"/>
        <v>0</v>
      </c>
      <c r="AK476" s="55">
        <f t="shared" si="469"/>
        <v>0</v>
      </c>
      <c r="AL476" s="55">
        <f t="shared" si="470"/>
        <v>0</v>
      </c>
      <c r="AN476" s="29">
        <v>15</v>
      </c>
      <c r="AO476" s="29">
        <f t="shared" si="471"/>
        <v>0</v>
      </c>
      <c r="AP476" s="29">
        <f t="shared" si="472"/>
        <v>0</v>
      </c>
      <c r="AQ476" s="51" t="s">
        <v>85</v>
      </c>
      <c r="AV476" s="29">
        <f t="shared" si="473"/>
        <v>0</v>
      </c>
      <c r="AW476" s="29">
        <f t="shared" si="474"/>
        <v>0</v>
      </c>
      <c r="AX476" s="29">
        <f t="shared" si="475"/>
        <v>0</v>
      </c>
      <c r="AY476" s="54" t="s">
        <v>645</v>
      </c>
      <c r="AZ476" s="54" t="s">
        <v>1538</v>
      </c>
      <c r="BA476" s="48" t="s">
        <v>1542</v>
      </c>
      <c r="BC476" s="29">
        <f t="shared" si="476"/>
        <v>0</v>
      </c>
      <c r="BD476" s="29">
        <f t="shared" si="477"/>
        <v>0</v>
      </c>
      <c r="BE476" s="29">
        <v>0</v>
      </c>
      <c r="BF476" s="29">
        <f t="shared" si="478"/>
        <v>0</v>
      </c>
      <c r="BH476" s="55">
        <f t="shared" si="479"/>
        <v>0</v>
      </c>
      <c r="BI476" s="55">
        <f t="shared" si="480"/>
        <v>0</v>
      </c>
      <c r="BJ476" s="55">
        <f t="shared" si="481"/>
        <v>0</v>
      </c>
    </row>
    <row r="477" spans="1:62" ht="12.75">
      <c r="A477" s="36" t="s">
        <v>926</v>
      </c>
      <c r="B477" s="36" t="s">
        <v>60</v>
      </c>
      <c r="C477" s="36" t="s">
        <v>1097</v>
      </c>
      <c r="D477" s="36" t="s">
        <v>489</v>
      </c>
      <c r="E477" s="36" t="s">
        <v>606</v>
      </c>
      <c r="F477" s="55">
        <f>'Stavební rozpočet'!F479</f>
        <v>1</v>
      </c>
      <c r="G477" s="55">
        <f>'Stavební rozpočet'!G479</f>
        <v>0</v>
      </c>
      <c r="H477" s="55">
        <f t="shared" si="456"/>
        <v>0</v>
      </c>
      <c r="I477" s="55">
        <f t="shared" si="457"/>
        <v>0</v>
      </c>
      <c r="J477" s="55">
        <f t="shared" si="458"/>
        <v>0</v>
      </c>
      <c r="K477" s="55">
        <f>'Stavební rozpočet'!K479</f>
        <v>0</v>
      </c>
      <c r="L477" s="55">
        <f t="shared" si="459"/>
        <v>0</v>
      </c>
      <c r="M477" s="51" t="s">
        <v>622</v>
      </c>
      <c r="Z477" s="29">
        <f t="shared" si="460"/>
        <v>0</v>
      </c>
      <c r="AB477" s="29">
        <f t="shared" si="461"/>
        <v>0</v>
      </c>
      <c r="AC477" s="29">
        <f t="shared" si="462"/>
        <v>0</v>
      </c>
      <c r="AD477" s="29">
        <f t="shared" si="463"/>
        <v>0</v>
      </c>
      <c r="AE477" s="29">
        <f t="shared" si="464"/>
        <v>0</v>
      </c>
      <c r="AF477" s="29">
        <f t="shared" si="465"/>
        <v>0</v>
      </c>
      <c r="AG477" s="29">
        <f t="shared" si="466"/>
        <v>0</v>
      </c>
      <c r="AH477" s="29">
        <f t="shared" si="467"/>
        <v>0</v>
      </c>
      <c r="AI477" s="48" t="s">
        <v>60</v>
      </c>
      <c r="AJ477" s="55">
        <f t="shared" si="468"/>
        <v>0</v>
      </c>
      <c r="AK477" s="55">
        <f t="shared" si="469"/>
        <v>0</v>
      </c>
      <c r="AL477" s="55">
        <f t="shared" si="470"/>
        <v>0</v>
      </c>
      <c r="AN477" s="29">
        <v>15</v>
      </c>
      <c r="AO477" s="29">
        <f t="shared" si="471"/>
        <v>0</v>
      </c>
      <c r="AP477" s="29">
        <f t="shared" si="472"/>
        <v>0</v>
      </c>
      <c r="AQ477" s="51" t="s">
        <v>85</v>
      </c>
      <c r="AV477" s="29">
        <f t="shared" si="473"/>
        <v>0</v>
      </c>
      <c r="AW477" s="29">
        <f t="shared" si="474"/>
        <v>0</v>
      </c>
      <c r="AX477" s="29">
        <f t="shared" si="475"/>
        <v>0</v>
      </c>
      <c r="AY477" s="54" t="s">
        <v>645</v>
      </c>
      <c r="AZ477" s="54" t="s">
        <v>1538</v>
      </c>
      <c r="BA477" s="48" t="s">
        <v>1542</v>
      </c>
      <c r="BC477" s="29">
        <f t="shared" si="476"/>
        <v>0</v>
      </c>
      <c r="BD477" s="29">
        <f t="shared" si="477"/>
        <v>0</v>
      </c>
      <c r="BE477" s="29">
        <v>0</v>
      </c>
      <c r="BF477" s="29">
        <f t="shared" si="478"/>
        <v>0</v>
      </c>
      <c r="BH477" s="55">
        <f t="shared" si="479"/>
        <v>0</v>
      </c>
      <c r="BI477" s="55">
        <f t="shared" si="480"/>
        <v>0</v>
      </c>
      <c r="BJ477" s="55">
        <f t="shared" si="481"/>
        <v>0</v>
      </c>
    </row>
    <row r="478" spans="1:62" ht="12.75">
      <c r="A478" s="36" t="s">
        <v>927</v>
      </c>
      <c r="B478" s="36" t="s">
        <v>60</v>
      </c>
      <c r="C478" s="36" t="s">
        <v>1098</v>
      </c>
      <c r="D478" s="36" t="s">
        <v>492</v>
      </c>
      <c r="E478" s="36" t="s">
        <v>606</v>
      </c>
      <c r="F478" s="55">
        <f>'Stavební rozpočet'!F480</f>
        <v>1</v>
      </c>
      <c r="G478" s="55">
        <f>'Stavební rozpočet'!G480</f>
        <v>0</v>
      </c>
      <c r="H478" s="55">
        <f t="shared" si="456"/>
        <v>0</v>
      </c>
      <c r="I478" s="55">
        <f t="shared" si="457"/>
        <v>0</v>
      </c>
      <c r="J478" s="55">
        <f t="shared" si="458"/>
        <v>0</v>
      </c>
      <c r="K478" s="55">
        <f>'Stavební rozpočet'!K480</f>
        <v>0</v>
      </c>
      <c r="L478" s="55">
        <f t="shared" si="459"/>
        <v>0</v>
      </c>
      <c r="M478" s="51" t="s">
        <v>622</v>
      </c>
      <c r="Z478" s="29">
        <f t="shared" si="460"/>
        <v>0</v>
      </c>
      <c r="AB478" s="29">
        <f t="shared" si="461"/>
        <v>0</v>
      </c>
      <c r="AC478" s="29">
        <f t="shared" si="462"/>
        <v>0</v>
      </c>
      <c r="AD478" s="29">
        <f t="shared" si="463"/>
        <v>0</v>
      </c>
      <c r="AE478" s="29">
        <f t="shared" si="464"/>
        <v>0</v>
      </c>
      <c r="AF478" s="29">
        <f t="shared" si="465"/>
        <v>0</v>
      </c>
      <c r="AG478" s="29">
        <f t="shared" si="466"/>
        <v>0</v>
      </c>
      <c r="AH478" s="29">
        <f t="shared" si="467"/>
        <v>0</v>
      </c>
      <c r="AI478" s="48" t="s">
        <v>60</v>
      </c>
      <c r="AJ478" s="55">
        <f t="shared" si="468"/>
        <v>0</v>
      </c>
      <c r="AK478" s="55">
        <f t="shared" si="469"/>
        <v>0</v>
      </c>
      <c r="AL478" s="55">
        <f t="shared" si="470"/>
        <v>0</v>
      </c>
      <c r="AN478" s="29">
        <v>15</v>
      </c>
      <c r="AO478" s="29">
        <f t="shared" si="471"/>
        <v>0</v>
      </c>
      <c r="AP478" s="29">
        <f t="shared" si="472"/>
        <v>0</v>
      </c>
      <c r="AQ478" s="51" t="s">
        <v>85</v>
      </c>
      <c r="AV478" s="29">
        <f t="shared" si="473"/>
        <v>0</v>
      </c>
      <c r="AW478" s="29">
        <f t="shared" si="474"/>
        <v>0</v>
      </c>
      <c r="AX478" s="29">
        <f t="shared" si="475"/>
        <v>0</v>
      </c>
      <c r="AY478" s="54" t="s">
        <v>645</v>
      </c>
      <c r="AZ478" s="54" t="s">
        <v>1538</v>
      </c>
      <c r="BA478" s="48" t="s">
        <v>1542</v>
      </c>
      <c r="BC478" s="29">
        <f t="shared" si="476"/>
        <v>0</v>
      </c>
      <c r="BD478" s="29">
        <f t="shared" si="477"/>
        <v>0</v>
      </c>
      <c r="BE478" s="29">
        <v>0</v>
      </c>
      <c r="BF478" s="29">
        <f t="shared" si="478"/>
        <v>0</v>
      </c>
      <c r="BH478" s="55">
        <f t="shared" si="479"/>
        <v>0</v>
      </c>
      <c r="BI478" s="55">
        <f t="shared" si="480"/>
        <v>0</v>
      </c>
      <c r="BJ478" s="55">
        <f t="shared" si="481"/>
        <v>0</v>
      </c>
    </row>
    <row r="479" spans="1:62" ht="12.75">
      <c r="A479" s="36" t="s">
        <v>928</v>
      </c>
      <c r="B479" s="36" t="s">
        <v>60</v>
      </c>
      <c r="C479" s="36" t="s">
        <v>1099</v>
      </c>
      <c r="D479" s="36" t="s">
        <v>493</v>
      </c>
      <c r="E479" s="36" t="s">
        <v>606</v>
      </c>
      <c r="F479" s="55">
        <f>'Stavební rozpočet'!F481</f>
        <v>1</v>
      </c>
      <c r="G479" s="55">
        <f>'Stavební rozpočet'!G481</f>
        <v>0</v>
      </c>
      <c r="H479" s="55">
        <f t="shared" si="456"/>
        <v>0</v>
      </c>
      <c r="I479" s="55">
        <f t="shared" si="457"/>
        <v>0</v>
      </c>
      <c r="J479" s="55">
        <f t="shared" si="458"/>
        <v>0</v>
      </c>
      <c r="K479" s="55">
        <f>'Stavební rozpočet'!K481</f>
        <v>0</v>
      </c>
      <c r="L479" s="55">
        <f t="shared" si="459"/>
        <v>0</v>
      </c>
      <c r="M479" s="51" t="s">
        <v>622</v>
      </c>
      <c r="Z479" s="29">
        <f t="shared" si="460"/>
        <v>0</v>
      </c>
      <c r="AB479" s="29">
        <f t="shared" si="461"/>
        <v>0</v>
      </c>
      <c r="AC479" s="29">
        <f t="shared" si="462"/>
        <v>0</v>
      </c>
      <c r="AD479" s="29">
        <f t="shared" si="463"/>
        <v>0</v>
      </c>
      <c r="AE479" s="29">
        <f t="shared" si="464"/>
        <v>0</v>
      </c>
      <c r="AF479" s="29">
        <f t="shared" si="465"/>
        <v>0</v>
      </c>
      <c r="AG479" s="29">
        <f t="shared" si="466"/>
        <v>0</v>
      </c>
      <c r="AH479" s="29">
        <f t="shared" si="467"/>
        <v>0</v>
      </c>
      <c r="AI479" s="48" t="s">
        <v>60</v>
      </c>
      <c r="AJ479" s="55">
        <f t="shared" si="468"/>
        <v>0</v>
      </c>
      <c r="AK479" s="55">
        <f t="shared" si="469"/>
        <v>0</v>
      </c>
      <c r="AL479" s="55">
        <f t="shared" si="470"/>
        <v>0</v>
      </c>
      <c r="AN479" s="29">
        <v>15</v>
      </c>
      <c r="AO479" s="29">
        <f t="shared" si="471"/>
        <v>0</v>
      </c>
      <c r="AP479" s="29">
        <f t="shared" si="472"/>
        <v>0</v>
      </c>
      <c r="AQ479" s="51" t="s">
        <v>85</v>
      </c>
      <c r="AV479" s="29">
        <f t="shared" si="473"/>
        <v>0</v>
      </c>
      <c r="AW479" s="29">
        <f t="shared" si="474"/>
        <v>0</v>
      </c>
      <c r="AX479" s="29">
        <f t="shared" si="475"/>
        <v>0</v>
      </c>
      <c r="AY479" s="54" t="s">
        <v>645</v>
      </c>
      <c r="AZ479" s="54" t="s">
        <v>1538</v>
      </c>
      <c r="BA479" s="48" t="s">
        <v>1542</v>
      </c>
      <c r="BC479" s="29">
        <f t="shared" si="476"/>
        <v>0</v>
      </c>
      <c r="BD479" s="29">
        <f t="shared" si="477"/>
        <v>0</v>
      </c>
      <c r="BE479" s="29">
        <v>0</v>
      </c>
      <c r="BF479" s="29">
        <f t="shared" si="478"/>
        <v>0</v>
      </c>
      <c r="BH479" s="55">
        <f t="shared" si="479"/>
        <v>0</v>
      </c>
      <c r="BI479" s="55">
        <f t="shared" si="480"/>
        <v>0</v>
      </c>
      <c r="BJ479" s="55">
        <f t="shared" si="481"/>
        <v>0</v>
      </c>
    </row>
    <row r="480" spans="1:47" ht="12.75">
      <c r="A480" s="35"/>
      <c r="B480" s="42" t="s">
        <v>60</v>
      </c>
      <c r="C480" s="42" t="s">
        <v>1100</v>
      </c>
      <c r="D480" s="42" t="s">
        <v>1400</v>
      </c>
      <c r="E480" s="35" t="s">
        <v>57</v>
      </c>
      <c r="F480" s="35" t="s">
        <v>57</v>
      </c>
      <c r="G480" s="35" t="s">
        <v>57</v>
      </c>
      <c r="H480" s="59">
        <f>SUM(H481:H487)</f>
        <v>0</v>
      </c>
      <c r="I480" s="59">
        <f>SUM(I481:I487)</f>
        <v>0</v>
      </c>
      <c r="J480" s="59">
        <f>SUM(J481:J487)</f>
        <v>0</v>
      </c>
      <c r="K480" s="48"/>
      <c r="L480" s="59">
        <f>SUM(L481:L487)</f>
        <v>0.7449999999999999</v>
      </c>
      <c r="M480" s="48"/>
      <c r="AI480" s="48" t="s">
        <v>60</v>
      </c>
      <c r="AS480" s="59">
        <f>SUM(AJ481:AJ487)</f>
        <v>0</v>
      </c>
      <c r="AT480" s="59">
        <f>SUM(AK481:AK487)</f>
        <v>0</v>
      </c>
      <c r="AU480" s="59">
        <f>SUM(AL481:AL487)</f>
        <v>0</v>
      </c>
    </row>
    <row r="481" spans="1:62" ht="12.75">
      <c r="A481" s="36" t="s">
        <v>929</v>
      </c>
      <c r="B481" s="36" t="s">
        <v>60</v>
      </c>
      <c r="C481" s="36" t="s">
        <v>1101</v>
      </c>
      <c r="D481" s="36" t="s">
        <v>1401</v>
      </c>
      <c r="E481" s="36" t="s">
        <v>606</v>
      </c>
      <c r="F481" s="55">
        <f>'Stavební rozpočet'!F483</f>
        <v>0</v>
      </c>
      <c r="G481" s="55">
        <f>'Stavební rozpočet'!G483</f>
        <v>0</v>
      </c>
      <c r="H481" s="55">
        <f aca="true" t="shared" si="482" ref="H481:H487">F481*AO481</f>
        <v>0</v>
      </c>
      <c r="I481" s="55">
        <f aca="true" t="shared" si="483" ref="I481:I487">F481*AP481</f>
        <v>0</v>
      </c>
      <c r="J481" s="55">
        <f aca="true" t="shared" si="484" ref="J481:J487">F481*G481</f>
        <v>0</v>
      </c>
      <c r="K481" s="55">
        <f>'Stavební rozpočet'!K483</f>
        <v>0.058</v>
      </c>
      <c r="L481" s="55">
        <f aca="true" t="shared" si="485" ref="L481:L487">F481*K481</f>
        <v>0</v>
      </c>
      <c r="M481" s="51" t="s">
        <v>622</v>
      </c>
      <c r="Z481" s="29">
        <f aca="true" t="shared" si="486" ref="Z481:Z487">IF(AQ481="5",BJ481,0)</f>
        <v>0</v>
      </c>
      <c r="AB481" s="29">
        <f aca="true" t="shared" si="487" ref="AB481:AB487">IF(AQ481="1",BH481,0)</f>
        <v>0</v>
      </c>
      <c r="AC481" s="29">
        <f aca="true" t="shared" si="488" ref="AC481:AC487">IF(AQ481="1",BI481,0)</f>
        <v>0</v>
      </c>
      <c r="AD481" s="29">
        <f aca="true" t="shared" si="489" ref="AD481:AD487">IF(AQ481="7",BH481,0)</f>
        <v>0</v>
      </c>
      <c r="AE481" s="29">
        <f aca="true" t="shared" si="490" ref="AE481:AE487">IF(AQ481="7",BI481,0)</f>
        <v>0</v>
      </c>
      <c r="AF481" s="29">
        <f aca="true" t="shared" si="491" ref="AF481:AF487">IF(AQ481="2",BH481,0)</f>
        <v>0</v>
      </c>
      <c r="AG481" s="29">
        <f aca="true" t="shared" si="492" ref="AG481:AG487">IF(AQ481="2",BI481,0)</f>
        <v>0</v>
      </c>
      <c r="AH481" s="29">
        <f aca="true" t="shared" si="493" ref="AH481:AH487">IF(AQ481="0",BJ481,0)</f>
        <v>0</v>
      </c>
      <c r="AI481" s="48" t="s">
        <v>60</v>
      </c>
      <c r="AJ481" s="55">
        <f aca="true" t="shared" si="494" ref="AJ481:AJ487">IF(AN481=0,J481,0)</f>
        <v>0</v>
      </c>
      <c r="AK481" s="55">
        <f aca="true" t="shared" si="495" ref="AK481:AK487">IF(AN481=15,J481,0)</f>
        <v>0</v>
      </c>
      <c r="AL481" s="55">
        <f aca="true" t="shared" si="496" ref="AL481:AL487">IF(AN481=21,J481,0)</f>
        <v>0</v>
      </c>
      <c r="AN481" s="29">
        <v>15</v>
      </c>
      <c r="AO481" s="29">
        <f aca="true" t="shared" si="497" ref="AO481:AO487">G481*0</f>
        <v>0</v>
      </c>
      <c r="AP481" s="29">
        <f aca="true" t="shared" si="498" ref="AP481:AP487">G481*(1-0)</f>
        <v>0</v>
      </c>
      <c r="AQ481" s="51" t="s">
        <v>85</v>
      </c>
      <c r="AV481" s="29">
        <f aca="true" t="shared" si="499" ref="AV481:AV487">AW481+AX481</f>
        <v>0</v>
      </c>
      <c r="AW481" s="29">
        <f aca="true" t="shared" si="500" ref="AW481:AW487">F481*AO481</f>
        <v>0</v>
      </c>
      <c r="AX481" s="29">
        <f aca="true" t="shared" si="501" ref="AX481:AX487">F481*AP481</f>
        <v>0</v>
      </c>
      <c r="AY481" s="54" t="s">
        <v>1530</v>
      </c>
      <c r="AZ481" s="54" t="s">
        <v>1539</v>
      </c>
      <c r="BA481" s="48" t="s">
        <v>1542</v>
      </c>
      <c r="BC481" s="29">
        <f aca="true" t="shared" si="502" ref="BC481:BC487">AW481+AX481</f>
        <v>0</v>
      </c>
      <c r="BD481" s="29">
        <f aca="true" t="shared" si="503" ref="BD481:BD487">G481/(100-BE481)*100</f>
        <v>0</v>
      </c>
      <c r="BE481" s="29">
        <v>0</v>
      </c>
      <c r="BF481" s="29">
        <f aca="true" t="shared" si="504" ref="BF481:BF487">L481</f>
        <v>0</v>
      </c>
      <c r="BH481" s="55">
        <f aca="true" t="shared" si="505" ref="BH481:BH487">F481*AO481</f>
        <v>0</v>
      </c>
      <c r="BI481" s="55">
        <f aca="true" t="shared" si="506" ref="BI481:BI487">F481*AP481</f>
        <v>0</v>
      </c>
      <c r="BJ481" s="55">
        <f aca="true" t="shared" si="507" ref="BJ481:BJ487">F481*G481</f>
        <v>0</v>
      </c>
    </row>
    <row r="482" spans="1:62" ht="12.75">
      <c r="A482" s="36" t="s">
        <v>930</v>
      </c>
      <c r="B482" s="36" t="s">
        <v>60</v>
      </c>
      <c r="C482" s="36" t="s">
        <v>1102</v>
      </c>
      <c r="D482" s="36" t="s">
        <v>1403</v>
      </c>
      <c r="E482" s="36" t="s">
        <v>606</v>
      </c>
      <c r="F482" s="55">
        <f>'Stavební rozpočet'!F484</f>
        <v>8</v>
      </c>
      <c r="G482" s="55">
        <f>'Stavební rozpočet'!G484</f>
        <v>0</v>
      </c>
      <c r="H482" s="55">
        <f t="shared" si="482"/>
        <v>0</v>
      </c>
      <c r="I482" s="55">
        <f t="shared" si="483"/>
        <v>0</v>
      </c>
      <c r="J482" s="55">
        <f t="shared" si="484"/>
        <v>0</v>
      </c>
      <c r="K482" s="55">
        <f>'Stavební rozpočet'!K484</f>
        <v>0.06</v>
      </c>
      <c r="L482" s="55">
        <f t="shared" si="485"/>
        <v>0.48</v>
      </c>
      <c r="M482" s="51" t="s">
        <v>622</v>
      </c>
      <c r="Z482" s="29">
        <f t="shared" si="486"/>
        <v>0</v>
      </c>
      <c r="AB482" s="29">
        <f t="shared" si="487"/>
        <v>0</v>
      </c>
      <c r="AC482" s="29">
        <f t="shared" si="488"/>
        <v>0</v>
      </c>
      <c r="AD482" s="29">
        <f t="shared" si="489"/>
        <v>0</v>
      </c>
      <c r="AE482" s="29">
        <f t="shared" si="490"/>
        <v>0</v>
      </c>
      <c r="AF482" s="29">
        <f t="shared" si="491"/>
        <v>0</v>
      </c>
      <c r="AG482" s="29">
        <f t="shared" si="492"/>
        <v>0</v>
      </c>
      <c r="AH482" s="29">
        <f t="shared" si="493"/>
        <v>0</v>
      </c>
      <c r="AI482" s="48" t="s">
        <v>60</v>
      </c>
      <c r="AJ482" s="55">
        <f t="shared" si="494"/>
        <v>0</v>
      </c>
      <c r="AK482" s="55">
        <f t="shared" si="495"/>
        <v>0</v>
      </c>
      <c r="AL482" s="55">
        <f t="shared" si="496"/>
        <v>0</v>
      </c>
      <c r="AN482" s="29">
        <v>15</v>
      </c>
      <c r="AO482" s="29">
        <f t="shared" si="497"/>
        <v>0</v>
      </c>
      <c r="AP482" s="29">
        <f t="shared" si="498"/>
        <v>0</v>
      </c>
      <c r="AQ482" s="51" t="s">
        <v>85</v>
      </c>
      <c r="AV482" s="29">
        <f t="shared" si="499"/>
        <v>0</v>
      </c>
      <c r="AW482" s="29">
        <f t="shared" si="500"/>
        <v>0</v>
      </c>
      <c r="AX482" s="29">
        <f t="shared" si="501"/>
        <v>0</v>
      </c>
      <c r="AY482" s="54" t="s">
        <v>1530</v>
      </c>
      <c r="AZ482" s="54" t="s">
        <v>1539</v>
      </c>
      <c r="BA482" s="48" t="s">
        <v>1542</v>
      </c>
      <c r="BC482" s="29">
        <f t="shared" si="502"/>
        <v>0</v>
      </c>
      <c r="BD482" s="29">
        <f t="shared" si="503"/>
        <v>0</v>
      </c>
      <c r="BE482" s="29">
        <v>0</v>
      </c>
      <c r="BF482" s="29">
        <f t="shared" si="504"/>
        <v>0.48</v>
      </c>
      <c r="BH482" s="55">
        <f t="shared" si="505"/>
        <v>0</v>
      </c>
      <c r="BI482" s="55">
        <f t="shared" si="506"/>
        <v>0</v>
      </c>
      <c r="BJ482" s="55">
        <f t="shared" si="507"/>
        <v>0</v>
      </c>
    </row>
    <row r="483" spans="1:62" ht="12.75">
      <c r="A483" s="36" t="s">
        <v>931</v>
      </c>
      <c r="B483" s="36" t="s">
        <v>60</v>
      </c>
      <c r="C483" s="36" t="s">
        <v>1103</v>
      </c>
      <c r="D483" s="36" t="s">
        <v>1405</v>
      </c>
      <c r="E483" s="36" t="s">
        <v>606</v>
      </c>
      <c r="F483" s="55">
        <f>'Stavební rozpočet'!F485</f>
        <v>1</v>
      </c>
      <c r="G483" s="55">
        <f>'Stavební rozpočet'!G485</f>
        <v>0</v>
      </c>
      <c r="H483" s="55">
        <f t="shared" si="482"/>
        <v>0</v>
      </c>
      <c r="I483" s="55">
        <f t="shared" si="483"/>
        <v>0</v>
      </c>
      <c r="J483" s="55">
        <f t="shared" si="484"/>
        <v>0</v>
      </c>
      <c r="K483" s="55">
        <f>'Stavební rozpočet'!K485</f>
        <v>0.065</v>
      </c>
      <c r="L483" s="55">
        <f t="shared" si="485"/>
        <v>0.065</v>
      </c>
      <c r="M483" s="51" t="s">
        <v>622</v>
      </c>
      <c r="Z483" s="29">
        <f t="shared" si="486"/>
        <v>0</v>
      </c>
      <c r="AB483" s="29">
        <f t="shared" si="487"/>
        <v>0</v>
      </c>
      <c r="AC483" s="29">
        <f t="shared" si="488"/>
        <v>0</v>
      </c>
      <c r="AD483" s="29">
        <f t="shared" si="489"/>
        <v>0</v>
      </c>
      <c r="AE483" s="29">
        <f t="shared" si="490"/>
        <v>0</v>
      </c>
      <c r="AF483" s="29">
        <f t="shared" si="491"/>
        <v>0</v>
      </c>
      <c r="AG483" s="29">
        <f t="shared" si="492"/>
        <v>0</v>
      </c>
      <c r="AH483" s="29">
        <f t="shared" si="493"/>
        <v>0</v>
      </c>
      <c r="AI483" s="48" t="s">
        <v>60</v>
      </c>
      <c r="AJ483" s="55">
        <f t="shared" si="494"/>
        <v>0</v>
      </c>
      <c r="AK483" s="55">
        <f t="shared" si="495"/>
        <v>0</v>
      </c>
      <c r="AL483" s="55">
        <f t="shared" si="496"/>
        <v>0</v>
      </c>
      <c r="AN483" s="29">
        <v>15</v>
      </c>
      <c r="AO483" s="29">
        <f t="shared" si="497"/>
        <v>0</v>
      </c>
      <c r="AP483" s="29">
        <f t="shared" si="498"/>
        <v>0</v>
      </c>
      <c r="AQ483" s="51" t="s">
        <v>85</v>
      </c>
      <c r="AV483" s="29">
        <f t="shared" si="499"/>
        <v>0</v>
      </c>
      <c r="AW483" s="29">
        <f t="shared" si="500"/>
        <v>0</v>
      </c>
      <c r="AX483" s="29">
        <f t="shared" si="501"/>
        <v>0</v>
      </c>
      <c r="AY483" s="54" t="s">
        <v>1530</v>
      </c>
      <c r="AZ483" s="54" t="s">
        <v>1539</v>
      </c>
      <c r="BA483" s="48" t="s">
        <v>1542</v>
      </c>
      <c r="BC483" s="29">
        <f t="shared" si="502"/>
        <v>0</v>
      </c>
      <c r="BD483" s="29">
        <f t="shared" si="503"/>
        <v>0</v>
      </c>
      <c r="BE483" s="29">
        <v>0</v>
      </c>
      <c r="BF483" s="29">
        <f t="shared" si="504"/>
        <v>0.065</v>
      </c>
      <c r="BH483" s="55">
        <f t="shared" si="505"/>
        <v>0</v>
      </c>
      <c r="BI483" s="55">
        <f t="shared" si="506"/>
        <v>0</v>
      </c>
      <c r="BJ483" s="55">
        <f t="shared" si="507"/>
        <v>0</v>
      </c>
    </row>
    <row r="484" spans="1:62" ht="12.75">
      <c r="A484" s="36" t="s">
        <v>932</v>
      </c>
      <c r="B484" s="36" t="s">
        <v>60</v>
      </c>
      <c r="C484" s="36" t="s">
        <v>1104</v>
      </c>
      <c r="D484" s="36" t="s">
        <v>1406</v>
      </c>
      <c r="E484" s="36" t="s">
        <v>606</v>
      </c>
      <c r="F484" s="55">
        <f>'Stavební rozpočet'!F486</f>
        <v>2</v>
      </c>
      <c r="G484" s="55">
        <f>'Stavební rozpočet'!G486</f>
        <v>0</v>
      </c>
      <c r="H484" s="55">
        <f t="shared" si="482"/>
        <v>0</v>
      </c>
      <c r="I484" s="55">
        <f t="shared" si="483"/>
        <v>0</v>
      </c>
      <c r="J484" s="55">
        <f t="shared" si="484"/>
        <v>0</v>
      </c>
      <c r="K484" s="55">
        <f>'Stavební rozpočet'!K486</f>
        <v>0.07</v>
      </c>
      <c r="L484" s="55">
        <f t="shared" si="485"/>
        <v>0.14</v>
      </c>
      <c r="M484" s="51" t="s">
        <v>622</v>
      </c>
      <c r="Z484" s="29">
        <f t="shared" si="486"/>
        <v>0</v>
      </c>
      <c r="AB484" s="29">
        <f t="shared" si="487"/>
        <v>0</v>
      </c>
      <c r="AC484" s="29">
        <f t="shared" si="488"/>
        <v>0</v>
      </c>
      <c r="AD484" s="29">
        <f t="shared" si="489"/>
        <v>0</v>
      </c>
      <c r="AE484" s="29">
        <f t="shared" si="490"/>
        <v>0</v>
      </c>
      <c r="AF484" s="29">
        <f t="shared" si="491"/>
        <v>0</v>
      </c>
      <c r="AG484" s="29">
        <f t="shared" si="492"/>
        <v>0</v>
      </c>
      <c r="AH484" s="29">
        <f t="shared" si="493"/>
        <v>0</v>
      </c>
      <c r="AI484" s="48" t="s">
        <v>60</v>
      </c>
      <c r="AJ484" s="55">
        <f t="shared" si="494"/>
        <v>0</v>
      </c>
      <c r="AK484" s="55">
        <f t="shared" si="495"/>
        <v>0</v>
      </c>
      <c r="AL484" s="55">
        <f t="shared" si="496"/>
        <v>0</v>
      </c>
      <c r="AN484" s="29">
        <v>15</v>
      </c>
      <c r="AO484" s="29">
        <f t="shared" si="497"/>
        <v>0</v>
      </c>
      <c r="AP484" s="29">
        <f t="shared" si="498"/>
        <v>0</v>
      </c>
      <c r="AQ484" s="51" t="s">
        <v>85</v>
      </c>
      <c r="AV484" s="29">
        <f t="shared" si="499"/>
        <v>0</v>
      </c>
      <c r="AW484" s="29">
        <f t="shared" si="500"/>
        <v>0</v>
      </c>
      <c r="AX484" s="29">
        <f t="shared" si="501"/>
        <v>0</v>
      </c>
      <c r="AY484" s="54" t="s">
        <v>1530</v>
      </c>
      <c r="AZ484" s="54" t="s">
        <v>1539</v>
      </c>
      <c r="BA484" s="48" t="s">
        <v>1542</v>
      </c>
      <c r="BC484" s="29">
        <f t="shared" si="502"/>
        <v>0</v>
      </c>
      <c r="BD484" s="29">
        <f t="shared" si="503"/>
        <v>0</v>
      </c>
      <c r="BE484" s="29">
        <v>0</v>
      </c>
      <c r="BF484" s="29">
        <f t="shared" si="504"/>
        <v>0.14</v>
      </c>
      <c r="BH484" s="55">
        <f t="shared" si="505"/>
        <v>0</v>
      </c>
      <c r="BI484" s="55">
        <f t="shared" si="506"/>
        <v>0</v>
      </c>
      <c r="BJ484" s="55">
        <f t="shared" si="507"/>
        <v>0</v>
      </c>
    </row>
    <row r="485" spans="1:62" ht="12.75">
      <c r="A485" s="36" t="s">
        <v>933</v>
      </c>
      <c r="B485" s="36" t="s">
        <v>60</v>
      </c>
      <c r="C485" s="36" t="s">
        <v>1105</v>
      </c>
      <c r="D485" s="36" t="s">
        <v>1407</v>
      </c>
      <c r="E485" s="36" t="s">
        <v>606</v>
      </c>
      <c r="F485" s="55">
        <f>'Stavební rozpočet'!F487</f>
        <v>1</v>
      </c>
      <c r="G485" s="55">
        <f>'Stavební rozpočet'!G487</f>
        <v>0</v>
      </c>
      <c r="H485" s="55">
        <f t="shared" si="482"/>
        <v>0</v>
      </c>
      <c r="I485" s="55">
        <f t="shared" si="483"/>
        <v>0</v>
      </c>
      <c r="J485" s="55">
        <f t="shared" si="484"/>
        <v>0</v>
      </c>
      <c r="K485" s="55">
        <f>'Stavební rozpočet'!K487</f>
        <v>0.06</v>
      </c>
      <c r="L485" s="55">
        <f t="shared" si="485"/>
        <v>0.06</v>
      </c>
      <c r="M485" s="51" t="s">
        <v>622</v>
      </c>
      <c r="Z485" s="29">
        <f t="shared" si="486"/>
        <v>0</v>
      </c>
      <c r="AB485" s="29">
        <f t="shared" si="487"/>
        <v>0</v>
      </c>
      <c r="AC485" s="29">
        <f t="shared" si="488"/>
        <v>0</v>
      </c>
      <c r="AD485" s="29">
        <f t="shared" si="489"/>
        <v>0</v>
      </c>
      <c r="AE485" s="29">
        <f t="shared" si="490"/>
        <v>0</v>
      </c>
      <c r="AF485" s="29">
        <f t="shared" si="491"/>
        <v>0</v>
      </c>
      <c r="AG485" s="29">
        <f t="shared" si="492"/>
        <v>0</v>
      </c>
      <c r="AH485" s="29">
        <f t="shared" si="493"/>
        <v>0</v>
      </c>
      <c r="AI485" s="48" t="s">
        <v>60</v>
      </c>
      <c r="AJ485" s="55">
        <f t="shared" si="494"/>
        <v>0</v>
      </c>
      <c r="AK485" s="55">
        <f t="shared" si="495"/>
        <v>0</v>
      </c>
      <c r="AL485" s="55">
        <f t="shared" si="496"/>
        <v>0</v>
      </c>
      <c r="AN485" s="29">
        <v>15</v>
      </c>
      <c r="AO485" s="29">
        <f t="shared" si="497"/>
        <v>0</v>
      </c>
      <c r="AP485" s="29">
        <f t="shared" si="498"/>
        <v>0</v>
      </c>
      <c r="AQ485" s="51" t="s">
        <v>85</v>
      </c>
      <c r="AV485" s="29">
        <f t="shared" si="499"/>
        <v>0</v>
      </c>
      <c r="AW485" s="29">
        <f t="shared" si="500"/>
        <v>0</v>
      </c>
      <c r="AX485" s="29">
        <f t="shared" si="501"/>
        <v>0</v>
      </c>
      <c r="AY485" s="54" t="s">
        <v>1530</v>
      </c>
      <c r="AZ485" s="54" t="s">
        <v>1539</v>
      </c>
      <c r="BA485" s="48" t="s">
        <v>1542</v>
      </c>
      <c r="BC485" s="29">
        <f t="shared" si="502"/>
        <v>0</v>
      </c>
      <c r="BD485" s="29">
        <f t="shared" si="503"/>
        <v>0</v>
      </c>
      <c r="BE485" s="29">
        <v>0</v>
      </c>
      <c r="BF485" s="29">
        <f t="shared" si="504"/>
        <v>0.06</v>
      </c>
      <c r="BH485" s="55">
        <f t="shared" si="505"/>
        <v>0</v>
      </c>
      <c r="BI485" s="55">
        <f t="shared" si="506"/>
        <v>0</v>
      </c>
      <c r="BJ485" s="55">
        <f t="shared" si="507"/>
        <v>0</v>
      </c>
    </row>
    <row r="486" spans="1:62" ht="12.75">
      <c r="A486" s="36" t="s">
        <v>934</v>
      </c>
      <c r="B486" s="36" t="s">
        <v>60</v>
      </c>
      <c r="C486" s="36" t="s">
        <v>1106</v>
      </c>
      <c r="D486" s="36" t="s">
        <v>1409</v>
      </c>
      <c r="E486" s="36" t="s">
        <v>606</v>
      </c>
      <c r="F486" s="55">
        <f>'Stavební rozpočet'!F488</f>
        <v>0</v>
      </c>
      <c r="G486" s="55">
        <f>'Stavební rozpočet'!G488</f>
        <v>0</v>
      </c>
      <c r="H486" s="55">
        <f t="shared" si="482"/>
        <v>0</v>
      </c>
      <c r="I486" s="55">
        <f t="shared" si="483"/>
        <v>0</v>
      </c>
      <c r="J486" s="55">
        <f t="shared" si="484"/>
        <v>0</v>
      </c>
      <c r="K486" s="55">
        <f>'Stavební rozpočet'!K488</f>
        <v>0.15</v>
      </c>
      <c r="L486" s="55">
        <f t="shared" si="485"/>
        <v>0</v>
      </c>
      <c r="M486" s="51" t="s">
        <v>622</v>
      </c>
      <c r="Z486" s="29">
        <f t="shared" si="486"/>
        <v>0</v>
      </c>
      <c r="AB486" s="29">
        <f t="shared" si="487"/>
        <v>0</v>
      </c>
      <c r="AC486" s="29">
        <f t="shared" si="488"/>
        <v>0</v>
      </c>
      <c r="AD486" s="29">
        <f t="shared" si="489"/>
        <v>0</v>
      </c>
      <c r="AE486" s="29">
        <f t="shared" si="490"/>
        <v>0</v>
      </c>
      <c r="AF486" s="29">
        <f t="shared" si="491"/>
        <v>0</v>
      </c>
      <c r="AG486" s="29">
        <f t="shared" si="492"/>
        <v>0</v>
      </c>
      <c r="AH486" s="29">
        <f t="shared" si="493"/>
        <v>0</v>
      </c>
      <c r="AI486" s="48" t="s">
        <v>60</v>
      </c>
      <c r="AJ486" s="55">
        <f t="shared" si="494"/>
        <v>0</v>
      </c>
      <c r="AK486" s="55">
        <f t="shared" si="495"/>
        <v>0</v>
      </c>
      <c r="AL486" s="55">
        <f t="shared" si="496"/>
        <v>0</v>
      </c>
      <c r="AN486" s="29">
        <v>15</v>
      </c>
      <c r="AO486" s="29">
        <f t="shared" si="497"/>
        <v>0</v>
      </c>
      <c r="AP486" s="29">
        <f t="shared" si="498"/>
        <v>0</v>
      </c>
      <c r="AQ486" s="51" t="s">
        <v>85</v>
      </c>
      <c r="AV486" s="29">
        <f t="shared" si="499"/>
        <v>0</v>
      </c>
      <c r="AW486" s="29">
        <f t="shared" si="500"/>
        <v>0</v>
      </c>
      <c r="AX486" s="29">
        <f t="shared" si="501"/>
        <v>0</v>
      </c>
      <c r="AY486" s="54" t="s">
        <v>1530</v>
      </c>
      <c r="AZ486" s="54" t="s">
        <v>1539</v>
      </c>
      <c r="BA486" s="48" t="s">
        <v>1542</v>
      </c>
      <c r="BC486" s="29">
        <f t="shared" si="502"/>
        <v>0</v>
      </c>
      <c r="BD486" s="29">
        <f t="shared" si="503"/>
        <v>0</v>
      </c>
      <c r="BE486" s="29">
        <v>0</v>
      </c>
      <c r="BF486" s="29">
        <f t="shared" si="504"/>
        <v>0</v>
      </c>
      <c r="BH486" s="55">
        <f t="shared" si="505"/>
        <v>0</v>
      </c>
      <c r="BI486" s="55">
        <f t="shared" si="506"/>
        <v>0</v>
      </c>
      <c r="BJ486" s="55">
        <f t="shared" si="507"/>
        <v>0</v>
      </c>
    </row>
    <row r="487" spans="1:62" ht="12.75">
      <c r="A487" s="36" t="s">
        <v>935</v>
      </c>
      <c r="B487" s="36" t="s">
        <v>60</v>
      </c>
      <c r="C487" s="36" t="s">
        <v>1107</v>
      </c>
      <c r="D487" s="36" t="s">
        <v>1410</v>
      </c>
      <c r="E487" s="36" t="s">
        <v>612</v>
      </c>
      <c r="F487" s="55">
        <f>'Stavební rozpočet'!F489</f>
        <v>0.75</v>
      </c>
      <c r="G487" s="55">
        <f>'Stavební rozpočet'!G489</f>
        <v>0</v>
      </c>
      <c r="H487" s="55">
        <f t="shared" si="482"/>
        <v>0</v>
      </c>
      <c r="I487" s="55">
        <f t="shared" si="483"/>
        <v>0</v>
      </c>
      <c r="J487" s="55">
        <f t="shared" si="484"/>
        <v>0</v>
      </c>
      <c r="K487" s="55">
        <f>'Stavební rozpočet'!K489</f>
        <v>0</v>
      </c>
      <c r="L487" s="55">
        <f t="shared" si="485"/>
        <v>0</v>
      </c>
      <c r="M487" s="51" t="s">
        <v>622</v>
      </c>
      <c r="Z487" s="29">
        <f t="shared" si="486"/>
        <v>0</v>
      </c>
      <c r="AB487" s="29">
        <f t="shared" si="487"/>
        <v>0</v>
      </c>
      <c r="AC487" s="29">
        <f t="shared" si="488"/>
        <v>0</v>
      </c>
      <c r="AD487" s="29">
        <f t="shared" si="489"/>
        <v>0</v>
      </c>
      <c r="AE487" s="29">
        <f t="shared" si="490"/>
        <v>0</v>
      </c>
      <c r="AF487" s="29">
        <f t="shared" si="491"/>
        <v>0</v>
      </c>
      <c r="AG487" s="29">
        <f t="shared" si="492"/>
        <v>0</v>
      </c>
      <c r="AH487" s="29">
        <f t="shared" si="493"/>
        <v>0</v>
      </c>
      <c r="AI487" s="48" t="s">
        <v>60</v>
      </c>
      <c r="AJ487" s="55">
        <f t="shared" si="494"/>
        <v>0</v>
      </c>
      <c r="AK487" s="55">
        <f t="shared" si="495"/>
        <v>0</v>
      </c>
      <c r="AL487" s="55">
        <f t="shared" si="496"/>
        <v>0</v>
      </c>
      <c r="AN487" s="29">
        <v>15</v>
      </c>
      <c r="AO487" s="29">
        <f t="shared" si="497"/>
        <v>0</v>
      </c>
      <c r="AP487" s="29">
        <f t="shared" si="498"/>
        <v>0</v>
      </c>
      <c r="AQ487" s="51" t="s">
        <v>83</v>
      </c>
      <c r="AV487" s="29">
        <f t="shared" si="499"/>
        <v>0</v>
      </c>
      <c r="AW487" s="29">
        <f t="shared" si="500"/>
        <v>0</v>
      </c>
      <c r="AX487" s="29">
        <f t="shared" si="501"/>
        <v>0</v>
      </c>
      <c r="AY487" s="54" t="s">
        <v>1530</v>
      </c>
      <c r="AZ487" s="54" t="s">
        <v>1539</v>
      </c>
      <c r="BA487" s="48" t="s">
        <v>1542</v>
      </c>
      <c r="BC487" s="29">
        <f t="shared" si="502"/>
        <v>0</v>
      </c>
      <c r="BD487" s="29">
        <f t="shared" si="503"/>
        <v>0</v>
      </c>
      <c r="BE487" s="29">
        <v>0</v>
      </c>
      <c r="BF487" s="29">
        <f t="shared" si="504"/>
        <v>0</v>
      </c>
      <c r="BH487" s="55">
        <f t="shared" si="505"/>
        <v>0</v>
      </c>
      <c r="BI487" s="55">
        <f t="shared" si="506"/>
        <v>0</v>
      </c>
      <c r="BJ487" s="55">
        <f t="shared" si="507"/>
        <v>0</v>
      </c>
    </row>
    <row r="488" spans="1:47" ht="12.75">
      <c r="A488" s="35"/>
      <c r="B488" s="42" t="s">
        <v>60</v>
      </c>
      <c r="C488" s="42" t="s">
        <v>361</v>
      </c>
      <c r="D488" s="42" t="s">
        <v>544</v>
      </c>
      <c r="E488" s="35" t="s">
        <v>57</v>
      </c>
      <c r="F488" s="35" t="s">
        <v>57</v>
      </c>
      <c r="G488" s="35" t="s">
        <v>57</v>
      </c>
      <c r="H488" s="59">
        <f>SUM(H489:H492)</f>
        <v>0</v>
      </c>
      <c r="I488" s="59">
        <f>SUM(I489:I492)</f>
        <v>0</v>
      </c>
      <c r="J488" s="59">
        <f>SUM(J489:J492)</f>
        <v>0</v>
      </c>
      <c r="K488" s="48"/>
      <c r="L488" s="59">
        <f>SUM(L489:L492)</f>
        <v>0</v>
      </c>
      <c r="M488" s="48"/>
      <c r="AI488" s="48" t="s">
        <v>60</v>
      </c>
      <c r="AS488" s="59">
        <f>SUM(AJ489:AJ492)</f>
        <v>0</v>
      </c>
      <c r="AT488" s="59">
        <f>SUM(AK489:AK492)</f>
        <v>0</v>
      </c>
      <c r="AU488" s="59">
        <f>SUM(AL489:AL492)</f>
        <v>0</v>
      </c>
    </row>
    <row r="489" spans="1:62" ht="12.75">
      <c r="A489" s="36" t="s">
        <v>936</v>
      </c>
      <c r="B489" s="36" t="s">
        <v>60</v>
      </c>
      <c r="C489" s="36" t="s">
        <v>362</v>
      </c>
      <c r="D489" s="36" t="s">
        <v>545</v>
      </c>
      <c r="E489" s="36" t="s">
        <v>606</v>
      </c>
      <c r="F489" s="55">
        <f>'Stavební rozpočet'!F491</f>
        <v>0</v>
      </c>
      <c r="G489" s="55">
        <f>'Stavební rozpočet'!G491</f>
        <v>0</v>
      </c>
      <c r="H489" s="55">
        <f>F489*AO489</f>
        <v>0</v>
      </c>
      <c r="I489" s="55">
        <f>F489*AP489</f>
        <v>0</v>
      </c>
      <c r="J489" s="55">
        <f>F489*G489</f>
        <v>0</v>
      </c>
      <c r="K489" s="55">
        <f>'Stavební rozpočet'!K491</f>
        <v>0.075</v>
      </c>
      <c r="L489" s="55">
        <f>F489*K489</f>
        <v>0</v>
      </c>
      <c r="M489" s="51" t="s">
        <v>622</v>
      </c>
      <c r="Z489" s="29">
        <f>IF(AQ489="5",BJ489,0)</f>
        <v>0</v>
      </c>
      <c r="AB489" s="29">
        <f>IF(AQ489="1",BH489,0)</f>
        <v>0</v>
      </c>
      <c r="AC489" s="29">
        <f>IF(AQ489="1",BI489,0)</f>
        <v>0</v>
      </c>
      <c r="AD489" s="29">
        <f>IF(AQ489="7",BH489,0)</f>
        <v>0</v>
      </c>
      <c r="AE489" s="29">
        <f>IF(AQ489="7",BI489,0)</f>
        <v>0</v>
      </c>
      <c r="AF489" s="29">
        <f>IF(AQ489="2",BH489,0)</f>
        <v>0</v>
      </c>
      <c r="AG489" s="29">
        <f>IF(AQ489="2",BI489,0)</f>
        <v>0</v>
      </c>
      <c r="AH489" s="29">
        <f>IF(AQ489="0",BJ489,0)</f>
        <v>0</v>
      </c>
      <c r="AI489" s="48" t="s">
        <v>60</v>
      </c>
      <c r="AJ489" s="55">
        <f>IF(AN489=0,J489,0)</f>
        <v>0</v>
      </c>
      <c r="AK489" s="55">
        <f>IF(AN489=15,J489,0)</f>
        <v>0</v>
      </c>
      <c r="AL489" s="55">
        <f>IF(AN489=21,J489,0)</f>
        <v>0</v>
      </c>
      <c r="AN489" s="29">
        <v>15</v>
      </c>
      <c r="AO489" s="29">
        <f>G489*0.0336344</f>
        <v>0</v>
      </c>
      <c r="AP489" s="29">
        <f>G489*(1-0.0336344)</f>
        <v>0</v>
      </c>
      <c r="AQ489" s="51" t="s">
        <v>85</v>
      </c>
      <c r="AV489" s="29">
        <f>AW489+AX489</f>
        <v>0</v>
      </c>
      <c r="AW489" s="29">
        <f>F489*AO489</f>
        <v>0</v>
      </c>
      <c r="AX489" s="29">
        <f>F489*AP489</f>
        <v>0</v>
      </c>
      <c r="AY489" s="54" t="s">
        <v>646</v>
      </c>
      <c r="AZ489" s="54" t="s">
        <v>1539</v>
      </c>
      <c r="BA489" s="48" t="s">
        <v>1542</v>
      </c>
      <c r="BC489" s="29">
        <f>AW489+AX489</f>
        <v>0</v>
      </c>
      <c r="BD489" s="29">
        <f>G489/(100-BE489)*100</f>
        <v>0</v>
      </c>
      <c r="BE489" s="29">
        <v>0</v>
      </c>
      <c r="BF489" s="29">
        <f>L489</f>
        <v>0</v>
      </c>
      <c r="BH489" s="55">
        <f>F489*AO489</f>
        <v>0</v>
      </c>
      <c r="BI489" s="55">
        <f>F489*AP489</f>
        <v>0</v>
      </c>
      <c r="BJ489" s="55">
        <f>F489*G489</f>
        <v>0</v>
      </c>
    </row>
    <row r="490" spans="1:62" ht="12.75">
      <c r="A490" s="36" t="s">
        <v>937</v>
      </c>
      <c r="B490" s="36" t="s">
        <v>60</v>
      </c>
      <c r="C490" s="36" t="s">
        <v>364</v>
      </c>
      <c r="D490" s="36" t="s">
        <v>548</v>
      </c>
      <c r="E490" s="36" t="s">
        <v>606</v>
      </c>
      <c r="F490" s="55">
        <f>'Stavební rozpočet'!F492</f>
        <v>0</v>
      </c>
      <c r="G490" s="55">
        <f>'Stavební rozpočet'!G492</f>
        <v>0</v>
      </c>
      <c r="H490" s="55">
        <f>F490*AO490</f>
        <v>0</v>
      </c>
      <c r="I490" s="55">
        <f>F490*AP490</f>
        <v>0</v>
      </c>
      <c r="J490" s="55">
        <f>F490*G490</f>
        <v>0</v>
      </c>
      <c r="K490" s="55">
        <f>'Stavební rozpočet'!K492</f>
        <v>0.063</v>
      </c>
      <c r="L490" s="55">
        <f>F490*K490</f>
        <v>0</v>
      </c>
      <c r="M490" s="51" t="s">
        <v>622</v>
      </c>
      <c r="Z490" s="29">
        <f>IF(AQ490="5",BJ490,0)</f>
        <v>0</v>
      </c>
      <c r="AB490" s="29">
        <f>IF(AQ490="1",BH490,0)</f>
        <v>0</v>
      </c>
      <c r="AC490" s="29">
        <f>IF(AQ490="1",BI490,0)</f>
        <v>0</v>
      </c>
      <c r="AD490" s="29">
        <f>IF(AQ490="7",BH490,0)</f>
        <v>0</v>
      </c>
      <c r="AE490" s="29">
        <f>IF(AQ490="7",BI490,0)</f>
        <v>0</v>
      </c>
      <c r="AF490" s="29">
        <f>IF(AQ490="2",BH490,0)</f>
        <v>0</v>
      </c>
      <c r="AG490" s="29">
        <f>IF(AQ490="2",BI490,0)</f>
        <v>0</v>
      </c>
      <c r="AH490" s="29">
        <f>IF(AQ490="0",BJ490,0)</f>
        <v>0</v>
      </c>
      <c r="AI490" s="48" t="s">
        <v>60</v>
      </c>
      <c r="AJ490" s="55">
        <f>IF(AN490=0,J490,0)</f>
        <v>0</v>
      </c>
      <c r="AK490" s="55">
        <f>IF(AN490=15,J490,0)</f>
        <v>0</v>
      </c>
      <c r="AL490" s="55">
        <f>IF(AN490=21,J490,0)</f>
        <v>0</v>
      </c>
      <c r="AN490" s="29">
        <v>15</v>
      </c>
      <c r="AO490" s="29">
        <f>G490*0.0759489130434783</f>
        <v>0</v>
      </c>
      <c r="AP490" s="29">
        <f>G490*(1-0.0759489130434783)</f>
        <v>0</v>
      </c>
      <c r="AQ490" s="51" t="s">
        <v>85</v>
      </c>
      <c r="AV490" s="29">
        <f>AW490+AX490</f>
        <v>0</v>
      </c>
      <c r="AW490" s="29">
        <f>F490*AO490</f>
        <v>0</v>
      </c>
      <c r="AX490" s="29">
        <f>F490*AP490</f>
        <v>0</v>
      </c>
      <c r="AY490" s="54" t="s">
        <v>646</v>
      </c>
      <c r="AZ490" s="54" t="s">
        <v>1539</v>
      </c>
      <c r="BA490" s="48" t="s">
        <v>1542</v>
      </c>
      <c r="BC490" s="29">
        <f>AW490+AX490</f>
        <v>0</v>
      </c>
      <c r="BD490" s="29">
        <f>G490/(100-BE490)*100</f>
        <v>0</v>
      </c>
      <c r="BE490" s="29">
        <v>0</v>
      </c>
      <c r="BF490" s="29">
        <f>L490</f>
        <v>0</v>
      </c>
      <c r="BH490" s="55">
        <f>F490*AO490</f>
        <v>0</v>
      </c>
      <c r="BI490" s="55">
        <f>F490*AP490</f>
        <v>0</v>
      </c>
      <c r="BJ490" s="55">
        <f>F490*G490</f>
        <v>0</v>
      </c>
    </row>
    <row r="491" spans="1:62" ht="12.75">
      <c r="A491" s="36" t="s">
        <v>938</v>
      </c>
      <c r="B491" s="36" t="s">
        <v>60</v>
      </c>
      <c r="C491" s="36" t="s">
        <v>365</v>
      </c>
      <c r="D491" s="36" t="s">
        <v>550</v>
      </c>
      <c r="E491" s="36" t="s">
        <v>606</v>
      </c>
      <c r="F491" s="55">
        <f>'Stavební rozpočet'!F493</f>
        <v>0</v>
      </c>
      <c r="G491" s="55">
        <f>'Stavební rozpočet'!G493</f>
        <v>0</v>
      </c>
      <c r="H491" s="55">
        <f>F491*AO491</f>
        <v>0</v>
      </c>
      <c r="I491" s="55">
        <f>F491*AP491</f>
        <v>0</v>
      </c>
      <c r="J491" s="55">
        <f>F491*G491</f>
        <v>0</v>
      </c>
      <c r="K491" s="55">
        <f>'Stavební rozpočet'!K493</f>
        <v>0.075</v>
      </c>
      <c r="L491" s="55">
        <f>F491*K491</f>
        <v>0</v>
      </c>
      <c r="M491" s="51" t="s">
        <v>622</v>
      </c>
      <c r="Z491" s="29">
        <f>IF(AQ491="5",BJ491,0)</f>
        <v>0</v>
      </c>
      <c r="AB491" s="29">
        <f>IF(AQ491="1",BH491,0)</f>
        <v>0</v>
      </c>
      <c r="AC491" s="29">
        <f>IF(AQ491="1",BI491,0)</f>
        <v>0</v>
      </c>
      <c r="AD491" s="29">
        <f>IF(AQ491="7",BH491,0)</f>
        <v>0</v>
      </c>
      <c r="AE491" s="29">
        <f>IF(AQ491="7",BI491,0)</f>
        <v>0</v>
      </c>
      <c r="AF491" s="29">
        <f>IF(AQ491="2",BH491,0)</f>
        <v>0</v>
      </c>
      <c r="AG491" s="29">
        <f>IF(AQ491="2",BI491,0)</f>
        <v>0</v>
      </c>
      <c r="AH491" s="29">
        <f>IF(AQ491="0",BJ491,0)</f>
        <v>0</v>
      </c>
      <c r="AI491" s="48" t="s">
        <v>60</v>
      </c>
      <c r="AJ491" s="55">
        <f>IF(AN491=0,J491,0)</f>
        <v>0</v>
      </c>
      <c r="AK491" s="55">
        <f>IF(AN491=15,J491,0)</f>
        <v>0</v>
      </c>
      <c r="AL491" s="55">
        <f>IF(AN491=21,J491,0)</f>
        <v>0</v>
      </c>
      <c r="AN491" s="29">
        <v>15</v>
      </c>
      <c r="AO491" s="29">
        <f>G491*0.0759489795918367</f>
        <v>0</v>
      </c>
      <c r="AP491" s="29">
        <f>G491*(1-0.0759489795918367)</f>
        <v>0</v>
      </c>
      <c r="AQ491" s="51" t="s">
        <v>85</v>
      </c>
      <c r="AV491" s="29">
        <f>AW491+AX491</f>
        <v>0</v>
      </c>
      <c r="AW491" s="29">
        <f>F491*AO491</f>
        <v>0</v>
      </c>
      <c r="AX491" s="29">
        <f>F491*AP491</f>
        <v>0</v>
      </c>
      <c r="AY491" s="54" t="s">
        <v>646</v>
      </c>
      <c r="AZ491" s="54" t="s">
        <v>1539</v>
      </c>
      <c r="BA491" s="48" t="s">
        <v>1542</v>
      </c>
      <c r="BC491" s="29">
        <f>AW491+AX491</f>
        <v>0</v>
      </c>
      <c r="BD491" s="29">
        <f>G491/(100-BE491)*100</f>
        <v>0</v>
      </c>
      <c r="BE491" s="29">
        <v>0</v>
      </c>
      <c r="BF491" s="29">
        <f>L491</f>
        <v>0</v>
      </c>
      <c r="BH491" s="55">
        <f>F491*AO491</f>
        <v>0</v>
      </c>
      <c r="BI491" s="55">
        <f>F491*AP491</f>
        <v>0</v>
      </c>
      <c r="BJ491" s="55">
        <f>F491*G491</f>
        <v>0</v>
      </c>
    </row>
    <row r="492" spans="1:62" ht="12.75">
      <c r="A492" s="36" t="s">
        <v>939</v>
      </c>
      <c r="B492" s="36" t="s">
        <v>60</v>
      </c>
      <c r="C492" s="36" t="s">
        <v>366</v>
      </c>
      <c r="D492" s="36" t="s">
        <v>551</v>
      </c>
      <c r="E492" s="36" t="s">
        <v>612</v>
      </c>
      <c r="F492" s="55">
        <f>'Stavební rozpočet'!F494</f>
        <v>0</v>
      </c>
      <c r="G492" s="55">
        <f>'Stavební rozpočet'!G494</f>
        <v>0</v>
      </c>
      <c r="H492" s="55">
        <f>F492*AO492</f>
        <v>0</v>
      </c>
      <c r="I492" s="55">
        <f>F492*AP492</f>
        <v>0</v>
      </c>
      <c r="J492" s="55">
        <f>F492*G492</f>
        <v>0</v>
      </c>
      <c r="K492" s="55">
        <f>'Stavební rozpočet'!K494</f>
        <v>0</v>
      </c>
      <c r="L492" s="55">
        <f>F492*K492</f>
        <v>0</v>
      </c>
      <c r="M492" s="51" t="s">
        <v>622</v>
      </c>
      <c r="Z492" s="29">
        <f>IF(AQ492="5",BJ492,0)</f>
        <v>0</v>
      </c>
      <c r="AB492" s="29">
        <f>IF(AQ492="1",BH492,0)</f>
        <v>0</v>
      </c>
      <c r="AC492" s="29">
        <f>IF(AQ492="1",BI492,0)</f>
        <v>0</v>
      </c>
      <c r="AD492" s="29">
        <f>IF(AQ492="7",BH492,0)</f>
        <v>0</v>
      </c>
      <c r="AE492" s="29">
        <f>IF(AQ492="7",BI492,0)</f>
        <v>0</v>
      </c>
      <c r="AF492" s="29">
        <f>IF(AQ492="2",BH492,0)</f>
        <v>0</v>
      </c>
      <c r="AG492" s="29">
        <f>IF(AQ492="2",BI492,0)</f>
        <v>0</v>
      </c>
      <c r="AH492" s="29">
        <f>IF(AQ492="0",BJ492,0)</f>
        <v>0</v>
      </c>
      <c r="AI492" s="48" t="s">
        <v>60</v>
      </c>
      <c r="AJ492" s="55">
        <f>IF(AN492=0,J492,0)</f>
        <v>0</v>
      </c>
      <c r="AK492" s="55">
        <f>IF(AN492=15,J492,0)</f>
        <v>0</v>
      </c>
      <c r="AL492" s="55">
        <f>IF(AN492=21,J492,0)</f>
        <v>0</v>
      </c>
      <c r="AN492" s="29">
        <v>15</v>
      </c>
      <c r="AO492" s="29">
        <f>G492*0</f>
        <v>0</v>
      </c>
      <c r="AP492" s="29">
        <f>G492*(1-0)</f>
        <v>0</v>
      </c>
      <c r="AQ492" s="51" t="s">
        <v>83</v>
      </c>
      <c r="AV492" s="29">
        <f>AW492+AX492</f>
        <v>0</v>
      </c>
      <c r="AW492" s="29">
        <f>F492*AO492</f>
        <v>0</v>
      </c>
      <c r="AX492" s="29">
        <f>F492*AP492</f>
        <v>0</v>
      </c>
      <c r="AY492" s="54" t="s">
        <v>646</v>
      </c>
      <c r="AZ492" s="54" t="s">
        <v>1539</v>
      </c>
      <c r="BA492" s="48" t="s">
        <v>1542</v>
      </c>
      <c r="BC492" s="29">
        <f>AW492+AX492</f>
        <v>0</v>
      </c>
      <c r="BD492" s="29">
        <f>G492/(100-BE492)*100</f>
        <v>0</v>
      </c>
      <c r="BE492" s="29">
        <v>0</v>
      </c>
      <c r="BF492" s="29">
        <f>L492</f>
        <v>0</v>
      </c>
      <c r="BH492" s="55">
        <f>F492*AO492</f>
        <v>0</v>
      </c>
      <c r="BI492" s="55">
        <f>F492*AP492</f>
        <v>0</v>
      </c>
      <c r="BJ492" s="55">
        <f>F492*G492</f>
        <v>0</v>
      </c>
    </row>
    <row r="493" spans="1:47" ht="12.75">
      <c r="A493" s="35"/>
      <c r="B493" s="42" t="s">
        <v>60</v>
      </c>
      <c r="C493" s="42" t="s">
        <v>367</v>
      </c>
      <c r="D493" s="42" t="s">
        <v>552</v>
      </c>
      <c r="E493" s="35" t="s">
        <v>57</v>
      </c>
      <c r="F493" s="35" t="s">
        <v>57</v>
      </c>
      <c r="G493" s="35" t="s">
        <v>57</v>
      </c>
      <c r="H493" s="59">
        <f>SUM(H494:H503)</f>
        <v>0</v>
      </c>
      <c r="I493" s="59">
        <f>SUM(I494:I503)</f>
        <v>0</v>
      </c>
      <c r="J493" s="59">
        <f>SUM(J494:J503)</f>
        <v>0</v>
      </c>
      <c r="K493" s="48"/>
      <c r="L493" s="59">
        <f>SUM(L494:L503)</f>
        <v>0.22333050000000002</v>
      </c>
      <c r="M493" s="48"/>
      <c r="AI493" s="48" t="s">
        <v>60</v>
      </c>
      <c r="AS493" s="59">
        <f>SUM(AJ494:AJ503)</f>
        <v>0</v>
      </c>
      <c r="AT493" s="59">
        <f>SUM(AK494:AK503)</f>
        <v>0</v>
      </c>
      <c r="AU493" s="59">
        <f>SUM(AL494:AL503)</f>
        <v>0</v>
      </c>
    </row>
    <row r="494" spans="1:62" ht="12.75">
      <c r="A494" s="36" t="s">
        <v>940</v>
      </c>
      <c r="B494" s="36" t="s">
        <v>60</v>
      </c>
      <c r="C494" s="36" t="s">
        <v>369</v>
      </c>
      <c r="D494" s="36" t="s">
        <v>1411</v>
      </c>
      <c r="E494" s="36" t="s">
        <v>608</v>
      </c>
      <c r="F494" s="55">
        <f>'Stavební rozpočet'!F496</f>
        <v>38.76</v>
      </c>
      <c r="G494" s="55">
        <f>'Stavební rozpočet'!G496</f>
        <v>0</v>
      </c>
      <c r="H494" s="55">
        <f aca="true" t="shared" si="508" ref="H494:H503">F494*AO494</f>
        <v>0</v>
      </c>
      <c r="I494" s="55">
        <f aca="true" t="shared" si="509" ref="I494:I503">F494*AP494</f>
        <v>0</v>
      </c>
      <c r="J494" s="55">
        <f aca="true" t="shared" si="510" ref="J494:J503">F494*G494</f>
        <v>0</v>
      </c>
      <c r="K494" s="55">
        <f>'Stavební rozpočet'!K496</f>
        <v>0</v>
      </c>
      <c r="L494" s="55">
        <f aca="true" t="shared" si="511" ref="L494:L503">F494*K494</f>
        <v>0</v>
      </c>
      <c r="M494" s="51" t="s">
        <v>622</v>
      </c>
      <c r="Z494" s="29">
        <f aca="true" t="shared" si="512" ref="Z494:Z503">IF(AQ494="5",BJ494,0)</f>
        <v>0</v>
      </c>
      <c r="AB494" s="29">
        <f aca="true" t="shared" si="513" ref="AB494:AB503">IF(AQ494="1",BH494,0)</f>
        <v>0</v>
      </c>
      <c r="AC494" s="29">
        <f aca="true" t="shared" si="514" ref="AC494:AC503">IF(AQ494="1",BI494,0)</f>
        <v>0</v>
      </c>
      <c r="AD494" s="29">
        <f aca="true" t="shared" si="515" ref="AD494:AD503">IF(AQ494="7",BH494,0)</f>
        <v>0</v>
      </c>
      <c r="AE494" s="29">
        <f aca="true" t="shared" si="516" ref="AE494:AE503">IF(AQ494="7",BI494,0)</f>
        <v>0</v>
      </c>
      <c r="AF494" s="29">
        <f aca="true" t="shared" si="517" ref="AF494:AF503">IF(AQ494="2",BH494,0)</f>
        <v>0</v>
      </c>
      <c r="AG494" s="29">
        <f aca="true" t="shared" si="518" ref="AG494:AG503">IF(AQ494="2",BI494,0)</f>
        <v>0</v>
      </c>
      <c r="AH494" s="29">
        <f aca="true" t="shared" si="519" ref="AH494:AH503">IF(AQ494="0",BJ494,0)</f>
        <v>0</v>
      </c>
      <c r="AI494" s="48" t="s">
        <v>60</v>
      </c>
      <c r="AJ494" s="55">
        <f aca="true" t="shared" si="520" ref="AJ494:AJ503">IF(AN494=0,J494,0)</f>
        <v>0</v>
      </c>
      <c r="AK494" s="55">
        <f aca="true" t="shared" si="521" ref="AK494:AK503">IF(AN494=15,J494,0)</f>
        <v>0</v>
      </c>
      <c r="AL494" s="55">
        <f aca="true" t="shared" si="522" ref="AL494:AL503">IF(AN494=21,J494,0)</f>
        <v>0</v>
      </c>
      <c r="AN494" s="29">
        <v>15</v>
      </c>
      <c r="AO494" s="29">
        <f>G494*0</f>
        <v>0</v>
      </c>
      <c r="AP494" s="29">
        <f>G494*(1-0)</f>
        <v>0</v>
      </c>
      <c r="AQ494" s="51" t="s">
        <v>85</v>
      </c>
      <c r="AV494" s="29">
        <f aca="true" t="shared" si="523" ref="AV494:AV503">AW494+AX494</f>
        <v>0</v>
      </c>
      <c r="AW494" s="29">
        <f aca="true" t="shared" si="524" ref="AW494:AW503">F494*AO494</f>
        <v>0</v>
      </c>
      <c r="AX494" s="29">
        <f aca="true" t="shared" si="525" ref="AX494:AX503">F494*AP494</f>
        <v>0</v>
      </c>
      <c r="AY494" s="54" t="s">
        <v>647</v>
      </c>
      <c r="AZ494" s="54" t="s">
        <v>1540</v>
      </c>
      <c r="BA494" s="48" t="s">
        <v>1542</v>
      </c>
      <c r="BC494" s="29">
        <f aca="true" t="shared" si="526" ref="BC494:BC503">AW494+AX494</f>
        <v>0</v>
      </c>
      <c r="BD494" s="29">
        <f aca="true" t="shared" si="527" ref="BD494:BD503">G494/(100-BE494)*100</f>
        <v>0</v>
      </c>
      <c r="BE494" s="29">
        <v>0</v>
      </c>
      <c r="BF494" s="29">
        <f aca="true" t="shared" si="528" ref="BF494:BF503">L494</f>
        <v>0</v>
      </c>
      <c r="BH494" s="55">
        <f aca="true" t="shared" si="529" ref="BH494:BH503">F494*AO494</f>
        <v>0</v>
      </c>
      <c r="BI494" s="55">
        <f aca="true" t="shared" si="530" ref="BI494:BI503">F494*AP494</f>
        <v>0</v>
      </c>
      <c r="BJ494" s="55">
        <f aca="true" t="shared" si="531" ref="BJ494:BJ503">F494*G494</f>
        <v>0</v>
      </c>
    </row>
    <row r="495" spans="1:62" ht="12.75">
      <c r="A495" s="36" t="s">
        <v>941</v>
      </c>
      <c r="B495" s="36" t="s">
        <v>60</v>
      </c>
      <c r="C495" s="36" t="s">
        <v>370</v>
      </c>
      <c r="D495" s="36" t="s">
        <v>1412</v>
      </c>
      <c r="E495" s="36" t="s">
        <v>608</v>
      </c>
      <c r="F495" s="55">
        <f>'Stavební rozpočet'!F497</f>
        <v>20.289</v>
      </c>
      <c r="G495" s="55">
        <f>'Stavební rozpočet'!G497</f>
        <v>0</v>
      </c>
      <c r="H495" s="55">
        <f t="shared" si="508"/>
        <v>0</v>
      </c>
      <c r="I495" s="55">
        <f t="shared" si="509"/>
        <v>0</v>
      </c>
      <c r="J495" s="55">
        <f t="shared" si="510"/>
        <v>0</v>
      </c>
      <c r="K495" s="55">
        <f>'Stavební rozpočet'!K497</f>
        <v>0</v>
      </c>
      <c r="L495" s="55">
        <f t="shared" si="511"/>
        <v>0</v>
      </c>
      <c r="M495" s="51" t="s">
        <v>622</v>
      </c>
      <c r="Z495" s="29">
        <f t="shared" si="512"/>
        <v>0</v>
      </c>
      <c r="AB495" s="29">
        <f t="shared" si="513"/>
        <v>0</v>
      </c>
      <c r="AC495" s="29">
        <f t="shared" si="514"/>
        <v>0</v>
      </c>
      <c r="AD495" s="29">
        <f t="shared" si="515"/>
        <v>0</v>
      </c>
      <c r="AE495" s="29">
        <f t="shared" si="516"/>
        <v>0</v>
      </c>
      <c r="AF495" s="29">
        <f t="shared" si="517"/>
        <v>0</v>
      </c>
      <c r="AG495" s="29">
        <f t="shared" si="518"/>
        <v>0</v>
      </c>
      <c r="AH495" s="29">
        <f t="shared" si="519"/>
        <v>0</v>
      </c>
      <c r="AI495" s="48" t="s">
        <v>60</v>
      </c>
      <c r="AJ495" s="55">
        <f t="shared" si="520"/>
        <v>0</v>
      </c>
      <c r="AK495" s="55">
        <f t="shared" si="521"/>
        <v>0</v>
      </c>
      <c r="AL495" s="55">
        <f t="shared" si="522"/>
        <v>0</v>
      </c>
      <c r="AN495" s="29">
        <v>15</v>
      </c>
      <c r="AO495" s="29">
        <f>G495*0</f>
        <v>0</v>
      </c>
      <c r="AP495" s="29">
        <f>G495*(1-0)</f>
        <v>0</v>
      </c>
      <c r="AQ495" s="51" t="s">
        <v>85</v>
      </c>
      <c r="AV495" s="29">
        <f t="shared" si="523"/>
        <v>0</v>
      </c>
      <c r="AW495" s="29">
        <f t="shared" si="524"/>
        <v>0</v>
      </c>
      <c r="AX495" s="29">
        <f t="shared" si="525"/>
        <v>0</v>
      </c>
      <c r="AY495" s="54" t="s">
        <v>647</v>
      </c>
      <c r="AZ495" s="54" t="s">
        <v>1540</v>
      </c>
      <c r="BA495" s="48" t="s">
        <v>1542</v>
      </c>
      <c r="BC495" s="29">
        <f t="shared" si="526"/>
        <v>0</v>
      </c>
      <c r="BD495" s="29">
        <f t="shared" si="527"/>
        <v>0</v>
      </c>
      <c r="BE495" s="29">
        <v>0</v>
      </c>
      <c r="BF495" s="29">
        <f t="shared" si="528"/>
        <v>0</v>
      </c>
      <c r="BH495" s="55">
        <f t="shared" si="529"/>
        <v>0</v>
      </c>
      <c r="BI495" s="55">
        <f t="shared" si="530"/>
        <v>0</v>
      </c>
      <c r="BJ495" s="55">
        <f t="shared" si="531"/>
        <v>0</v>
      </c>
    </row>
    <row r="496" spans="1:62" ht="12.75">
      <c r="A496" s="36" t="s">
        <v>942</v>
      </c>
      <c r="B496" s="36" t="s">
        <v>60</v>
      </c>
      <c r="C496" s="36" t="s">
        <v>371</v>
      </c>
      <c r="D496" s="36" t="s">
        <v>556</v>
      </c>
      <c r="E496" s="36" t="s">
        <v>609</v>
      </c>
      <c r="F496" s="55">
        <f>'Stavební rozpočet'!F498</f>
        <v>67.63</v>
      </c>
      <c r="G496" s="55">
        <f>'Stavební rozpočet'!G498</f>
        <v>0</v>
      </c>
      <c r="H496" s="55">
        <f t="shared" si="508"/>
        <v>0</v>
      </c>
      <c r="I496" s="55">
        <f t="shared" si="509"/>
        <v>0</v>
      </c>
      <c r="J496" s="55">
        <f t="shared" si="510"/>
        <v>0</v>
      </c>
      <c r="K496" s="55">
        <f>'Stavební rozpočet'!K498</f>
        <v>0</v>
      </c>
      <c r="L496" s="55">
        <f t="shared" si="511"/>
        <v>0</v>
      </c>
      <c r="M496" s="51" t="s">
        <v>622</v>
      </c>
      <c r="Z496" s="29">
        <f t="shared" si="512"/>
        <v>0</v>
      </c>
      <c r="AB496" s="29">
        <f t="shared" si="513"/>
        <v>0</v>
      </c>
      <c r="AC496" s="29">
        <f t="shared" si="514"/>
        <v>0</v>
      </c>
      <c r="AD496" s="29">
        <f t="shared" si="515"/>
        <v>0</v>
      </c>
      <c r="AE496" s="29">
        <f t="shared" si="516"/>
        <v>0</v>
      </c>
      <c r="AF496" s="29">
        <f t="shared" si="517"/>
        <v>0</v>
      </c>
      <c r="AG496" s="29">
        <f t="shared" si="518"/>
        <v>0</v>
      </c>
      <c r="AH496" s="29">
        <f t="shared" si="519"/>
        <v>0</v>
      </c>
      <c r="AI496" s="48" t="s">
        <v>60</v>
      </c>
      <c r="AJ496" s="55">
        <f t="shared" si="520"/>
        <v>0</v>
      </c>
      <c r="AK496" s="55">
        <f t="shared" si="521"/>
        <v>0</v>
      </c>
      <c r="AL496" s="55">
        <f t="shared" si="522"/>
        <v>0</v>
      </c>
      <c r="AN496" s="29">
        <v>15</v>
      </c>
      <c r="AO496" s="29">
        <f>G496*0</f>
        <v>0</v>
      </c>
      <c r="AP496" s="29">
        <f>G496*(1-0)</f>
        <v>0</v>
      </c>
      <c r="AQ496" s="51" t="s">
        <v>85</v>
      </c>
      <c r="AV496" s="29">
        <f t="shared" si="523"/>
        <v>0</v>
      </c>
      <c r="AW496" s="29">
        <f t="shared" si="524"/>
        <v>0</v>
      </c>
      <c r="AX496" s="29">
        <f t="shared" si="525"/>
        <v>0</v>
      </c>
      <c r="AY496" s="54" t="s">
        <v>647</v>
      </c>
      <c r="AZ496" s="54" t="s">
        <v>1540</v>
      </c>
      <c r="BA496" s="48" t="s">
        <v>1542</v>
      </c>
      <c r="BC496" s="29">
        <f t="shared" si="526"/>
        <v>0</v>
      </c>
      <c r="BD496" s="29">
        <f t="shared" si="527"/>
        <v>0</v>
      </c>
      <c r="BE496" s="29">
        <v>0</v>
      </c>
      <c r="BF496" s="29">
        <f t="shared" si="528"/>
        <v>0</v>
      </c>
      <c r="BH496" s="55">
        <f t="shared" si="529"/>
        <v>0</v>
      </c>
      <c r="BI496" s="55">
        <f t="shared" si="530"/>
        <v>0</v>
      </c>
      <c r="BJ496" s="55">
        <f t="shared" si="531"/>
        <v>0</v>
      </c>
    </row>
    <row r="497" spans="1:62" ht="12.75">
      <c r="A497" s="36" t="s">
        <v>943</v>
      </c>
      <c r="B497" s="36" t="s">
        <v>60</v>
      </c>
      <c r="C497" s="36" t="s">
        <v>372</v>
      </c>
      <c r="D497" s="36" t="s">
        <v>557</v>
      </c>
      <c r="E497" s="36" t="s">
        <v>608</v>
      </c>
      <c r="F497" s="55">
        <f>'Stavební rozpočet'!F499</f>
        <v>59.05</v>
      </c>
      <c r="G497" s="55">
        <f>'Stavební rozpočet'!G499</f>
        <v>0</v>
      </c>
      <c r="H497" s="55">
        <f t="shared" si="508"/>
        <v>0</v>
      </c>
      <c r="I497" s="55">
        <f t="shared" si="509"/>
        <v>0</v>
      </c>
      <c r="J497" s="55">
        <f t="shared" si="510"/>
        <v>0</v>
      </c>
      <c r="K497" s="55">
        <f>'Stavební rozpočet'!K499</f>
        <v>0.00021</v>
      </c>
      <c r="L497" s="55">
        <f t="shared" si="511"/>
        <v>0.0124005</v>
      </c>
      <c r="M497" s="51" t="s">
        <v>622</v>
      </c>
      <c r="Z497" s="29">
        <f t="shared" si="512"/>
        <v>0</v>
      </c>
      <c r="AB497" s="29">
        <f t="shared" si="513"/>
        <v>0</v>
      </c>
      <c r="AC497" s="29">
        <f t="shared" si="514"/>
        <v>0</v>
      </c>
      <c r="AD497" s="29">
        <f t="shared" si="515"/>
        <v>0</v>
      </c>
      <c r="AE497" s="29">
        <f t="shared" si="516"/>
        <v>0</v>
      </c>
      <c r="AF497" s="29">
        <f t="shared" si="517"/>
        <v>0</v>
      </c>
      <c r="AG497" s="29">
        <f t="shared" si="518"/>
        <v>0</v>
      </c>
      <c r="AH497" s="29">
        <f t="shared" si="519"/>
        <v>0</v>
      </c>
      <c r="AI497" s="48" t="s">
        <v>60</v>
      </c>
      <c r="AJ497" s="55">
        <f t="shared" si="520"/>
        <v>0</v>
      </c>
      <c r="AK497" s="55">
        <f t="shared" si="521"/>
        <v>0</v>
      </c>
      <c r="AL497" s="55">
        <f t="shared" si="522"/>
        <v>0</v>
      </c>
      <c r="AN497" s="29">
        <v>15</v>
      </c>
      <c r="AO497" s="29">
        <f>G497*0.533420079381047</f>
        <v>0</v>
      </c>
      <c r="AP497" s="29">
        <f>G497*(1-0.533420079381047)</f>
        <v>0</v>
      </c>
      <c r="AQ497" s="51" t="s">
        <v>85</v>
      </c>
      <c r="AV497" s="29">
        <f t="shared" si="523"/>
        <v>0</v>
      </c>
      <c r="AW497" s="29">
        <f t="shared" si="524"/>
        <v>0</v>
      </c>
      <c r="AX497" s="29">
        <f t="shared" si="525"/>
        <v>0</v>
      </c>
      <c r="AY497" s="54" t="s">
        <v>647</v>
      </c>
      <c r="AZ497" s="54" t="s">
        <v>1540</v>
      </c>
      <c r="BA497" s="48" t="s">
        <v>1542</v>
      </c>
      <c r="BC497" s="29">
        <f t="shared" si="526"/>
        <v>0</v>
      </c>
      <c r="BD497" s="29">
        <f t="shared" si="527"/>
        <v>0</v>
      </c>
      <c r="BE497" s="29">
        <v>0</v>
      </c>
      <c r="BF497" s="29">
        <f t="shared" si="528"/>
        <v>0.0124005</v>
      </c>
      <c r="BH497" s="55">
        <f t="shared" si="529"/>
        <v>0</v>
      </c>
      <c r="BI497" s="55">
        <f t="shared" si="530"/>
        <v>0</v>
      </c>
      <c r="BJ497" s="55">
        <f t="shared" si="531"/>
        <v>0</v>
      </c>
    </row>
    <row r="498" spans="1:62" ht="12.75">
      <c r="A498" s="36" t="s">
        <v>1741</v>
      </c>
      <c r="B498" s="36" t="s">
        <v>60</v>
      </c>
      <c r="C498" s="36" t="s">
        <v>1108</v>
      </c>
      <c r="D498" s="36" t="s">
        <v>1413</v>
      </c>
      <c r="E498" s="36" t="s">
        <v>609</v>
      </c>
      <c r="F498" s="55">
        <f>'Stavební rozpočet'!F500</f>
        <v>9.23</v>
      </c>
      <c r="G498" s="55">
        <f>'Stavební rozpočet'!G500</f>
        <v>0</v>
      </c>
      <c r="H498" s="55">
        <f t="shared" si="508"/>
        <v>0</v>
      </c>
      <c r="I498" s="55">
        <f t="shared" si="509"/>
        <v>0</v>
      </c>
      <c r="J498" s="55">
        <f t="shared" si="510"/>
        <v>0</v>
      </c>
      <c r="K498" s="55">
        <f>'Stavební rozpočet'!K500</f>
        <v>0</v>
      </c>
      <c r="L498" s="55">
        <f t="shared" si="511"/>
        <v>0</v>
      </c>
      <c r="M498" s="51" t="s">
        <v>622</v>
      </c>
      <c r="Z498" s="29">
        <f t="shared" si="512"/>
        <v>0</v>
      </c>
      <c r="AB498" s="29">
        <f t="shared" si="513"/>
        <v>0</v>
      </c>
      <c r="AC498" s="29">
        <f t="shared" si="514"/>
        <v>0</v>
      </c>
      <c r="AD498" s="29">
        <f t="shared" si="515"/>
        <v>0</v>
      </c>
      <c r="AE498" s="29">
        <f t="shared" si="516"/>
        <v>0</v>
      </c>
      <c r="AF498" s="29">
        <f t="shared" si="517"/>
        <v>0</v>
      </c>
      <c r="AG498" s="29">
        <f t="shared" si="518"/>
        <v>0</v>
      </c>
      <c r="AH498" s="29">
        <f t="shared" si="519"/>
        <v>0</v>
      </c>
      <c r="AI498" s="48" t="s">
        <v>60</v>
      </c>
      <c r="AJ498" s="55">
        <f t="shared" si="520"/>
        <v>0</v>
      </c>
      <c r="AK498" s="55">
        <f t="shared" si="521"/>
        <v>0</v>
      </c>
      <c r="AL498" s="55">
        <f t="shared" si="522"/>
        <v>0</v>
      </c>
      <c r="AN498" s="29">
        <v>15</v>
      </c>
      <c r="AO498" s="29">
        <f>G498*0</f>
        <v>0</v>
      </c>
      <c r="AP498" s="29">
        <f>G498*(1-0)</f>
        <v>0</v>
      </c>
      <c r="AQ498" s="51" t="s">
        <v>85</v>
      </c>
      <c r="AV498" s="29">
        <f t="shared" si="523"/>
        <v>0</v>
      </c>
      <c r="AW498" s="29">
        <f t="shared" si="524"/>
        <v>0</v>
      </c>
      <c r="AX498" s="29">
        <f t="shared" si="525"/>
        <v>0</v>
      </c>
      <c r="AY498" s="54" t="s">
        <v>647</v>
      </c>
      <c r="AZ498" s="54" t="s">
        <v>1540</v>
      </c>
      <c r="BA498" s="48" t="s">
        <v>1542</v>
      </c>
      <c r="BC498" s="29">
        <f t="shared" si="526"/>
        <v>0</v>
      </c>
      <c r="BD498" s="29">
        <f t="shared" si="527"/>
        <v>0</v>
      </c>
      <c r="BE498" s="29">
        <v>0</v>
      </c>
      <c r="BF498" s="29">
        <f t="shared" si="528"/>
        <v>0</v>
      </c>
      <c r="BH498" s="55">
        <f t="shared" si="529"/>
        <v>0</v>
      </c>
      <c r="BI498" s="55">
        <f t="shared" si="530"/>
        <v>0</v>
      </c>
      <c r="BJ498" s="55">
        <f t="shared" si="531"/>
        <v>0</v>
      </c>
    </row>
    <row r="499" spans="1:62" ht="12.75">
      <c r="A499" s="36" t="s">
        <v>1742</v>
      </c>
      <c r="B499" s="36" t="s">
        <v>60</v>
      </c>
      <c r="C499" s="36" t="s">
        <v>373</v>
      </c>
      <c r="D499" s="36" t="s">
        <v>1415</v>
      </c>
      <c r="E499" s="36" t="s">
        <v>609</v>
      </c>
      <c r="F499" s="55">
        <f>'Stavební rozpočet'!F502</f>
        <v>24.33</v>
      </c>
      <c r="G499" s="55">
        <f>'Stavební rozpočet'!G502</f>
        <v>0</v>
      </c>
      <c r="H499" s="55">
        <f t="shared" si="508"/>
        <v>0</v>
      </c>
      <c r="I499" s="55">
        <f t="shared" si="509"/>
        <v>0</v>
      </c>
      <c r="J499" s="55">
        <f t="shared" si="510"/>
        <v>0</v>
      </c>
      <c r="K499" s="55">
        <f>'Stavební rozpočet'!K502</f>
        <v>0.00032</v>
      </c>
      <c r="L499" s="55">
        <f t="shared" si="511"/>
        <v>0.0077856</v>
      </c>
      <c r="M499" s="51" t="s">
        <v>622</v>
      </c>
      <c r="Z499" s="29">
        <f t="shared" si="512"/>
        <v>0</v>
      </c>
      <c r="AB499" s="29">
        <f t="shared" si="513"/>
        <v>0</v>
      </c>
      <c r="AC499" s="29">
        <f t="shared" si="514"/>
        <v>0</v>
      </c>
      <c r="AD499" s="29">
        <f t="shared" si="515"/>
        <v>0</v>
      </c>
      <c r="AE499" s="29">
        <f t="shared" si="516"/>
        <v>0</v>
      </c>
      <c r="AF499" s="29">
        <f t="shared" si="517"/>
        <v>0</v>
      </c>
      <c r="AG499" s="29">
        <f t="shared" si="518"/>
        <v>0</v>
      </c>
      <c r="AH499" s="29">
        <f t="shared" si="519"/>
        <v>0</v>
      </c>
      <c r="AI499" s="48" t="s">
        <v>60</v>
      </c>
      <c r="AJ499" s="55">
        <f t="shared" si="520"/>
        <v>0</v>
      </c>
      <c r="AK499" s="55">
        <f t="shared" si="521"/>
        <v>0</v>
      </c>
      <c r="AL499" s="55">
        <f t="shared" si="522"/>
        <v>0</v>
      </c>
      <c r="AN499" s="29">
        <v>15</v>
      </c>
      <c r="AO499" s="29">
        <f>G499*0.0855913978494624</f>
        <v>0</v>
      </c>
      <c r="AP499" s="29">
        <f>G499*(1-0.0855913978494624)</f>
        <v>0</v>
      </c>
      <c r="AQ499" s="51" t="s">
        <v>85</v>
      </c>
      <c r="AV499" s="29">
        <f t="shared" si="523"/>
        <v>0</v>
      </c>
      <c r="AW499" s="29">
        <f t="shared" si="524"/>
        <v>0</v>
      </c>
      <c r="AX499" s="29">
        <f t="shared" si="525"/>
        <v>0</v>
      </c>
      <c r="AY499" s="54" t="s">
        <v>647</v>
      </c>
      <c r="AZ499" s="54" t="s">
        <v>1540</v>
      </c>
      <c r="BA499" s="48" t="s">
        <v>1542</v>
      </c>
      <c r="BC499" s="29">
        <f t="shared" si="526"/>
        <v>0</v>
      </c>
      <c r="BD499" s="29">
        <f t="shared" si="527"/>
        <v>0</v>
      </c>
      <c r="BE499" s="29">
        <v>0</v>
      </c>
      <c r="BF499" s="29">
        <f t="shared" si="528"/>
        <v>0.0077856</v>
      </c>
      <c r="BH499" s="55">
        <f t="shared" si="529"/>
        <v>0</v>
      </c>
      <c r="BI499" s="55">
        <f t="shared" si="530"/>
        <v>0</v>
      </c>
      <c r="BJ499" s="55">
        <f t="shared" si="531"/>
        <v>0</v>
      </c>
    </row>
    <row r="500" spans="1:62" ht="12.75">
      <c r="A500" s="36" t="s">
        <v>1743</v>
      </c>
      <c r="B500" s="36" t="s">
        <v>60</v>
      </c>
      <c r="C500" s="36" t="s">
        <v>375</v>
      </c>
      <c r="D500" s="36" t="s">
        <v>560</v>
      </c>
      <c r="E500" s="36" t="s">
        <v>609</v>
      </c>
      <c r="F500" s="55">
        <f>'Stavební rozpočet'!F504</f>
        <v>16.22</v>
      </c>
      <c r="G500" s="55">
        <f>'Stavební rozpočet'!G504</f>
        <v>0</v>
      </c>
      <c r="H500" s="55">
        <f t="shared" si="508"/>
        <v>0</v>
      </c>
      <c r="I500" s="55">
        <f t="shared" si="509"/>
        <v>0</v>
      </c>
      <c r="J500" s="55">
        <f t="shared" si="510"/>
        <v>0</v>
      </c>
      <c r="K500" s="55">
        <f>'Stavební rozpočet'!K504</f>
        <v>0</v>
      </c>
      <c r="L500" s="55">
        <f t="shared" si="511"/>
        <v>0</v>
      </c>
      <c r="M500" s="51" t="s">
        <v>622</v>
      </c>
      <c r="Z500" s="29">
        <f t="shared" si="512"/>
        <v>0</v>
      </c>
      <c r="AB500" s="29">
        <f t="shared" si="513"/>
        <v>0</v>
      </c>
      <c r="AC500" s="29">
        <f t="shared" si="514"/>
        <v>0</v>
      </c>
      <c r="AD500" s="29">
        <f t="shared" si="515"/>
        <v>0</v>
      </c>
      <c r="AE500" s="29">
        <f t="shared" si="516"/>
        <v>0</v>
      </c>
      <c r="AF500" s="29">
        <f t="shared" si="517"/>
        <v>0</v>
      </c>
      <c r="AG500" s="29">
        <f t="shared" si="518"/>
        <v>0</v>
      </c>
      <c r="AH500" s="29">
        <f t="shared" si="519"/>
        <v>0</v>
      </c>
      <c r="AI500" s="48" t="s">
        <v>60</v>
      </c>
      <c r="AJ500" s="55">
        <f t="shared" si="520"/>
        <v>0</v>
      </c>
      <c r="AK500" s="55">
        <f t="shared" si="521"/>
        <v>0</v>
      </c>
      <c r="AL500" s="55">
        <f t="shared" si="522"/>
        <v>0</v>
      </c>
      <c r="AN500" s="29">
        <v>15</v>
      </c>
      <c r="AO500" s="29">
        <f>G500*0.0743484251367845</f>
        <v>0</v>
      </c>
      <c r="AP500" s="29">
        <f>G500*(1-0.0743484251367845)</f>
        <v>0</v>
      </c>
      <c r="AQ500" s="51" t="s">
        <v>85</v>
      </c>
      <c r="AV500" s="29">
        <f t="shared" si="523"/>
        <v>0</v>
      </c>
      <c r="AW500" s="29">
        <f t="shared" si="524"/>
        <v>0</v>
      </c>
      <c r="AX500" s="29">
        <f t="shared" si="525"/>
        <v>0</v>
      </c>
      <c r="AY500" s="54" t="s">
        <v>647</v>
      </c>
      <c r="AZ500" s="54" t="s">
        <v>1540</v>
      </c>
      <c r="BA500" s="48" t="s">
        <v>1542</v>
      </c>
      <c r="BC500" s="29">
        <f t="shared" si="526"/>
        <v>0</v>
      </c>
      <c r="BD500" s="29">
        <f t="shared" si="527"/>
        <v>0</v>
      </c>
      <c r="BE500" s="29">
        <v>0</v>
      </c>
      <c r="BF500" s="29">
        <f t="shared" si="528"/>
        <v>0</v>
      </c>
      <c r="BH500" s="55">
        <f t="shared" si="529"/>
        <v>0</v>
      </c>
      <c r="BI500" s="55">
        <f t="shared" si="530"/>
        <v>0</v>
      </c>
      <c r="BJ500" s="55">
        <f t="shared" si="531"/>
        <v>0</v>
      </c>
    </row>
    <row r="501" spans="1:62" ht="12.75">
      <c r="A501" s="36" t="s">
        <v>1744</v>
      </c>
      <c r="B501" s="36" t="s">
        <v>60</v>
      </c>
      <c r="C501" s="36" t="s">
        <v>376</v>
      </c>
      <c r="D501" s="36" t="s">
        <v>1416</v>
      </c>
      <c r="E501" s="36" t="s">
        <v>608</v>
      </c>
      <c r="F501" s="55">
        <f>'Stavební rozpočet'!F505</f>
        <v>38.76</v>
      </c>
      <c r="G501" s="55">
        <f>'Stavební rozpočet'!G505</f>
        <v>0</v>
      </c>
      <c r="H501" s="55">
        <f t="shared" si="508"/>
        <v>0</v>
      </c>
      <c r="I501" s="55">
        <f t="shared" si="509"/>
        <v>0</v>
      </c>
      <c r="J501" s="55">
        <f t="shared" si="510"/>
        <v>0</v>
      </c>
      <c r="K501" s="55">
        <f>'Stavební rozpočet'!K505</f>
        <v>0.00504</v>
      </c>
      <c r="L501" s="55">
        <f t="shared" si="511"/>
        <v>0.1953504</v>
      </c>
      <c r="M501" s="51" t="s">
        <v>622</v>
      </c>
      <c r="Z501" s="29">
        <f t="shared" si="512"/>
        <v>0</v>
      </c>
      <c r="AB501" s="29">
        <f t="shared" si="513"/>
        <v>0</v>
      </c>
      <c r="AC501" s="29">
        <f t="shared" si="514"/>
        <v>0</v>
      </c>
      <c r="AD501" s="29">
        <f t="shared" si="515"/>
        <v>0</v>
      </c>
      <c r="AE501" s="29">
        <f t="shared" si="516"/>
        <v>0</v>
      </c>
      <c r="AF501" s="29">
        <f t="shared" si="517"/>
        <v>0</v>
      </c>
      <c r="AG501" s="29">
        <f t="shared" si="518"/>
        <v>0</v>
      </c>
      <c r="AH501" s="29">
        <f t="shared" si="519"/>
        <v>0</v>
      </c>
      <c r="AI501" s="48" t="s">
        <v>60</v>
      </c>
      <c r="AJ501" s="55">
        <f t="shared" si="520"/>
        <v>0</v>
      </c>
      <c r="AK501" s="55">
        <f t="shared" si="521"/>
        <v>0</v>
      </c>
      <c r="AL501" s="55">
        <f t="shared" si="522"/>
        <v>0</v>
      </c>
      <c r="AN501" s="29">
        <v>15</v>
      </c>
      <c r="AO501" s="29">
        <f>G501*0.1941647597254</f>
        <v>0</v>
      </c>
      <c r="AP501" s="29">
        <f>G501*(1-0.1941647597254)</f>
        <v>0</v>
      </c>
      <c r="AQ501" s="51" t="s">
        <v>85</v>
      </c>
      <c r="AV501" s="29">
        <f t="shared" si="523"/>
        <v>0</v>
      </c>
      <c r="AW501" s="29">
        <f t="shared" si="524"/>
        <v>0</v>
      </c>
      <c r="AX501" s="29">
        <f t="shared" si="525"/>
        <v>0</v>
      </c>
      <c r="AY501" s="54" t="s">
        <v>647</v>
      </c>
      <c r="AZ501" s="54" t="s">
        <v>1540</v>
      </c>
      <c r="BA501" s="48" t="s">
        <v>1542</v>
      </c>
      <c r="BC501" s="29">
        <f t="shared" si="526"/>
        <v>0</v>
      </c>
      <c r="BD501" s="29">
        <f t="shared" si="527"/>
        <v>0</v>
      </c>
      <c r="BE501" s="29">
        <v>0</v>
      </c>
      <c r="BF501" s="29">
        <f t="shared" si="528"/>
        <v>0.1953504</v>
      </c>
      <c r="BH501" s="55">
        <f t="shared" si="529"/>
        <v>0</v>
      </c>
      <c r="BI501" s="55">
        <f t="shared" si="530"/>
        <v>0</v>
      </c>
      <c r="BJ501" s="55">
        <f t="shared" si="531"/>
        <v>0</v>
      </c>
    </row>
    <row r="502" spans="1:62" ht="12.75">
      <c r="A502" s="36" t="s">
        <v>1745</v>
      </c>
      <c r="B502" s="36" t="s">
        <v>60</v>
      </c>
      <c r="C502" s="36" t="s">
        <v>1110</v>
      </c>
      <c r="D502" s="36" t="s">
        <v>1417</v>
      </c>
      <c r="E502" s="36" t="s">
        <v>609</v>
      </c>
      <c r="F502" s="55">
        <f>'Stavební rozpočet'!F507</f>
        <v>43.3</v>
      </c>
      <c r="G502" s="55">
        <f>'Stavební rozpočet'!G507</f>
        <v>0</v>
      </c>
      <c r="H502" s="55">
        <f t="shared" si="508"/>
        <v>0</v>
      </c>
      <c r="I502" s="55">
        <f t="shared" si="509"/>
        <v>0</v>
      </c>
      <c r="J502" s="55">
        <f t="shared" si="510"/>
        <v>0</v>
      </c>
      <c r="K502" s="55">
        <f>'Stavební rozpočet'!K507</f>
        <v>0.00018</v>
      </c>
      <c r="L502" s="55">
        <f t="shared" si="511"/>
        <v>0.007794</v>
      </c>
      <c r="M502" s="51" t="s">
        <v>622</v>
      </c>
      <c r="Z502" s="29">
        <f t="shared" si="512"/>
        <v>0</v>
      </c>
      <c r="AB502" s="29">
        <f t="shared" si="513"/>
        <v>0</v>
      </c>
      <c r="AC502" s="29">
        <f t="shared" si="514"/>
        <v>0</v>
      </c>
      <c r="AD502" s="29">
        <f t="shared" si="515"/>
        <v>0</v>
      </c>
      <c r="AE502" s="29">
        <f t="shared" si="516"/>
        <v>0</v>
      </c>
      <c r="AF502" s="29">
        <f t="shared" si="517"/>
        <v>0</v>
      </c>
      <c r="AG502" s="29">
        <f t="shared" si="518"/>
        <v>0</v>
      </c>
      <c r="AH502" s="29">
        <f t="shared" si="519"/>
        <v>0</v>
      </c>
      <c r="AI502" s="48" t="s">
        <v>60</v>
      </c>
      <c r="AJ502" s="55">
        <f t="shared" si="520"/>
        <v>0</v>
      </c>
      <c r="AK502" s="55">
        <f t="shared" si="521"/>
        <v>0</v>
      </c>
      <c r="AL502" s="55">
        <f t="shared" si="522"/>
        <v>0</v>
      </c>
      <c r="AN502" s="29">
        <v>15</v>
      </c>
      <c r="AO502" s="29">
        <f>G502*0.688992805755396</f>
        <v>0</v>
      </c>
      <c r="AP502" s="29">
        <f>G502*(1-0.688992805755396)</f>
        <v>0</v>
      </c>
      <c r="AQ502" s="51" t="s">
        <v>85</v>
      </c>
      <c r="AV502" s="29">
        <f t="shared" si="523"/>
        <v>0</v>
      </c>
      <c r="AW502" s="29">
        <f t="shared" si="524"/>
        <v>0</v>
      </c>
      <c r="AX502" s="29">
        <f t="shared" si="525"/>
        <v>0</v>
      </c>
      <c r="AY502" s="54" t="s">
        <v>647</v>
      </c>
      <c r="AZ502" s="54" t="s">
        <v>1540</v>
      </c>
      <c r="BA502" s="48" t="s">
        <v>1542</v>
      </c>
      <c r="BC502" s="29">
        <f t="shared" si="526"/>
        <v>0</v>
      </c>
      <c r="BD502" s="29">
        <f t="shared" si="527"/>
        <v>0</v>
      </c>
      <c r="BE502" s="29">
        <v>0</v>
      </c>
      <c r="BF502" s="29">
        <f t="shared" si="528"/>
        <v>0.007794</v>
      </c>
      <c r="BH502" s="55">
        <f t="shared" si="529"/>
        <v>0</v>
      </c>
      <c r="BI502" s="55">
        <f t="shared" si="530"/>
        <v>0</v>
      </c>
      <c r="BJ502" s="55">
        <f t="shared" si="531"/>
        <v>0</v>
      </c>
    </row>
    <row r="503" spans="1:62" ht="12.75">
      <c r="A503" s="36" t="s">
        <v>1746</v>
      </c>
      <c r="B503" s="36" t="s">
        <v>60</v>
      </c>
      <c r="C503" s="36" t="s">
        <v>377</v>
      </c>
      <c r="D503" s="36" t="s">
        <v>563</v>
      </c>
      <c r="E503" s="36" t="s">
        <v>612</v>
      </c>
      <c r="F503" s="55">
        <f>'Stavební rozpočet'!F508</f>
        <v>1.04</v>
      </c>
      <c r="G503" s="55">
        <f>'Stavební rozpočet'!G508</f>
        <v>0</v>
      </c>
      <c r="H503" s="55">
        <f t="shared" si="508"/>
        <v>0</v>
      </c>
      <c r="I503" s="55">
        <f t="shared" si="509"/>
        <v>0</v>
      </c>
      <c r="J503" s="55">
        <f t="shared" si="510"/>
        <v>0</v>
      </c>
      <c r="K503" s="55">
        <f>'Stavební rozpočet'!K508</f>
        <v>0</v>
      </c>
      <c r="L503" s="55">
        <f t="shared" si="511"/>
        <v>0</v>
      </c>
      <c r="M503" s="51" t="s">
        <v>622</v>
      </c>
      <c r="Z503" s="29">
        <f t="shared" si="512"/>
        <v>0</v>
      </c>
      <c r="AB503" s="29">
        <f t="shared" si="513"/>
        <v>0</v>
      </c>
      <c r="AC503" s="29">
        <f t="shared" si="514"/>
        <v>0</v>
      </c>
      <c r="AD503" s="29">
        <f t="shared" si="515"/>
        <v>0</v>
      </c>
      <c r="AE503" s="29">
        <f t="shared" si="516"/>
        <v>0</v>
      </c>
      <c r="AF503" s="29">
        <f t="shared" si="517"/>
        <v>0</v>
      </c>
      <c r="AG503" s="29">
        <f t="shared" si="518"/>
        <v>0</v>
      </c>
      <c r="AH503" s="29">
        <f t="shared" si="519"/>
        <v>0</v>
      </c>
      <c r="AI503" s="48" t="s">
        <v>60</v>
      </c>
      <c r="AJ503" s="55">
        <f t="shared" si="520"/>
        <v>0</v>
      </c>
      <c r="AK503" s="55">
        <f t="shared" si="521"/>
        <v>0</v>
      </c>
      <c r="AL503" s="55">
        <f t="shared" si="522"/>
        <v>0</v>
      </c>
      <c r="AN503" s="29">
        <v>15</v>
      </c>
      <c r="AO503" s="29">
        <f>G503*0</f>
        <v>0</v>
      </c>
      <c r="AP503" s="29">
        <f>G503*(1-0)</f>
        <v>0</v>
      </c>
      <c r="AQ503" s="51" t="s">
        <v>83</v>
      </c>
      <c r="AV503" s="29">
        <f t="shared" si="523"/>
        <v>0</v>
      </c>
      <c r="AW503" s="29">
        <f t="shared" si="524"/>
        <v>0</v>
      </c>
      <c r="AX503" s="29">
        <f t="shared" si="525"/>
        <v>0</v>
      </c>
      <c r="AY503" s="54" t="s">
        <v>647</v>
      </c>
      <c r="AZ503" s="54" t="s">
        <v>1540</v>
      </c>
      <c r="BA503" s="48" t="s">
        <v>1542</v>
      </c>
      <c r="BC503" s="29">
        <f t="shared" si="526"/>
        <v>0</v>
      </c>
      <c r="BD503" s="29">
        <f t="shared" si="527"/>
        <v>0</v>
      </c>
      <c r="BE503" s="29">
        <v>0</v>
      </c>
      <c r="BF503" s="29">
        <f t="shared" si="528"/>
        <v>0</v>
      </c>
      <c r="BH503" s="55">
        <f t="shared" si="529"/>
        <v>0</v>
      </c>
      <c r="BI503" s="55">
        <f t="shared" si="530"/>
        <v>0</v>
      </c>
      <c r="BJ503" s="55">
        <f t="shared" si="531"/>
        <v>0</v>
      </c>
    </row>
    <row r="504" spans="1:47" ht="12.75">
      <c r="A504" s="35"/>
      <c r="B504" s="42" t="s">
        <v>60</v>
      </c>
      <c r="C504" s="42" t="s">
        <v>1111</v>
      </c>
      <c r="D504" s="42" t="s">
        <v>1418</v>
      </c>
      <c r="E504" s="35" t="s">
        <v>57</v>
      </c>
      <c r="F504" s="35" t="s">
        <v>57</v>
      </c>
      <c r="G504" s="35" t="s">
        <v>57</v>
      </c>
      <c r="H504" s="59">
        <f>SUM(H505:H510)</f>
        <v>0</v>
      </c>
      <c r="I504" s="59">
        <f>SUM(I505:I510)</f>
        <v>0</v>
      </c>
      <c r="J504" s="59">
        <f>SUM(J505:J510)</f>
        <v>0</v>
      </c>
      <c r="K504" s="48"/>
      <c r="L504" s="59">
        <f>SUM(L505:L510)</f>
        <v>0.0434364</v>
      </c>
      <c r="M504" s="48"/>
      <c r="AI504" s="48" t="s">
        <v>60</v>
      </c>
      <c r="AS504" s="59">
        <f>SUM(AJ505:AJ510)</f>
        <v>0</v>
      </c>
      <c r="AT504" s="59">
        <f>SUM(AK505:AK510)</f>
        <v>0</v>
      </c>
      <c r="AU504" s="59">
        <f>SUM(AL505:AL510)</f>
        <v>0</v>
      </c>
    </row>
    <row r="505" spans="1:62" ht="12.75">
      <c r="A505" s="36" t="s">
        <v>1747</v>
      </c>
      <c r="B505" s="36" t="s">
        <v>60</v>
      </c>
      <c r="C505" s="36" t="s">
        <v>1112</v>
      </c>
      <c r="D505" s="36" t="s">
        <v>1419</v>
      </c>
      <c r="E505" s="36" t="s">
        <v>608</v>
      </c>
      <c r="F505" s="55">
        <f>'Stavební rozpočet'!F510</f>
        <v>151.5</v>
      </c>
      <c r="G505" s="55">
        <f>'Stavební rozpočet'!G510</f>
        <v>0</v>
      </c>
      <c r="H505" s="55">
        <f aca="true" t="shared" si="532" ref="H505:H510">F505*AO505</f>
        <v>0</v>
      </c>
      <c r="I505" s="55">
        <f aca="true" t="shared" si="533" ref="I505:I510">F505*AP505</f>
        <v>0</v>
      </c>
      <c r="J505" s="55">
        <f aca="true" t="shared" si="534" ref="J505:J510">F505*G505</f>
        <v>0</v>
      </c>
      <c r="K505" s="55">
        <f>'Stavební rozpočet'!K510</f>
        <v>0</v>
      </c>
      <c r="L505" s="55">
        <f aca="true" t="shared" si="535" ref="L505:L510">F505*K505</f>
        <v>0</v>
      </c>
      <c r="M505" s="51" t="s">
        <v>622</v>
      </c>
      <c r="Z505" s="29">
        <f aca="true" t="shared" si="536" ref="Z505:Z510">IF(AQ505="5",BJ505,0)</f>
        <v>0</v>
      </c>
      <c r="AB505" s="29">
        <f aca="true" t="shared" si="537" ref="AB505:AB510">IF(AQ505="1",BH505,0)</f>
        <v>0</v>
      </c>
      <c r="AC505" s="29">
        <f aca="true" t="shared" si="538" ref="AC505:AC510">IF(AQ505="1",BI505,0)</f>
        <v>0</v>
      </c>
      <c r="AD505" s="29">
        <f aca="true" t="shared" si="539" ref="AD505:AD510">IF(AQ505="7",BH505,0)</f>
        <v>0</v>
      </c>
      <c r="AE505" s="29">
        <f aca="true" t="shared" si="540" ref="AE505:AE510">IF(AQ505="7",BI505,0)</f>
        <v>0</v>
      </c>
      <c r="AF505" s="29">
        <f aca="true" t="shared" si="541" ref="AF505:AF510">IF(AQ505="2",BH505,0)</f>
        <v>0</v>
      </c>
      <c r="AG505" s="29">
        <f aca="true" t="shared" si="542" ref="AG505:AG510">IF(AQ505="2",BI505,0)</f>
        <v>0</v>
      </c>
      <c r="AH505" s="29">
        <f aca="true" t="shared" si="543" ref="AH505:AH510">IF(AQ505="0",BJ505,0)</f>
        <v>0</v>
      </c>
      <c r="AI505" s="48" t="s">
        <v>60</v>
      </c>
      <c r="AJ505" s="55">
        <f aca="true" t="shared" si="544" ref="AJ505:AJ510">IF(AN505=0,J505,0)</f>
        <v>0</v>
      </c>
      <c r="AK505" s="55">
        <f aca="true" t="shared" si="545" ref="AK505:AK510">IF(AN505=15,J505,0)</f>
        <v>0</v>
      </c>
      <c r="AL505" s="55">
        <f aca="true" t="shared" si="546" ref="AL505:AL510">IF(AN505=21,J505,0)</f>
        <v>0</v>
      </c>
      <c r="AN505" s="29">
        <v>15</v>
      </c>
      <c r="AO505" s="29">
        <f>G505*0</f>
        <v>0</v>
      </c>
      <c r="AP505" s="29">
        <f>G505*(1-0)</f>
        <v>0</v>
      </c>
      <c r="AQ505" s="51" t="s">
        <v>85</v>
      </c>
      <c r="AV505" s="29">
        <f aca="true" t="shared" si="547" ref="AV505:AV510">AW505+AX505</f>
        <v>0</v>
      </c>
      <c r="AW505" s="29">
        <f aca="true" t="shared" si="548" ref="AW505:AW510">F505*AO505</f>
        <v>0</v>
      </c>
      <c r="AX505" s="29">
        <f aca="true" t="shared" si="549" ref="AX505:AX510">F505*AP505</f>
        <v>0</v>
      </c>
      <c r="AY505" s="54" t="s">
        <v>1531</v>
      </c>
      <c r="AZ505" s="54" t="s">
        <v>1540</v>
      </c>
      <c r="BA505" s="48" t="s">
        <v>1542</v>
      </c>
      <c r="BC505" s="29">
        <f aca="true" t="shared" si="550" ref="BC505:BC510">AW505+AX505</f>
        <v>0</v>
      </c>
      <c r="BD505" s="29">
        <f aca="true" t="shared" si="551" ref="BD505:BD510">G505/(100-BE505)*100</f>
        <v>0</v>
      </c>
      <c r="BE505" s="29">
        <v>0</v>
      </c>
      <c r="BF505" s="29">
        <f aca="true" t="shared" si="552" ref="BF505:BF510">L505</f>
        <v>0</v>
      </c>
      <c r="BH505" s="55">
        <f aca="true" t="shared" si="553" ref="BH505:BH510">F505*AO505</f>
        <v>0</v>
      </c>
      <c r="BI505" s="55">
        <f aca="true" t="shared" si="554" ref="BI505:BI510">F505*AP505</f>
        <v>0</v>
      </c>
      <c r="BJ505" s="55">
        <f aca="true" t="shared" si="555" ref="BJ505:BJ510">F505*G505</f>
        <v>0</v>
      </c>
    </row>
    <row r="506" spans="1:62" ht="12.75">
      <c r="A506" s="36" t="s">
        <v>1748</v>
      </c>
      <c r="B506" s="36" t="s">
        <v>60</v>
      </c>
      <c r="C506" s="36" t="s">
        <v>1113</v>
      </c>
      <c r="D506" s="36" t="s">
        <v>1420</v>
      </c>
      <c r="E506" s="36" t="s">
        <v>608</v>
      </c>
      <c r="F506" s="55">
        <f>'Stavební rozpočet'!F511</f>
        <v>151.5</v>
      </c>
      <c r="G506" s="55">
        <f>'Stavební rozpočet'!G511</f>
        <v>0</v>
      </c>
      <c r="H506" s="55">
        <f t="shared" si="532"/>
        <v>0</v>
      </c>
      <c r="I506" s="55">
        <f t="shared" si="533"/>
        <v>0</v>
      </c>
      <c r="J506" s="55">
        <f t="shared" si="534"/>
        <v>0</v>
      </c>
      <c r="K506" s="55">
        <f>'Stavební rozpočet'!K511</f>
        <v>0</v>
      </c>
      <c r="L506" s="55">
        <f t="shared" si="535"/>
        <v>0</v>
      </c>
      <c r="M506" s="51" t="s">
        <v>622</v>
      </c>
      <c r="Z506" s="29">
        <f t="shared" si="536"/>
        <v>0</v>
      </c>
      <c r="AB506" s="29">
        <f t="shared" si="537"/>
        <v>0</v>
      </c>
      <c r="AC506" s="29">
        <f t="shared" si="538"/>
        <v>0</v>
      </c>
      <c r="AD506" s="29">
        <f t="shared" si="539"/>
        <v>0</v>
      </c>
      <c r="AE506" s="29">
        <f t="shared" si="540"/>
        <v>0</v>
      </c>
      <c r="AF506" s="29">
        <f t="shared" si="541"/>
        <v>0</v>
      </c>
      <c r="AG506" s="29">
        <f t="shared" si="542"/>
        <v>0</v>
      </c>
      <c r="AH506" s="29">
        <f t="shared" si="543"/>
        <v>0</v>
      </c>
      <c r="AI506" s="48" t="s">
        <v>60</v>
      </c>
      <c r="AJ506" s="55">
        <f t="shared" si="544"/>
        <v>0</v>
      </c>
      <c r="AK506" s="55">
        <f t="shared" si="545"/>
        <v>0</v>
      </c>
      <c r="AL506" s="55">
        <f t="shared" si="546"/>
        <v>0</v>
      </c>
      <c r="AN506" s="29">
        <v>15</v>
      </c>
      <c r="AO506" s="29">
        <f>G506*0</f>
        <v>0</v>
      </c>
      <c r="AP506" s="29">
        <f>G506*(1-0)</f>
        <v>0</v>
      </c>
      <c r="AQ506" s="51" t="s">
        <v>85</v>
      </c>
      <c r="AV506" s="29">
        <f t="shared" si="547"/>
        <v>0</v>
      </c>
      <c r="AW506" s="29">
        <f t="shared" si="548"/>
        <v>0</v>
      </c>
      <c r="AX506" s="29">
        <f t="shared" si="549"/>
        <v>0</v>
      </c>
      <c r="AY506" s="54" t="s">
        <v>1531</v>
      </c>
      <c r="AZ506" s="54" t="s">
        <v>1540</v>
      </c>
      <c r="BA506" s="48" t="s">
        <v>1542</v>
      </c>
      <c r="BC506" s="29">
        <f t="shared" si="550"/>
        <v>0</v>
      </c>
      <c r="BD506" s="29">
        <f t="shared" si="551"/>
        <v>0</v>
      </c>
      <c r="BE506" s="29">
        <v>0</v>
      </c>
      <c r="BF506" s="29">
        <f t="shared" si="552"/>
        <v>0</v>
      </c>
      <c r="BH506" s="55">
        <f t="shared" si="553"/>
        <v>0</v>
      </c>
      <c r="BI506" s="55">
        <f t="shared" si="554"/>
        <v>0</v>
      </c>
      <c r="BJ506" s="55">
        <f t="shared" si="555"/>
        <v>0</v>
      </c>
    </row>
    <row r="507" spans="1:62" ht="12.75">
      <c r="A507" s="36" t="s">
        <v>1749</v>
      </c>
      <c r="B507" s="36" t="s">
        <v>60</v>
      </c>
      <c r="C507" s="36" t="s">
        <v>1114</v>
      </c>
      <c r="D507" s="36" t="s">
        <v>1421</v>
      </c>
      <c r="E507" s="36" t="s">
        <v>609</v>
      </c>
      <c r="F507" s="55">
        <f>'Stavební rozpočet'!F512</f>
        <v>84.38</v>
      </c>
      <c r="G507" s="55">
        <f>'Stavební rozpočet'!G512</f>
        <v>0</v>
      </c>
      <c r="H507" s="55">
        <f t="shared" si="532"/>
        <v>0</v>
      </c>
      <c r="I507" s="55">
        <f t="shared" si="533"/>
        <v>0</v>
      </c>
      <c r="J507" s="55">
        <f t="shared" si="534"/>
        <v>0</v>
      </c>
      <c r="K507" s="55">
        <f>'Stavební rozpočet'!K512</f>
        <v>3E-05</v>
      </c>
      <c r="L507" s="55">
        <f t="shared" si="535"/>
        <v>0.0025314</v>
      </c>
      <c r="M507" s="51" t="s">
        <v>622</v>
      </c>
      <c r="Z507" s="29">
        <f t="shared" si="536"/>
        <v>0</v>
      </c>
      <c r="AB507" s="29">
        <f t="shared" si="537"/>
        <v>0</v>
      </c>
      <c r="AC507" s="29">
        <f t="shared" si="538"/>
        <v>0</v>
      </c>
      <c r="AD507" s="29">
        <f t="shared" si="539"/>
        <v>0</v>
      </c>
      <c r="AE507" s="29">
        <f t="shared" si="540"/>
        <v>0</v>
      </c>
      <c r="AF507" s="29">
        <f t="shared" si="541"/>
        <v>0</v>
      </c>
      <c r="AG507" s="29">
        <f t="shared" si="542"/>
        <v>0</v>
      </c>
      <c r="AH507" s="29">
        <f t="shared" si="543"/>
        <v>0</v>
      </c>
      <c r="AI507" s="48" t="s">
        <v>60</v>
      </c>
      <c r="AJ507" s="55">
        <f t="shared" si="544"/>
        <v>0</v>
      </c>
      <c r="AK507" s="55">
        <f t="shared" si="545"/>
        <v>0</v>
      </c>
      <c r="AL507" s="55">
        <f t="shared" si="546"/>
        <v>0</v>
      </c>
      <c r="AN507" s="29">
        <v>15</v>
      </c>
      <c r="AO507" s="29">
        <f>G507*0.138917140951917</f>
        <v>0</v>
      </c>
      <c r="AP507" s="29">
        <f>G507*(1-0.138917140951917)</f>
        <v>0</v>
      </c>
      <c r="AQ507" s="51" t="s">
        <v>85</v>
      </c>
      <c r="AV507" s="29">
        <f t="shared" si="547"/>
        <v>0</v>
      </c>
      <c r="AW507" s="29">
        <f t="shared" si="548"/>
        <v>0</v>
      </c>
      <c r="AX507" s="29">
        <f t="shared" si="549"/>
        <v>0</v>
      </c>
      <c r="AY507" s="54" t="s">
        <v>1531</v>
      </c>
      <c r="AZ507" s="54" t="s">
        <v>1540</v>
      </c>
      <c r="BA507" s="48" t="s">
        <v>1542</v>
      </c>
      <c r="BC507" s="29">
        <f t="shared" si="550"/>
        <v>0</v>
      </c>
      <c r="BD507" s="29">
        <f t="shared" si="551"/>
        <v>0</v>
      </c>
      <c r="BE507" s="29">
        <v>0</v>
      </c>
      <c r="BF507" s="29">
        <f t="shared" si="552"/>
        <v>0.0025314</v>
      </c>
      <c r="BH507" s="55">
        <f t="shared" si="553"/>
        <v>0</v>
      </c>
      <c r="BI507" s="55">
        <f t="shared" si="554"/>
        <v>0</v>
      </c>
      <c r="BJ507" s="55">
        <f t="shared" si="555"/>
        <v>0</v>
      </c>
    </row>
    <row r="508" spans="1:62" ht="12.75">
      <c r="A508" s="36" t="s">
        <v>1750</v>
      </c>
      <c r="B508" s="36" t="s">
        <v>60</v>
      </c>
      <c r="C508" s="36" t="s">
        <v>1116</v>
      </c>
      <c r="D508" s="36" t="s">
        <v>1423</v>
      </c>
      <c r="E508" s="36" t="s">
        <v>608</v>
      </c>
      <c r="F508" s="55">
        <f>'Stavební rozpočet'!F514</f>
        <v>151.5</v>
      </c>
      <c r="G508" s="55">
        <f>'Stavební rozpočet'!G514</f>
        <v>0</v>
      </c>
      <c r="H508" s="55">
        <f t="shared" si="532"/>
        <v>0</v>
      </c>
      <c r="I508" s="55">
        <f t="shared" si="533"/>
        <v>0</v>
      </c>
      <c r="J508" s="55">
        <f t="shared" si="534"/>
        <v>0</v>
      </c>
      <c r="K508" s="55">
        <f>'Stavební rozpočet'!K514</f>
        <v>0.00025</v>
      </c>
      <c r="L508" s="55">
        <f t="shared" si="535"/>
        <v>0.037875</v>
      </c>
      <c r="M508" s="51" t="s">
        <v>622</v>
      </c>
      <c r="Z508" s="29">
        <f t="shared" si="536"/>
        <v>0</v>
      </c>
      <c r="AB508" s="29">
        <f t="shared" si="537"/>
        <v>0</v>
      </c>
      <c r="AC508" s="29">
        <f t="shared" si="538"/>
        <v>0</v>
      </c>
      <c r="AD508" s="29">
        <f t="shared" si="539"/>
        <v>0</v>
      </c>
      <c r="AE508" s="29">
        <f t="shared" si="540"/>
        <v>0</v>
      </c>
      <c r="AF508" s="29">
        <f t="shared" si="541"/>
        <v>0</v>
      </c>
      <c r="AG508" s="29">
        <f t="shared" si="542"/>
        <v>0</v>
      </c>
      <c r="AH508" s="29">
        <f t="shared" si="543"/>
        <v>0</v>
      </c>
      <c r="AI508" s="48" t="s">
        <v>60</v>
      </c>
      <c r="AJ508" s="55">
        <f t="shared" si="544"/>
        <v>0</v>
      </c>
      <c r="AK508" s="55">
        <f t="shared" si="545"/>
        <v>0</v>
      </c>
      <c r="AL508" s="55">
        <f t="shared" si="546"/>
        <v>0</v>
      </c>
      <c r="AN508" s="29">
        <v>15</v>
      </c>
      <c r="AO508" s="29">
        <f>G508*0.399021406727829</f>
        <v>0</v>
      </c>
      <c r="AP508" s="29">
        <f>G508*(1-0.399021406727829)</f>
        <v>0</v>
      </c>
      <c r="AQ508" s="51" t="s">
        <v>85</v>
      </c>
      <c r="AV508" s="29">
        <f t="shared" si="547"/>
        <v>0</v>
      </c>
      <c r="AW508" s="29">
        <f t="shared" si="548"/>
        <v>0</v>
      </c>
      <c r="AX508" s="29">
        <f t="shared" si="549"/>
        <v>0</v>
      </c>
      <c r="AY508" s="54" t="s">
        <v>1531</v>
      </c>
      <c r="AZ508" s="54" t="s">
        <v>1540</v>
      </c>
      <c r="BA508" s="48" t="s">
        <v>1542</v>
      </c>
      <c r="BC508" s="29">
        <f t="shared" si="550"/>
        <v>0</v>
      </c>
      <c r="BD508" s="29">
        <f t="shared" si="551"/>
        <v>0</v>
      </c>
      <c r="BE508" s="29">
        <v>0</v>
      </c>
      <c r="BF508" s="29">
        <f t="shared" si="552"/>
        <v>0.037875</v>
      </c>
      <c r="BH508" s="55">
        <f t="shared" si="553"/>
        <v>0</v>
      </c>
      <c r="BI508" s="55">
        <f t="shared" si="554"/>
        <v>0</v>
      </c>
      <c r="BJ508" s="55">
        <f t="shared" si="555"/>
        <v>0</v>
      </c>
    </row>
    <row r="509" spans="1:62" ht="12.75">
      <c r="A509" s="36" t="s">
        <v>1751</v>
      </c>
      <c r="B509" s="36" t="s">
        <v>60</v>
      </c>
      <c r="C509" s="36" t="s">
        <v>1118</v>
      </c>
      <c r="D509" s="36" t="s">
        <v>1425</v>
      </c>
      <c r="E509" s="36" t="s">
        <v>608</v>
      </c>
      <c r="F509" s="55">
        <f>'Stavební rozpočet'!F516</f>
        <v>151.5</v>
      </c>
      <c r="G509" s="55">
        <f>'Stavební rozpočet'!G516</f>
        <v>0</v>
      </c>
      <c r="H509" s="55">
        <f t="shared" si="532"/>
        <v>0</v>
      </c>
      <c r="I509" s="55">
        <f t="shared" si="533"/>
        <v>0</v>
      </c>
      <c r="J509" s="55">
        <f t="shared" si="534"/>
        <v>0</v>
      </c>
      <c r="K509" s="55">
        <f>'Stavební rozpočet'!K516</f>
        <v>2E-05</v>
      </c>
      <c r="L509" s="55">
        <f t="shared" si="535"/>
        <v>0.00303</v>
      </c>
      <c r="M509" s="51" t="s">
        <v>622</v>
      </c>
      <c r="Z509" s="29">
        <f t="shared" si="536"/>
        <v>0</v>
      </c>
      <c r="AB509" s="29">
        <f t="shared" si="537"/>
        <v>0</v>
      </c>
      <c r="AC509" s="29">
        <f t="shared" si="538"/>
        <v>0</v>
      </c>
      <c r="AD509" s="29">
        <f t="shared" si="539"/>
        <v>0</v>
      </c>
      <c r="AE509" s="29">
        <f t="shared" si="540"/>
        <v>0</v>
      </c>
      <c r="AF509" s="29">
        <f t="shared" si="541"/>
        <v>0</v>
      </c>
      <c r="AG509" s="29">
        <f t="shared" si="542"/>
        <v>0</v>
      </c>
      <c r="AH509" s="29">
        <f t="shared" si="543"/>
        <v>0</v>
      </c>
      <c r="AI509" s="48" t="s">
        <v>60</v>
      </c>
      <c r="AJ509" s="55">
        <f t="shared" si="544"/>
        <v>0</v>
      </c>
      <c r="AK509" s="55">
        <f t="shared" si="545"/>
        <v>0</v>
      </c>
      <c r="AL509" s="55">
        <f t="shared" si="546"/>
        <v>0</v>
      </c>
      <c r="AN509" s="29">
        <v>15</v>
      </c>
      <c r="AO509" s="29">
        <f>G509*0.0933777032814363</f>
        <v>0</v>
      </c>
      <c r="AP509" s="29">
        <f>G509*(1-0.0933777032814363)</f>
        <v>0</v>
      </c>
      <c r="AQ509" s="51" t="s">
        <v>85</v>
      </c>
      <c r="AV509" s="29">
        <f t="shared" si="547"/>
        <v>0</v>
      </c>
      <c r="AW509" s="29">
        <f t="shared" si="548"/>
        <v>0</v>
      </c>
      <c r="AX509" s="29">
        <f t="shared" si="549"/>
        <v>0</v>
      </c>
      <c r="AY509" s="54" t="s">
        <v>1531</v>
      </c>
      <c r="AZ509" s="54" t="s">
        <v>1540</v>
      </c>
      <c r="BA509" s="48" t="s">
        <v>1542</v>
      </c>
      <c r="BC509" s="29">
        <f t="shared" si="550"/>
        <v>0</v>
      </c>
      <c r="BD509" s="29">
        <f t="shared" si="551"/>
        <v>0</v>
      </c>
      <c r="BE509" s="29">
        <v>0</v>
      </c>
      <c r="BF509" s="29">
        <f t="shared" si="552"/>
        <v>0.00303</v>
      </c>
      <c r="BH509" s="55">
        <f t="shared" si="553"/>
        <v>0</v>
      </c>
      <c r="BI509" s="55">
        <f t="shared" si="554"/>
        <v>0</v>
      </c>
      <c r="BJ509" s="55">
        <f t="shared" si="555"/>
        <v>0</v>
      </c>
    </row>
    <row r="510" spans="1:62" ht="12.75">
      <c r="A510" s="36" t="s">
        <v>1752</v>
      </c>
      <c r="B510" s="36" t="s">
        <v>60</v>
      </c>
      <c r="C510" s="36" t="s">
        <v>1119</v>
      </c>
      <c r="D510" s="36" t="s">
        <v>1426</v>
      </c>
      <c r="E510" s="36" t="s">
        <v>612</v>
      </c>
      <c r="F510" s="55">
        <f>'Stavební rozpočet'!F517</f>
        <v>0.55</v>
      </c>
      <c r="G510" s="55">
        <f>'Stavební rozpočet'!G517</f>
        <v>0</v>
      </c>
      <c r="H510" s="55">
        <f t="shared" si="532"/>
        <v>0</v>
      </c>
      <c r="I510" s="55">
        <f t="shared" si="533"/>
        <v>0</v>
      </c>
      <c r="J510" s="55">
        <f t="shared" si="534"/>
        <v>0</v>
      </c>
      <c r="K510" s="55">
        <f>'Stavební rozpočet'!K517</f>
        <v>0</v>
      </c>
      <c r="L510" s="55">
        <f t="shared" si="535"/>
        <v>0</v>
      </c>
      <c r="M510" s="51" t="s">
        <v>622</v>
      </c>
      <c r="Z510" s="29">
        <f t="shared" si="536"/>
        <v>0</v>
      </c>
      <c r="AB510" s="29">
        <f t="shared" si="537"/>
        <v>0</v>
      </c>
      <c r="AC510" s="29">
        <f t="shared" si="538"/>
        <v>0</v>
      </c>
      <c r="AD510" s="29">
        <f t="shared" si="539"/>
        <v>0</v>
      </c>
      <c r="AE510" s="29">
        <f t="shared" si="540"/>
        <v>0</v>
      </c>
      <c r="AF510" s="29">
        <f t="shared" si="541"/>
        <v>0</v>
      </c>
      <c r="AG510" s="29">
        <f t="shared" si="542"/>
        <v>0</v>
      </c>
      <c r="AH510" s="29">
        <f t="shared" si="543"/>
        <v>0</v>
      </c>
      <c r="AI510" s="48" t="s">
        <v>60</v>
      </c>
      <c r="AJ510" s="55">
        <f t="shared" si="544"/>
        <v>0</v>
      </c>
      <c r="AK510" s="55">
        <f t="shared" si="545"/>
        <v>0</v>
      </c>
      <c r="AL510" s="55">
        <f t="shared" si="546"/>
        <v>0</v>
      </c>
      <c r="AN510" s="29">
        <v>15</v>
      </c>
      <c r="AO510" s="29">
        <f>G510*0</f>
        <v>0</v>
      </c>
      <c r="AP510" s="29">
        <f>G510*(1-0)</f>
        <v>0</v>
      </c>
      <c r="AQ510" s="51" t="s">
        <v>83</v>
      </c>
      <c r="AV510" s="29">
        <f t="shared" si="547"/>
        <v>0</v>
      </c>
      <c r="AW510" s="29">
        <f t="shared" si="548"/>
        <v>0</v>
      </c>
      <c r="AX510" s="29">
        <f t="shared" si="549"/>
        <v>0</v>
      </c>
      <c r="AY510" s="54" t="s">
        <v>1531</v>
      </c>
      <c r="AZ510" s="54" t="s">
        <v>1540</v>
      </c>
      <c r="BA510" s="48" t="s">
        <v>1542</v>
      </c>
      <c r="BC510" s="29">
        <f t="shared" si="550"/>
        <v>0</v>
      </c>
      <c r="BD510" s="29">
        <f t="shared" si="551"/>
        <v>0</v>
      </c>
      <c r="BE510" s="29">
        <v>0</v>
      </c>
      <c r="BF510" s="29">
        <f t="shared" si="552"/>
        <v>0</v>
      </c>
      <c r="BH510" s="55">
        <f t="shared" si="553"/>
        <v>0</v>
      </c>
      <c r="BI510" s="55">
        <f t="shared" si="554"/>
        <v>0</v>
      </c>
      <c r="BJ510" s="55">
        <f t="shared" si="555"/>
        <v>0</v>
      </c>
    </row>
    <row r="511" spans="1:47" ht="12.75">
      <c r="A511" s="35"/>
      <c r="B511" s="42" t="s">
        <v>60</v>
      </c>
      <c r="C511" s="42" t="s">
        <v>1120</v>
      </c>
      <c r="D511" s="42" t="s">
        <v>1427</v>
      </c>
      <c r="E511" s="35" t="s">
        <v>57</v>
      </c>
      <c r="F511" s="35" t="s">
        <v>57</v>
      </c>
      <c r="G511" s="35" t="s">
        <v>57</v>
      </c>
      <c r="H511" s="59">
        <f>SUM(H512:H523)</f>
        <v>0</v>
      </c>
      <c r="I511" s="59">
        <f>SUM(I512:I523)</f>
        <v>0</v>
      </c>
      <c r="J511" s="59">
        <f>SUM(J512:J523)</f>
        <v>0</v>
      </c>
      <c r="K511" s="48"/>
      <c r="L511" s="59">
        <f>SUM(L512:L523)</f>
        <v>0.4928212</v>
      </c>
      <c r="M511" s="48"/>
      <c r="AI511" s="48" t="s">
        <v>60</v>
      </c>
      <c r="AS511" s="59">
        <f>SUM(AJ512:AJ523)</f>
        <v>0</v>
      </c>
      <c r="AT511" s="59">
        <f>SUM(AK512:AK523)</f>
        <v>0</v>
      </c>
      <c r="AU511" s="59">
        <f>SUM(AL512:AL523)</f>
        <v>0</v>
      </c>
    </row>
    <row r="512" spans="1:62" ht="12.75">
      <c r="A512" s="36" t="s">
        <v>1753</v>
      </c>
      <c r="B512" s="36" t="s">
        <v>60</v>
      </c>
      <c r="C512" s="36" t="s">
        <v>1121</v>
      </c>
      <c r="D512" s="36" t="s">
        <v>1428</v>
      </c>
      <c r="E512" s="36" t="s">
        <v>608</v>
      </c>
      <c r="F512" s="55">
        <f>'Stavební rozpočet'!F519</f>
        <v>96.72</v>
      </c>
      <c r="G512" s="55">
        <f>'Stavební rozpočet'!G519</f>
        <v>0</v>
      </c>
      <c r="H512" s="55">
        <f aca="true" t="shared" si="556" ref="H512:H523">F512*AO512</f>
        <v>0</v>
      </c>
      <c r="I512" s="55">
        <f aca="true" t="shared" si="557" ref="I512:I523">F512*AP512</f>
        <v>0</v>
      </c>
      <c r="J512" s="55">
        <f aca="true" t="shared" si="558" ref="J512:J523">F512*G512</f>
        <v>0</v>
      </c>
      <c r="K512" s="55">
        <f>'Stavební rozpočet'!K519</f>
        <v>0.00021</v>
      </c>
      <c r="L512" s="55">
        <f aca="true" t="shared" si="559" ref="L512:L523">F512*K512</f>
        <v>0.0203112</v>
      </c>
      <c r="M512" s="51" t="s">
        <v>622</v>
      </c>
      <c r="Z512" s="29">
        <f aca="true" t="shared" si="560" ref="Z512:Z523">IF(AQ512="5",BJ512,0)</f>
        <v>0</v>
      </c>
      <c r="AB512" s="29">
        <f aca="true" t="shared" si="561" ref="AB512:AB523">IF(AQ512="1",BH512,0)</f>
        <v>0</v>
      </c>
      <c r="AC512" s="29">
        <f aca="true" t="shared" si="562" ref="AC512:AC523">IF(AQ512="1",BI512,0)</f>
        <v>0</v>
      </c>
      <c r="AD512" s="29">
        <f aca="true" t="shared" si="563" ref="AD512:AD523">IF(AQ512="7",BH512,0)</f>
        <v>0</v>
      </c>
      <c r="AE512" s="29">
        <f aca="true" t="shared" si="564" ref="AE512:AE523">IF(AQ512="7",BI512,0)</f>
        <v>0</v>
      </c>
      <c r="AF512" s="29">
        <f aca="true" t="shared" si="565" ref="AF512:AF523">IF(AQ512="2",BH512,0)</f>
        <v>0</v>
      </c>
      <c r="AG512" s="29">
        <f aca="true" t="shared" si="566" ref="AG512:AG523">IF(AQ512="2",BI512,0)</f>
        <v>0</v>
      </c>
      <c r="AH512" s="29">
        <f aca="true" t="shared" si="567" ref="AH512:AH523">IF(AQ512="0",BJ512,0)</f>
        <v>0</v>
      </c>
      <c r="AI512" s="48" t="s">
        <v>60</v>
      </c>
      <c r="AJ512" s="55">
        <f aca="true" t="shared" si="568" ref="AJ512:AJ523">IF(AN512=0,J512,0)</f>
        <v>0</v>
      </c>
      <c r="AK512" s="55">
        <f aca="true" t="shared" si="569" ref="AK512:AK523">IF(AN512=15,J512,0)</f>
        <v>0</v>
      </c>
      <c r="AL512" s="55">
        <f aca="true" t="shared" si="570" ref="AL512:AL523">IF(AN512=21,J512,0)</f>
        <v>0</v>
      </c>
      <c r="AN512" s="29">
        <v>15</v>
      </c>
      <c r="AO512" s="29">
        <f>G512*0.533419971852164</f>
        <v>0</v>
      </c>
      <c r="AP512" s="29">
        <f>G512*(1-0.533419971852164)</f>
        <v>0</v>
      </c>
      <c r="AQ512" s="51" t="s">
        <v>85</v>
      </c>
      <c r="AV512" s="29">
        <f aca="true" t="shared" si="571" ref="AV512:AV523">AW512+AX512</f>
        <v>0</v>
      </c>
      <c r="AW512" s="29">
        <f aca="true" t="shared" si="572" ref="AW512:AW523">F512*AO512</f>
        <v>0</v>
      </c>
      <c r="AX512" s="29">
        <f aca="true" t="shared" si="573" ref="AX512:AX523">F512*AP512</f>
        <v>0</v>
      </c>
      <c r="AY512" s="54" t="s">
        <v>1532</v>
      </c>
      <c r="AZ512" s="54" t="s">
        <v>1541</v>
      </c>
      <c r="BA512" s="48" t="s">
        <v>1542</v>
      </c>
      <c r="BC512" s="29">
        <f aca="true" t="shared" si="574" ref="BC512:BC523">AW512+AX512</f>
        <v>0</v>
      </c>
      <c r="BD512" s="29">
        <f aca="true" t="shared" si="575" ref="BD512:BD523">G512/(100-BE512)*100</f>
        <v>0</v>
      </c>
      <c r="BE512" s="29">
        <v>0</v>
      </c>
      <c r="BF512" s="29">
        <f aca="true" t="shared" si="576" ref="BF512:BF523">L512</f>
        <v>0.0203112</v>
      </c>
      <c r="BH512" s="55">
        <f aca="true" t="shared" si="577" ref="BH512:BH523">F512*AO512</f>
        <v>0</v>
      </c>
      <c r="BI512" s="55">
        <f aca="true" t="shared" si="578" ref="BI512:BI523">F512*AP512</f>
        <v>0</v>
      </c>
      <c r="BJ512" s="55">
        <f aca="true" t="shared" si="579" ref="BJ512:BJ523">F512*G512</f>
        <v>0</v>
      </c>
    </row>
    <row r="513" spans="1:62" ht="12.75">
      <c r="A513" s="36" t="s">
        <v>1754</v>
      </c>
      <c r="B513" s="36" t="s">
        <v>60</v>
      </c>
      <c r="C513" s="36" t="s">
        <v>1122</v>
      </c>
      <c r="D513" s="36" t="s">
        <v>1429</v>
      </c>
      <c r="E513" s="36" t="s">
        <v>609</v>
      </c>
      <c r="F513" s="55">
        <f>'Stavební rozpočet'!F520</f>
        <v>57.5</v>
      </c>
      <c r="G513" s="55">
        <f>'Stavební rozpočet'!G520</f>
        <v>0</v>
      </c>
      <c r="H513" s="55">
        <f t="shared" si="556"/>
        <v>0</v>
      </c>
      <c r="I513" s="55">
        <f t="shared" si="557"/>
        <v>0</v>
      </c>
      <c r="J513" s="55">
        <f t="shared" si="558"/>
        <v>0</v>
      </c>
      <c r="K513" s="55">
        <f>'Stavební rozpočet'!K520</f>
        <v>0</v>
      </c>
      <c r="L513" s="55">
        <f t="shared" si="559"/>
        <v>0</v>
      </c>
      <c r="M513" s="51" t="s">
        <v>622</v>
      </c>
      <c r="Z513" s="29">
        <f t="shared" si="560"/>
        <v>0</v>
      </c>
      <c r="AB513" s="29">
        <f t="shared" si="561"/>
        <v>0</v>
      </c>
      <c r="AC513" s="29">
        <f t="shared" si="562"/>
        <v>0</v>
      </c>
      <c r="AD513" s="29">
        <f t="shared" si="563"/>
        <v>0</v>
      </c>
      <c r="AE513" s="29">
        <f t="shared" si="564"/>
        <v>0</v>
      </c>
      <c r="AF513" s="29">
        <f t="shared" si="565"/>
        <v>0</v>
      </c>
      <c r="AG513" s="29">
        <f t="shared" si="566"/>
        <v>0</v>
      </c>
      <c r="AH513" s="29">
        <f t="shared" si="567"/>
        <v>0</v>
      </c>
      <c r="AI513" s="48" t="s">
        <v>60</v>
      </c>
      <c r="AJ513" s="55">
        <f t="shared" si="568"/>
        <v>0</v>
      </c>
      <c r="AK513" s="55">
        <f t="shared" si="569"/>
        <v>0</v>
      </c>
      <c r="AL513" s="55">
        <f t="shared" si="570"/>
        <v>0</v>
      </c>
      <c r="AN513" s="29">
        <v>15</v>
      </c>
      <c r="AO513" s="29">
        <f>G513*0.0743483984487449</f>
        <v>0</v>
      </c>
      <c r="AP513" s="29">
        <f>G513*(1-0.0743483984487449)</f>
        <v>0</v>
      </c>
      <c r="AQ513" s="51" t="s">
        <v>85</v>
      </c>
      <c r="AV513" s="29">
        <f t="shared" si="571"/>
        <v>0</v>
      </c>
      <c r="AW513" s="29">
        <f t="shared" si="572"/>
        <v>0</v>
      </c>
      <c r="AX513" s="29">
        <f t="shared" si="573"/>
        <v>0</v>
      </c>
      <c r="AY513" s="54" t="s">
        <v>1532</v>
      </c>
      <c r="AZ513" s="54" t="s">
        <v>1541</v>
      </c>
      <c r="BA513" s="48" t="s">
        <v>1542</v>
      </c>
      <c r="BC513" s="29">
        <f t="shared" si="574"/>
        <v>0</v>
      </c>
      <c r="BD513" s="29">
        <f t="shared" si="575"/>
        <v>0</v>
      </c>
      <c r="BE513" s="29">
        <v>0</v>
      </c>
      <c r="BF513" s="29">
        <f t="shared" si="576"/>
        <v>0</v>
      </c>
      <c r="BH513" s="55">
        <f t="shared" si="577"/>
        <v>0</v>
      </c>
      <c r="BI513" s="55">
        <f t="shared" si="578"/>
        <v>0</v>
      </c>
      <c r="BJ513" s="55">
        <f t="shared" si="579"/>
        <v>0</v>
      </c>
    </row>
    <row r="514" spans="1:62" ht="12.75">
      <c r="A514" s="36" t="s">
        <v>1755</v>
      </c>
      <c r="B514" s="36" t="s">
        <v>60</v>
      </c>
      <c r="C514" s="36" t="s">
        <v>1123</v>
      </c>
      <c r="D514" s="36" t="s">
        <v>1430</v>
      </c>
      <c r="E514" s="36" t="s">
        <v>606</v>
      </c>
      <c r="F514" s="55">
        <f>'Stavební rozpočet'!F521</f>
        <v>14</v>
      </c>
      <c r="G514" s="55">
        <f>'Stavební rozpočet'!G521</f>
        <v>0</v>
      </c>
      <c r="H514" s="55">
        <f t="shared" si="556"/>
        <v>0</v>
      </c>
      <c r="I514" s="55">
        <f t="shared" si="557"/>
        <v>0</v>
      </c>
      <c r="J514" s="55">
        <f t="shared" si="558"/>
        <v>0</v>
      </c>
      <c r="K514" s="55">
        <f>'Stavební rozpočet'!K521</f>
        <v>0</v>
      </c>
      <c r="L514" s="55">
        <f t="shared" si="559"/>
        <v>0</v>
      </c>
      <c r="M514" s="51" t="s">
        <v>622</v>
      </c>
      <c r="Z514" s="29">
        <f t="shared" si="560"/>
        <v>0</v>
      </c>
      <c r="AB514" s="29">
        <f t="shared" si="561"/>
        <v>0</v>
      </c>
      <c r="AC514" s="29">
        <f t="shared" si="562"/>
        <v>0</v>
      </c>
      <c r="AD514" s="29">
        <f t="shared" si="563"/>
        <v>0</v>
      </c>
      <c r="AE514" s="29">
        <f t="shared" si="564"/>
        <v>0</v>
      </c>
      <c r="AF514" s="29">
        <f t="shared" si="565"/>
        <v>0</v>
      </c>
      <c r="AG514" s="29">
        <f t="shared" si="566"/>
        <v>0</v>
      </c>
      <c r="AH514" s="29">
        <f t="shared" si="567"/>
        <v>0</v>
      </c>
      <c r="AI514" s="48" t="s">
        <v>60</v>
      </c>
      <c r="AJ514" s="55">
        <f t="shared" si="568"/>
        <v>0</v>
      </c>
      <c r="AK514" s="55">
        <f t="shared" si="569"/>
        <v>0</v>
      </c>
      <c r="AL514" s="55">
        <f t="shared" si="570"/>
        <v>0</v>
      </c>
      <c r="AN514" s="29">
        <v>15</v>
      </c>
      <c r="AO514" s="29">
        <f>G514*0.0272972972972973</f>
        <v>0</v>
      </c>
      <c r="AP514" s="29">
        <f>G514*(1-0.0272972972972973)</f>
        <v>0</v>
      </c>
      <c r="AQ514" s="51" t="s">
        <v>85</v>
      </c>
      <c r="AV514" s="29">
        <f t="shared" si="571"/>
        <v>0</v>
      </c>
      <c r="AW514" s="29">
        <f t="shared" si="572"/>
        <v>0</v>
      </c>
      <c r="AX514" s="29">
        <f t="shared" si="573"/>
        <v>0</v>
      </c>
      <c r="AY514" s="54" t="s">
        <v>1532</v>
      </c>
      <c r="AZ514" s="54" t="s">
        <v>1541</v>
      </c>
      <c r="BA514" s="48" t="s">
        <v>1542</v>
      </c>
      <c r="BC514" s="29">
        <f t="shared" si="574"/>
        <v>0</v>
      </c>
      <c r="BD514" s="29">
        <f t="shared" si="575"/>
        <v>0</v>
      </c>
      <c r="BE514" s="29">
        <v>0</v>
      </c>
      <c r="BF514" s="29">
        <f t="shared" si="576"/>
        <v>0</v>
      </c>
      <c r="BH514" s="55">
        <f t="shared" si="577"/>
        <v>0</v>
      </c>
      <c r="BI514" s="55">
        <f t="shared" si="578"/>
        <v>0</v>
      </c>
      <c r="BJ514" s="55">
        <f t="shared" si="579"/>
        <v>0</v>
      </c>
    </row>
    <row r="515" spans="1:62" ht="12.75">
      <c r="A515" s="36" t="s">
        <v>1756</v>
      </c>
      <c r="B515" s="36" t="s">
        <v>60</v>
      </c>
      <c r="C515" s="36" t="s">
        <v>1124</v>
      </c>
      <c r="D515" s="36" t="s">
        <v>1431</v>
      </c>
      <c r="E515" s="36" t="s">
        <v>606</v>
      </c>
      <c r="F515" s="55">
        <f>'Stavební rozpočet'!F522</f>
        <v>25</v>
      </c>
      <c r="G515" s="55">
        <f>'Stavební rozpočet'!G522</f>
        <v>0</v>
      </c>
      <c r="H515" s="55">
        <f t="shared" si="556"/>
        <v>0</v>
      </c>
      <c r="I515" s="55">
        <f t="shared" si="557"/>
        <v>0</v>
      </c>
      <c r="J515" s="55">
        <f t="shared" si="558"/>
        <v>0</v>
      </c>
      <c r="K515" s="55">
        <f>'Stavební rozpočet'!K522</f>
        <v>0</v>
      </c>
      <c r="L515" s="55">
        <f t="shared" si="559"/>
        <v>0</v>
      </c>
      <c r="M515" s="51" t="s">
        <v>622</v>
      </c>
      <c r="Z515" s="29">
        <f t="shared" si="560"/>
        <v>0</v>
      </c>
      <c r="AB515" s="29">
        <f t="shared" si="561"/>
        <v>0</v>
      </c>
      <c r="AC515" s="29">
        <f t="shared" si="562"/>
        <v>0</v>
      </c>
      <c r="AD515" s="29">
        <f t="shared" si="563"/>
        <v>0</v>
      </c>
      <c r="AE515" s="29">
        <f t="shared" si="564"/>
        <v>0</v>
      </c>
      <c r="AF515" s="29">
        <f t="shared" si="565"/>
        <v>0</v>
      </c>
      <c r="AG515" s="29">
        <f t="shared" si="566"/>
        <v>0</v>
      </c>
      <c r="AH515" s="29">
        <f t="shared" si="567"/>
        <v>0</v>
      </c>
      <c r="AI515" s="48" t="s">
        <v>60</v>
      </c>
      <c r="AJ515" s="55">
        <f t="shared" si="568"/>
        <v>0</v>
      </c>
      <c r="AK515" s="55">
        <f t="shared" si="569"/>
        <v>0</v>
      </c>
      <c r="AL515" s="55">
        <f t="shared" si="570"/>
        <v>0</v>
      </c>
      <c r="AN515" s="29">
        <v>15</v>
      </c>
      <c r="AO515" s="29">
        <f>G515*0.0878362842032651</f>
        <v>0</v>
      </c>
      <c r="AP515" s="29">
        <f>G515*(1-0.0878362842032651)</f>
        <v>0</v>
      </c>
      <c r="AQ515" s="51" t="s">
        <v>85</v>
      </c>
      <c r="AV515" s="29">
        <f t="shared" si="571"/>
        <v>0</v>
      </c>
      <c r="AW515" s="29">
        <f t="shared" si="572"/>
        <v>0</v>
      </c>
      <c r="AX515" s="29">
        <f t="shared" si="573"/>
        <v>0</v>
      </c>
      <c r="AY515" s="54" t="s">
        <v>1532</v>
      </c>
      <c r="AZ515" s="54" t="s">
        <v>1541</v>
      </c>
      <c r="BA515" s="48" t="s">
        <v>1542</v>
      </c>
      <c r="BC515" s="29">
        <f t="shared" si="574"/>
        <v>0</v>
      </c>
      <c r="BD515" s="29">
        <f t="shared" si="575"/>
        <v>0</v>
      </c>
      <c r="BE515" s="29">
        <v>0</v>
      </c>
      <c r="BF515" s="29">
        <f t="shared" si="576"/>
        <v>0</v>
      </c>
      <c r="BH515" s="55">
        <f t="shared" si="577"/>
        <v>0</v>
      </c>
      <c r="BI515" s="55">
        <f t="shared" si="578"/>
        <v>0</v>
      </c>
      <c r="BJ515" s="55">
        <f t="shared" si="579"/>
        <v>0</v>
      </c>
    </row>
    <row r="516" spans="1:62" ht="12.75">
      <c r="A516" s="36" t="s">
        <v>1757</v>
      </c>
      <c r="B516" s="36" t="s">
        <v>60</v>
      </c>
      <c r="C516" s="36" t="s">
        <v>1125</v>
      </c>
      <c r="D516" s="36" t="s">
        <v>1432</v>
      </c>
      <c r="E516" s="36" t="s">
        <v>609</v>
      </c>
      <c r="F516" s="55">
        <f>'Stavební rozpočet'!F523</f>
        <v>46.4</v>
      </c>
      <c r="G516" s="55">
        <f>'Stavební rozpočet'!G523</f>
        <v>0</v>
      </c>
      <c r="H516" s="55">
        <f t="shared" si="556"/>
        <v>0</v>
      </c>
      <c r="I516" s="55">
        <f t="shared" si="557"/>
        <v>0</v>
      </c>
      <c r="J516" s="55">
        <f t="shared" si="558"/>
        <v>0</v>
      </c>
      <c r="K516" s="55">
        <f>'Stavební rozpočet'!K523</f>
        <v>0</v>
      </c>
      <c r="L516" s="55">
        <f t="shared" si="559"/>
        <v>0</v>
      </c>
      <c r="M516" s="51" t="s">
        <v>622</v>
      </c>
      <c r="Z516" s="29">
        <f t="shared" si="560"/>
        <v>0</v>
      </c>
      <c r="AB516" s="29">
        <f t="shared" si="561"/>
        <v>0</v>
      </c>
      <c r="AC516" s="29">
        <f t="shared" si="562"/>
        <v>0</v>
      </c>
      <c r="AD516" s="29">
        <f t="shared" si="563"/>
        <v>0</v>
      </c>
      <c r="AE516" s="29">
        <f t="shared" si="564"/>
        <v>0</v>
      </c>
      <c r="AF516" s="29">
        <f t="shared" si="565"/>
        <v>0</v>
      </c>
      <c r="AG516" s="29">
        <f t="shared" si="566"/>
        <v>0</v>
      </c>
      <c r="AH516" s="29">
        <f t="shared" si="567"/>
        <v>0</v>
      </c>
      <c r="AI516" s="48" t="s">
        <v>60</v>
      </c>
      <c r="AJ516" s="55">
        <f t="shared" si="568"/>
        <v>0</v>
      </c>
      <c r="AK516" s="55">
        <f t="shared" si="569"/>
        <v>0</v>
      </c>
      <c r="AL516" s="55">
        <f t="shared" si="570"/>
        <v>0</v>
      </c>
      <c r="AN516" s="29">
        <v>15</v>
      </c>
      <c r="AO516" s="29">
        <f>G516*0</f>
        <v>0</v>
      </c>
      <c r="AP516" s="29">
        <f>G516*(1-0)</f>
        <v>0</v>
      </c>
      <c r="AQ516" s="51" t="s">
        <v>85</v>
      </c>
      <c r="AV516" s="29">
        <f t="shared" si="571"/>
        <v>0</v>
      </c>
      <c r="AW516" s="29">
        <f t="shared" si="572"/>
        <v>0</v>
      </c>
      <c r="AX516" s="29">
        <f t="shared" si="573"/>
        <v>0</v>
      </c>
      <c r="AY516" s="54" t="s">
        <v>1532</v>
      </c>
      <c r="AZ516" s="54" t="s">
        <v>1541</v>
      </c>
      <c r="BA516" s="48" t="s">
        <v>1542</v>
      </c>
      <c r="BC516" s="29">
        <f t="shared" si="574"/>
        <v>0</v>
      </c>
      <c r="BD516" s="29">
        <f t="shared" si="575"/>
        <v>0</v>
      </c>
      <c r="BE516" s="29">
        <v>0</v>
      </c>
      <c r="BF516" s="29">
        <f t="shared" si="576"/>
        <v>0</v>
      </c>
      <c r="BH516" s="55">
        <f t="shared" si="577"/>
        <v>0</v>
      </c>
      <c r="BI516" s="55">
        <f t="shared" si="578"/>
        <v>0</v>
      </c>
      <c r="BJ516" s="55">
        <f t="shared" si="579"/>
        <v>0</v>
      </c>
    </row>
    <row r="517" spans="1:62" ht="12.75">
      <c r="A517" s="36" t="s">
        <v>1758</v>
      </c>
      <c r="B517" s="36" t="s">
        <v>60</v>
      </c>
      <c r="C517" s="36" t="s">
        <v>1127</v>
      </c>
      <c r="D517" s="36" t="s">
        <v>1434</v>
      </c>
      <c r="E517" s="36" t="s">
        <v>609</v>
      </c>
      <c r="F517" s="55">
        <f>'Stavební rozpočet'!F525</f>
        <v>3.4</v>
      </c>
      <c r="G517" s="55">
        <f>'Stavební rozpočet'!G525</f>
        <v>0</v>
      </c>
      <c r="H517" s="55">
        <f t="shared" si="556"/>
        <v>0</v>
      </c>
      <c r="I517" s="55">
        <f t="shared" si="557"/>
        <v>0</v>
      </c>
      <c r="J517" s="55">
        <f t="shared" si="558"/>
        <v>0</v>
      </c>
      <c r="K517" s="55">
        <f>'Stavební rozpočet'!K525</f>
        <v>0</v>
      </c>
      <c r="L517" s="55">
        <f t="shared" si="559"/>
        <v>0</v>
      </c>
      <c r="M517" s="51" t="s">
        <v>622</v>
      </c>
      <c r="Z517" s="29">
        <f t="shared" si="560"/>
        <v>0</v>
      </c>
      <c r="AB517" s="29">
        <f t="shared" si="561"/>
        <v>0</v>
      </c>
      <c r="AC517" s="29">
        <f t="shared" si="562"/>
        <v>0</v>
      </c>
      <c r="AD517" s="29">
        <f t="shared" si="563"/>
        <v>0</v>
      </c>
      <c r="AE517" s="29">
        <f t="shared" si="564"/>
        <v>0</v>
      </c>
      <c r="AF517" s="29">
        <f t="shared" si="565"/>
        <v>0</v>
      </c>
      <c r="AG517" s="29">
        <f t="shared" si="566"/>
        <v>0</v>
      </c>
      <c r="AH517" s="29">
        <f t="shared" si="567"/>
        <v>0</v>
      </c>
      <c r="AI517" s="48" t="s">
        <v>60</v>
      </c>
      <c r="AJ517" s="55">
        <f t="shared" si="568"/>
        <v>0</v>
      </c>
      <c r="AK517" s="55">
        <f t="shared" si="569"/>
        <v>0</v>
      </c>
      <c r="AL517" s="55">
        <f t="shared" si="570"/>
        <v>0</v>
      </c>
      <c r="AN517" s="29">
        <v>15</v>
      </c>
      <c r="AO517" s="29">
        <f>G517*0</f>
        <v>0</v>
      </c>
      <c r="AP517" s="29">
        <f>G517*(1-0)</f>
        <v>0</v>
      </c>
      <c r="AQ517" s="51" t="s">
        <v>85</v>
      </c>
      <c r="AV517" s="29">
        <f t="shared" si="571"/>
        <v>0</v>
      </c>
      <c r="AW517" s="29">
        <f t="shared" si="572"/>
        <v>0</v>
      </c>
      <c r="AX517" s="29">
        <f t="shared" si="573"/>
        <v>0</v>
      </c>
      <c r="AY517" s="54" t="s">
        <v>1532</v>
      </c>
      <c r="AZ517" s="54" t="s">
        <v>1541</v>
      </c>
      <c r="BA517" s="48" t="s">
        <v>1542</v>
      </c>
      <c r="BC517" s="29">
        <f t="shared" si="574"/>
        <v>0</v>
      </c>
      <c r="BD517" s="29">
        <f t="shared" si="575"/>
        <v>0</v>
      </c>
      <c r="BE517" s="29">
        <v>0</v>
      </c>
      <c r="BF517" s="29">
        <f t="shared" si="576"/>
        <v>0</v>
      </c>
      <c r="BH517" s="55">
        <f t="shared" si="577"/>
        <v>0</v>
      </c>
      <c r="BI517" s="55">
        <f t="shared" si="578"/>
        <v>0</v>
      </c>
      <c r="BJ517" s="55">
        <f t="shared" si="579"/>
        <v>0</v>
      </c>
    </row>
    <row r="518" spans="1:62" ht="12.75">
      <c r="A518" s="36" t="s">
        <v>1759</v>
      </c>
      <c r="B518" s="36" t="s">
        <v>60</v>
      </c>
      <c r="C518" s="36" t="s">
        <v>1129</v>
      </c>
      <c r="D518" s="36" t="s">
        <v>1436</v>
      </c>
      <c r="E518" s="36" t="s">
        <v>609</v>
      </c>
      <c r="F518" s="55">
        <f>'Stavební rozpočet'!F527</f>
        <v>7.7</v>
      </c>
      <c r="G518" s="55">
        <f>'Stavební rozpočet'!G527</f>
        <v>0</v>
      </c>
      <c r="H518" s="55">
        <f t="shared" si="556"/>
        <v>0</v>
      </c>
      <c r="I518" s="55">
        <f t="shared" si="557"/>
        <v>0</v>
      </c>
      <c r="J518" s="55">
        <f t="shared" si="558"/>
        <v>0</v>
      </c>
      <c r="K518" s="55">
        <f>'Stavební rozpočet'!K527</f>
        <v>0</v>
      </c>
      <c r="L518" s="55">
        <f t="shared" si="559"/>
        <v>0</v>
      </c>
      <c r="M518" s="51" t="s">
        <v>622</v>
      </c>
      <c r="Z518" s="29">
        <f t="shared" si="560"/>
        <v>0</v>
      </c>
      <c r="AB518" s="29">
        <f t="shared" si="561"/>
        <v>0</v>
      </c>
      <c r="AC518" s="29">
        <f t="shared" si="562"/>
        <v>0</v>
      </c>
      <c r="AD518" s="29">
        <f t="shared" si="563"/>
        <v>0</v>
      </c>
      <c r="AE518" s="29">
        <f t="shared" si="564"/>
        <v>0</v>
      </c>
      <c r="AF518" s="29">
        <f t="shared" si="565"/>
        <v>0</v>
      </c>
      <c r="AG518" s="29">
        <f t="shared" si="566"/>
        <v>0</v>
      </c>
      <c r="AH518" s="29">
        <f t="shared" si="567"/>
        <v>0</v>
      </c>
      <c r="AI518" s="48" t="s">
        <v>60</v>
      </c>
      <c r="AJ518" s="55">
        <f t="shared" si="568"/>
        <v>0</v>
      </c>
      <c r="AK518" s="55">
        <f t="shared" si="569"/>
        <v>0</v>
      </c>
      <c r="AL518" s="55">
        <f t="shared" si="570"/>
        <v>0</v>
      </c>
      <c r="AN518" s="29">
        <v>15</v>
      </c>
      <c r="AO518" s="29">
        <f>G518*0</f>
        <v>0</v>
      </c>
      <c r="AP518" s="29">
        <f>G518*(1-0)</f>
        <v>0</v>
      </c>
      <c r="AQ518" s="51" t="s">
        <v>85</v>
      </c>
      <c r="AV518" s="29">
        <f t="shared" si="571"/>
        <v>0</v>
      </c>
      <c r="AW518" s="29">
        <f t="shared" si="572"/>
        <v>0</v>
      </c>
      <c r="AX518" s="29">
        <f t="shared" si="573"/>
        <v>0</v>
      </c>
      <c r="AY518" s="54" t="s">
        <v>1532</v>
      </c>
      <c r="AZ518" s="54" t="s">
        <v>1541</v>
      </c>
      <c r="BA518" s="48" t="s">
        <v>1542</v>
      </c>
      <c r="BC518" s="29">
        <f t="shared" si="574"/>
        <v>0</v>
      </c>
      <c r="BD518" s="29">
        <f t="shared" si="575"/>
        <v>0</v>
      </c>
      <c r="BE518" s="29">
        <v>0</v>
      </c>
      <c r="BF518" s="29">
        <f t="shared" si="576"/>
        <v>0</v>
      </c>
      <c r="BH518" s="55">
        <f t="shared" si="577"/>
        <v>0</v>
      </c>
      <c r="BI518" s="55">
        <f t="shared" si="578"/>
        <v>0</v>
      </c>
      <c r="BJ518" s="55">
        <f t="shared" si="579"/>
        <v>0</v>
      </c>
    </row>
    <row r="519" spans="1:62" ht="12.75">
      <c r="A519" s="36" t="s">
        <v>1760</v>
      </c>
      <c r="B519" s="36" t="s">
        <v>60</v>
      </c>
      <c r="C519" s="36" t="s">
        <v>1130</v>
      </c>
      <c r="D519" s="36" t="s">
        <v>1437</v>
      </c>
      <c r="E519" s="36" t="s">
        <v>608</v>
      </c>
      <c r="F519" s="55">
        <f>'Stavební rozpočet'!F529</f>
        <v>94.84</v>
      </c>
      <c r="G519" s="55">
        <f>'Stavební rozpočet'!G529</f>
        <v>0</v>
      </c>
      <c r="H519" s="55">
        <f t="shared" si="556"/>
        <v>0</v>
      </c>
      <c r="I519" s="55">
        <f t="shared" si="557"/>
        <v>0</v>
      </c>
      <c r="J519" s="55">
        <f t="shared" si="558"/>
        <v>0</v>
      </c>
      <c r="K519" s="55">
        <f>'Stavební rozpočet'!K529</f>
        <v>0.00487</v>
      </c>
      <c r="L519" s="55">
        <f t="shared" si="559"/>
        <v>0.4618708</v>
      </c>
      <c r="M519" s="51" t="s">
        <v>622</v>
      </c>
      <c r="Z519" s="29">
        <f t="shared" si="560"/>
        <v>0</v>
      </c>
      <c r="AB519" s="29">
        <f t="shared" si="561"/>
        <v>0</v>
      </c>
      <c r="AC519" s="29">
        <f t="shared" si="562"/>
        <v>0</v>
      </c>
      <c r="AD519" s="29">
        <f t="shared" si="563"/>
        <v>0</v>
      </c>
      <c r="AE519" s="29">
        <f t="shared" si="564"/>
        <v>0</v>
      </c>
      <c r="AF519" s="29">
        <f t="shared" si="565"/>
        <v>0</v>
      </c>
      <c r="AG519" s="29">
        <f t="shared" si="566"/>
        <v>0</v>
      </c>
      <c r="AH519" s="29">
        <f t="shared" si="567"/>
        <v>0</v>
      </c>
      <c r="AI519" s="48" t="s">
        <v>60</v>
      </c>
      <c r="AJ519" s="55">
        <f t="shared" si="568"/>
        <v>0</v>
      </c>
      <c r="AK519" s="55">
        <f t="shared" si="569"/>
        <v>0</v>
      </c>
      <c r="AL519" s="55">
        <f t="shared" si="570"/>
        <v>0</v>
      </c>
      <c r="AN519" s="29">
        <v>15</v>
      </c>
      <c r="AO519" s="29">
        <f>G519*0.143831454029162</f>
        <v>0</v>
      </c>
      <c r="AP519" s="29">
        <f>G519*(1-0.143831454029162)</f>
        <v>0</v>
      </c>
      <c r="AQ519" s="51" t="s">
        <v>85</v>
      </c>
      <c r="AV519" s="29">
        <f t="shared" si="571"/>
        <v>0</v>
      </c>
      <c r="AW519" s="29">
        <f t="shared" si="572"/>
        <v>0</v>
      </c>
      <c r="AX519" s="29">
        <f t="shared" si="573"/>
        <v>0</v>
      </c>
      <c r="AY519" s="54" t="s">
        <v>1532</v>
      </c>
      <c r="AZ519" s="54" t="s">
        <v>1541</v>
      </c>
      <c r="BA519" s="48" t="s">
        <v>1542</v>
      </c>
      <c r="BC519" s="29">
        <f t="shared" si="574"/>
        <v>0</v>
      </c>
      <c r="BD519" s="29">
        <f t="shared" si="575"/>
        <v>0</v>
      </c>
      <c r="BE519" s="29">
        <v>0</v>
      </c>
      <c r="BF519" s="29">
        <f t="shared" si="576"/>
        <v>0.4618708</v>
      </c>
      <c r="BH519" s="55">
        <f t="shared" si="577"/>
        <v>0</v>
      </c>
      <c r="BI519" s="55">
        <f t="shared" si="578"/>
        <v>0</v>
      </c>
      <c r="BJ519" s="55">
        <f t="shared" si="579"/>
        <v>0</v>
      </c>
    </row>
    <row r="520" spans="1:62" ht="12.75">
      <c r="A520" s="36" t="s">
        <v>1761</v>
      </c>
      <c r="B520" s="36" t="s">
        <v>60</v>
      </c>
      <c r="C520" s="36" t="s">
        <v>1131</v>
      </c>
      <c r="D520" s="36" t="s">
        <v>1438</v>
      </c>
      <c r="E520" s="36" t="s">
        <v>608</v>
      </c>
      <c r="F520" s="55">
        <f>'Stavební rozpočet'!F531</f>
        <v>96.72</v>
      </c>
      <c r="G520" s="55">
        <f>'Stavební rozpočet'!G531</f>
        <v>0</v>
      </c>
      <c r="H520" s="55">
        <f t="shared" si="556"/>
        <v>0</v>
      </c>
      <c r="I520" s="55">
        <f t="shared" si="557"/>
        <v>0</v>
      </c>
      <c r="J520" s="55">
        <f t="shared" si="558"/>
        <v>0</v>
      </c>
      <c r="K520" s="55">
        <f>'Stavební rozpočet'!K531</f>
        <v>0.00011</v>
      </c>
      <c r="L520" s="55">
        <f t="shared" si="559"/>
        <v>0.0106392</v>
      </c>
      <c r="M520" s="51" t="s">
        <v>622</v>
      </c>
      <c r="Z520" s="29">
        <f t="shared" si="560"/>
        <v>0</v>
      </c>
      <c r="AB520" s="29">
        <f t="shared" si="561"/>
        <v>0</v>
      </c>
      <c r="AC520" s="29">
        <f t="shared" si="562"/>
        <v>0</v>
      </c>
      <c r="AD520" s="29">
        <f t="shared" si="563"/>
        <v>0</v>
      </c>
      <c r="AE520" s="29">
        <f t="shared" si="564"/>
        <v>0</v>
      </c>
      <c r="AF520" s="29">
        <f t="shared" si="565"/>
        <v>0</v>
      </c>
      <c r="AG520" s="29">
        <f t="shared" si="566"/>
        <v>0</v>
      </c>
      <c r="AH520" s="29">
        <f t="shared" si="567"/>
        <v>0</v>
      </c>
      <c r="AI520" s="48" t="s">
        <v>60</v>
      </c>
      <c r="AJ520" s="55">
        <f t="shared" si="568"/>
        <v>0</v>
      </c>
      <c r="AK520" s="55">
        <f t="shared" si="569"/>
        <v>0</v>
      </c>
      <c r="AL520" s="55">
        <f t="shared" si="570"/>
        <v>0</v>
      </c>
      <c r="AN520" s="29">
        <v>15</v>
      </c>
      <c r="AO520" s="29">
        <f>G520*1.00000071536683</f>
        <v>0</v>
      </c>
      <c r="AP520" s="29">
        <f>G520*(1-1.00000071536683)</f>
        <v>0</v>
      </c>
      <c r="AQ520" s="51" t="s">
        <v>85</v>
      </c>
      <c r="AV520" s="29">
        <f t="shared" si="571"/>
        <v>0</v>
      </c>
      <c r="AW520" s="29">
        <f t="shared" si="572"/>
        <v>0</v>
      </c>
      <c r="AX520" s="29">
        <f t="shared" si="573"/>
        <v>0</v>
      </c>
      <c r="AY520" s="54" t="s">
        <v>1532</v>
      </c>
      <c r="AZ520" s="54" t="s">
        <v>1541</v>
      </c>
      <c r="BA520" s="48" t="s">
        <v>1542</v>
      </c>
      <c r="BC520" s="29">
        <f t="shared" si="574"/>
        <v>0</v>
      </c>
      <c r="BD520" s="29">
        <f t="shared" si="575"/>
        <v>0</v>
      </c>
      <c r="BE520" s="29">
        <v>0</v>
      </c>
      <c r="BF520" s="29">
        <f t="shared" si="576"/>
        <v>0.0106392</v>
      </c>
      <c r="BH520" s="55">
        <f t="shared" si="577"/>
        <v>0</v>
      </c>
      <c r="BI520" s="55">
        <f t="shared" si="578"/>
        <v>0</v>
      </c>
      <c r="BJ520" s="55">
        <f t="shared" si="579"/>
        <v>0</v>
      </c>
    </row>
    <row r="521" spans="1:62" ht="12.75">
      <c r="A521" s="36" t="s">
        <v>1762</v>
      </c>
      <c r="B521" s="36" t="s">
        <v>60</v>
      </c>
      <c r="C521" s="36" t="s">
        <v>1132</v>
      </c>
      <c r="D521" s="36" t="s">
        <v>1439</v>
      </c>
      <c r="E521" s="36" t="s">
        <v>608</v>
      </c>
      <c r="F521" s="55">
        <f>'Stavební rozpočet'!F532</f>
        <v>94.84</v>
      </c>
      <c r="G521" s="55">
        <f>'Stavební rozpočet'!G532</f>
        <v>0</v>
      </c>
      <c r="H521" s="55">
        <f t="shared" si="556"/>
        <v>0</v>
      </c>
      <c r="I521" s="55">
        <f t="shared" si="557"/>
        <v>0</v>
      </c>
      <c r="J521" s="55">
        <f t="shared" si="558"/>
        <v>0</v>
      </c>
      <c r="K521" s="55">
        <f>'Stavební rozpočet'!K532</f>
        <v>0</v>
      </c>
      <c r="L521" s="55">
        <f t="shared" si="559"/>
        <v>0</v>
      </c>
      <c r="M521" s="51" t="s">
        <v>622</v>
      </c>
      <c r="Z521" s="29">
        <f t="shared" si="560"/>
        <v>0</v>
      </c>
      <c r="AB521" s="29">
        <f t="shared" si="561"/>
        <v>0</v>
      </c>
      <c r="AC521" s="29">
        <f t="shared" si="562"/>
        <v>0</v>
      </c>
      <c r="AD521" s="29">
        <f t="shared" si="563"/>
        <v>0</v>
      </c>
      <c r="AE521" s="29">
        <f t="shared" si="564"/>
        <v>0</v>
      </c>
      <c r="AF521" s="29">
        <f t="shared" si="565"/>
        <v>0</v>
      </c>
      <c r="AG521" s="29">
        <f t="shared" si="566"/>
        <v>0</v>
      </c>
      <c r="AH521" s="29">
        <f t="shared" si="567"/>
        <v>0</v>
      </c>
      <c r="AI521" s="48" t="s">
        <v>60</v>
      </c>
      <c r="AJ521" s="55">
        <f t="shared" si="568"/>
        <v>0</v>
      </c>
      <c r="AK521" s="55">
        <f t="shared" si="569"/>
        <v>0</v>
      </c>
      <c r="AL521" s="55">
        <f t="shared" si="570"/>
        <v>0</v>
      </c>
      <c r="AN521" s="29">
        <v>15</v>
      </c>
      <c r="AO521" s="29">
        <f>G521*0</f>
        <v>0</v>
      </c>
      <c r="AP521" s="29">
        <f>G521*(1-0)</f>
        <v>0</v>
      </c>
      <c r="AQ521" s="51" t="s">
        <v>85</v>
      </c>
      <c r="AV521" s="29">
        <f t="shared" si="571"/>
        <v>0</v>
      </c>
      <c r="AW521" s="29">
        <f t="shared" si="572"/>
        <v>0</v>
      </c>
      <c r="AX521" s="29">
        <f t="shared" si="573"/>
        <v>0</v>
      </c>
      <c r="AY521" s="54" t="s">
        <v>1532</v>
      </c>
      <c r="AZ521" s="54" t="s">
        <v>1541</v>
      </c>
      <c r="BA521" s="48" t="s">
        <v>1542</v>
      </c>
      <c r="BC521" s="29">
        <f t="shared" si="574"/>
        <v>0</v>
      </c>
      <c r="BD521" s="29">
        <f t="shared" si="575"/>
        <v>0</v>
      </c>
      <c r="BE521" s="29">
        <v>0</v>
      </c>
      <c r="BF521" s="29">
        <f t="shared" si="576"/>
        <v>0</v>
      </c>
      <c r="BH521" s="55">
        <f t="shared" si="577"/>
        <v>0</v>
      </c>
      <c r="BI521" s="55">
        <f t="shared" si="578"/>
        <v>0</v>
      </c>
      <c r="BJ521" s="55">
        <f t="shared" si="579"/>
        <v>0</v>
      </c>
    </row>
    <row r="522" spans="1:62" ht="12.75">
      <c r="A522" s="36" t="s">
        <v>1763</v>
      </c>
      <c r="B522" s="36" t="s">
        <v>60</v>
      </c>
      <c r="C522" s="36" t="s">
        <v>1133</v>
      </c>
      <c r="D522" s="36" t="s">
        <v>1440</v>
      </c>
      <c r="E522" s="36" t="s">
        <v>609</v>
      </c>
      <c r="F522" s="55">
        <f>'Stavební rozpočet'!F533</f>
        <v>187.8</v>
      </c>
      <c r="G522" s="55">
        <f>'Stavební rozpočet'!G533</f>
        <v>0</v>
      </c>
      <c r="H522" s="55">
        <f t="shared" si="556"/>
        <v>0</v>
      </c>
      <c r="I522" s="55">
        <f t="shared" si="557"/>
        <v>0</v>
      </c>
      <c r="J522" s="55">
        <f t="shared" si="558"/>
        <v>0</v>
      </c>
      <c r="K522" s="55">
        <f>'Stavební rozpočet'!K533</f>
        <v>0</v>
      </c>
      <c r="L522" s="55">
        <f t="shared" si="559"/>
        <v>0</v>
      </c>
      <c r="M522" s="51" t="s">
        <v>622</v>
      </c>
      <c r="Z522" s="29">
        <f t="shared" si="560"/>
        <v>0</v>
      </c>
      <c r="AB522" s="29">
        <f t="shared" si="561"/>
        <v>0</v>
      </c>
      <c r="AC522" s="29">
        <f t="shared" si="562"/>
        <v>0</v>
      </c>
      <c r="AD522" s="29">
        <f t="shared" si="563"/>
        <v>0</v>
      </c>
      <c r="AE522" s="29">
        <f t="shared" si="564"/>
        <v>0</v>
      </c>
      <c r="AF522" s="29">
        <f t="shared" si="565"/>
        <v>0</v>
      </c>
      <c r="AG522" s="29">
        <f t="shared" si="566"/>
        <v>0</v>
      </c>
      <c r="AH522" s="29">
        <f t="shared" si="567"/>
        <v>0</v>
      </c>
      <c r="AI522" s="48" t="s">
        <v>60</v>
      </c>
      <c r="AJ522" s="55">
        <f t="shared" si="568"/>
        <v>0</v>
      </c>
      <c r="AK522" s="55">
        <f t="shared" si="569"/>
        <v>0</v>
      </c>
      <c r="AL522" s="55">
        <f t="shared" si="570"/>
        <v>0</v>
      </c>
      <c r="AN522" s="29">
        <v>15</v>
      </c>
      <c r="AO522" s="29">
        <f>G522*0</f>
        <v>0</v>
      </c>
      <c r="AP522" s="29">
        <f>G522*(1-0)</f>
        <v>0</v>
      </c>
      <c r="AQ522" s="51" t="s">
        <v>85</v>
      </c>
      <c r="AV522" s="29">
        <f t="shared" si="571"/>
        <v>0</v>
      </c>
      <c r="AW522" s="29">
        <f t="shared" si="572"/>
        <v>0</v>
      </c>
      <c r="AX522" s="29">
        <f t="shared" si="573"/>
        <v>0</v>
      </c>
      <c r="AY522" s="54" t="s">
        <v>1532</v>
      </c>
      <c r="AZ522" s="54" t="s">
        <v>1541</v>
      </c>
      <c r="BA522" s="48" t="s">
        <v>1542</v>
      </c>
      <c r="BC522" s="29">
        <f t="shared" si="574"/>
        <v>0</v>
      </c>
      <c r="BD522" s="29">
        <f t="shared" si="575"/>
        <v>0</v>
      </c>
      <c r="BE522" s="29">
        <v>0</v>
      </c>
      <c r="BF522" s="29">
        <f t="shared" si="576"/>
        <v>0</v>
      </c>
      <c r="BH522" s="55">
        <f t="shared" si="577"/>
        <v>0</v>
      </c>
      <c r="BI522" s="55">
        <f t="shared" si="578"/>
        <v>0</v>
      </c>
      <c r="BJ522" s="55">
        <f t="shared" si="579"/>
        <v>0</v>
      </c>
    </row>
    <row r="523" spans="1:62" ht="12.75">
      <c r="A523" s="36" t="s">
        <v>1764</v>
      </c>
      <c r="B523" s="36" t="s">
        <v>60</v>
      </c>
      <c r="C523" s="36" t="s">
        <v>1137</v>
      </c>
      <c r="D523" s="36" t="s">
        <v>1444</v>
      </c>
      <c r="E523" s="36" t="s">
        <v>612</v>
      </c>
      <c r="F523" s="55">
        <f>'Stavební rozpočet'!F537</f>
        <v>1.8</v>
      </c>
      <c r="G523" s="55">
        <f>'Stavební rozpočet'!G537</f>
        <v>0</v>
      </c>
      <c r="H523" s="55">
        <f t="shared" si="556"/>
        <v>0</v>
      </c>
      <c r="I523" s="55">
        <f t="shared" si="557"/>
        <v>0</v>
      </c>
      <c r="J523" s="55">
        <f t="shared" si="558"/>
        <v>0</v>
      </c>
      <c r="K523" s="55">
        <f>'Stavební rozpočet'!K537</f>
        <v>0</v>
      </c>
      <c r="L523" s="55">
        <f t="shared" si="559"/>
        <v>0</v>
      </c>
      <c r="M523" s="51" t="s">
        <v>622</v>
      </c>
      <c r="Z523" s="29">
        <f t="shared" si="560"/>
        <v>0</v>
      </c>
      <c r="AB523" s="29">
        <f t="shared" si="561"/>
        <v>0</v>
      </c>
      <c r="AC523" s="29">
        <f t="shared" si="562"/>
        <v>0</v>
      </c>
      <c r="AD523" s="29">
        <f t="shared" si="563"/>
        <v>0</v>
      </c>
      <c r="AE523" s="29">
        <f t="shared" si="564"/>
        <v>0</v>
      </c>
      <c r="AF523" s="29">
        <f t="shared" si="565"/>
        <v>0</v>
      </c>
      <c r="AG523" s="29">
        <f t="shared" si="566"/>
        <v>0</v>
      </c>
      <c r="AH523" s="29">
        <f t="shared" si="567"/>
        <v>0</v>
      </c>
      <c r="AI523" s="48" t="s">
        <v>60</v>
      </c>
      <c r="AJ523" s="55">
        <f t="shared" si="568"/>
        <v>0</v>
      </c>
      <c r="AK523" s="55">
        <f t="shared" si="569"/>
        <v>0</v>
      </c>
      <c r="AL523" s="55">
        <f t="shared" si="570"/>
        <v>0</v>
      </c>
      <c r="AN523" s="29">
        <v>15</v>
      </c>
      <c r="AO523" s="29">
        <f>G523*0</f>
        <v>0</v>
      </c>
      <c r="AP523" s="29">
        <f>G523*(1-0)</f>
        <v>0</v>
      </c>
      <c r="AQ523" s="51" t="s">
        <v>83</v>
      </c>
      <c r="AV523" s="29">
        <f t="shared" si="571"/>
        <v>0</v>
      </c>
      <c r="AW523" s="29">
        <f t="shared" si="572"/>
        <v>0</v>
      </c>
      <c r="AX523" s="29">
        <f t="shared" si="573"/>
        <v>0</v>
      </c>
      <c r="AY523" s="54" t="s">
        <v>1532</v>
      </c>
      <c r="AZ523" s="54" t="s">
        <v>1541</v>
      </c>
      <c r="BA523" s="48" t="s">
        <v>1542</v>
      </c>
      <c r="BC523" s="29">
        <f t="shared" si="574"/>
        <v>0</v>
      </c>
      <c r="BD523" s="29">
        <f t="shared" si="575"/>
        <v>0</v>
      </c>
      <c r="BE523" s="29">
        <v>0</v>
      </c>
      <c r="BF523" s="29">
        <f t="shared" si="576"/>
        <v>0</v>
      </c>
      <c r="BH523" s="55">
        <f t="shared" si="577"/>
        <v>0</v>
      </c>
      <c r="BI523" s="55">
        <f t="shared" si="578"/>
        <v>0</v>
      </c>
      <c r="BJ523" s="55">
        <f t="shared" si="579"/>
        <v>0</v>
      </c>
    </row>
    <row r="524" spans="1:47" ht="12.75">
      <c r="A524" s="35"/>
      <c r="B524" s="42" t="s">
        <v>60</v>
      </c>
      <c r="C524" s="42" t="s">
        <v>378</v>
      </c>
      <c r="D524" s="42" t="s">
        <v>564</v>
      </c>
      <c r="E524" s="35" t="s">
        <v>57</v>
      </c>
      <c r="F524" s="35" t="s">
        <v>57</v>
      </c>
      <c r="G524" s="35" t="s">
        <v>57</v>
      </c>
      <c r="H524" s="59">
        <f>SUM(H525:H528)</f>
        <v>0</v>
      </c>
      <c r="I524" s="59">
        <f>SUM(I525:I528)</f>
        <v>0</v>
      </c>
      <c r="J524" s="59">
        <f>SUM(J525:J528)</f>
        <v>0</v>
      </c>
      <c r="K524" s="48"/>
      <c r="L524" s="59">
        <f>SUM(L525:L528)</f>
        <v>0.2054244</v>
      </c>
      <c r="M524" s="48"/>
      <c r="AI524" s="48" t="s">
        <v>60</v>
      </c>
      <c r="AS524" s="59">
        <f>SUM(AJ525:AJ528)</f>
        <v>0</v>
      </c>
      <c r="AT524" s="59">
        <f>SUM(AK525:AK528)</f>
        <v>0</v>
      </c>
      <c r="AU524" s="59">
        <f>SUM(AL525:AL528)</f>
        <v>0</v>
      </c>
    </row>
    <row r="525" spans="1:62" ht="12.75">
      <c r="A525" s="36" t="s">
        <v>1765</v>
      </c>
      <c r="B525" s="36" t="s">
        <v>60</v>
      </c>
      <c r="C525" s="36" t="s">
        <v>379</v>
      </c>
      <c r="D525" s="36" t="s">
        <v>565</v>
      </c>
      <c r="E525" s="36" t="s">
        <v>608</v>
      </c>
      <c r="F525" s="55">
        <f>'Stavební rozpočet'!F539</f>
        <v>405.91</v>
      </c>
      <c r="G525" s="55">
        <f>'Stavební rozpočet'!G539</f>
        <v>0</v>
      </c>
      <c r="H525" s="55">
        <f>F525*AO525</f>
        <v>0</v>
      </c>
      <c r="I525" s="55">
        <f>F525*AP525</f>
        <v>0</v>
      </c>
      <c r="J525" s="55">
        <f>F525*G525</f>
        <v>0</v>
      </c>
      <c r="K525" s="55">
        <f>'Stavební rozpočet'!K539</f>
        <v>0.0002</v>
      </c>
      <c r="L525" s="55">
        <f>F525*K525</f>
        <v>0.081182</v>
      </c>
      <c r="M525" s="51" t="s">
        <v>622</v>
      </c>
      <c r="Z525" s="29">
        <f>IF(AQ525="5",BJ525,0)</f>
        <v>0</v>
      </c>
      <c r="AB525" s="29">
        <f>IF(AQ525="1",BH525,0)</f>
        <v>0</v>
      </c>
      <c r="AC525" s="29">
        <f>IF(AQ525="1",BI525,0)</f>
        <v>0</v>
      </c>
      <c r="AD525" s="29">
        <f>IF(AQ525="7",BH525,0)</f>
        <v>0</v>
      </c>
      <c r="AE525" s="29">
        <f>IF(AQ525="7",BI525,0)</f>
        <v>0</v>
      </c>
      <c r="AF525" s="29">
        <f>IF(AQ525="2",BH525,0)</f>
        <v>0</v>
      </c>
      <c r="AG525" s="29">
        <f>IF(AQ525="2",BI525,0)</f>
        <v>0</v>
      </c>
      <c r="AH525" s="29">
        <f>IF(AQ525="0",BJ525,0)</f>
        <v>0</v>
      </c>
      <c r="AI525" s="48" t="s">
        <v>60</v>
      </c>
      <c r="AJ525" s="55">
        <f>IF(AN525=0,J525,0)</f>
        <v>0</v>
      </c>
      <c r="AK525" s="55">
        <f>IF(AN525=15,J525,0)</f>
        <v>0</v>
      </c>
      <c r="AL525" s="55">
        <f>IF(AN525=21,J525,0)</f>
        <v>0</v>
      </c>
      <c r="AN525" s="29">
        <v>15</v>
      </c>
      <c r="AO525" s="29">
        <f>G525*0.453623255598255</f>
        <v>0</v>
      </c>
      <c r="AP525" s="29">
        <f>G525*(1-0.453623255598255)</f>
        <v>0</v>
      </c>
      <c r="AQ525" s="51" t="s">
        <v>85</v>
      </c>
      <c r="AV525" s="29">
        <f>AW525+AX525</f>
        <v>0</v>
      </c>
      <c r="AW525" s="29">
        <f>F525*AO525</f>
        <v>0</v>
      </c>
      <c r="AX525" s="29">
        <f>F525*AP525</f>
        <v>0</v>
      </c>
      <c r="AY525" s="54" t="s">
        <v>648</v>
      </c>
      <c r="AZ525" s="54" t="s">
        <v>1541</v>
      </c>
      <c r="BA525" s="48" t="s">
        <v>1542</v>
      </c>
      <c r="BC525" s="29">
        <f>AW525+AX525</f>
        <v>0</v>
      </c>
      <c r="BD525" s="29">
        <f>G525/(100-BE525)*100</f>
        <v>0</v>
      </c>
      <c r="BE525" s="29">
        <v>0</v>
      </c>
      <c r="BF525" s="29">
        <f>L525</f>
        <v>0.081182</v>
      </c>
      <c r="BH525" s="55">
        <f>F525*AO525</f>
        <v>0</v>
      </c>
      <c r="BI525" s="55">
        <f>F525*AP525</f>
        <v>0</v>
      </c>
      <c r="BJ525" s="55">
        <f>F525*G525</f>
        <v>0</v>
      </c>
    </row>
    <row r="526" spans="1:62" ht="12.75">
      <c r="A526" s="36" t="s">
        <v>1766</v>
      </c>
      <c r="B526" s="36" t="s">
        <v>60</v>
      </c>
      <c r="C526" s="36" t="s">
        <v>380</v>
      </c>
      <c r="D526" s="36" t="s">
        <v>566</v>
      </c>
      <c r="E526" s="36" t="s">
        <v>608</v>
      </c>
      <c r="F526" s="55">
        <f>'Stavební rozpočet'!F540</f>
        <v>38.32</v>
      </c>
      <c r="G526" s="55">
        <f>'Stavební rozpočet'!G540</f>
        <v>0</v>
      </c>
      <c r="H526" s="55">
        <f>F526*AO526</f>
        <v>0</v>
      </c>
      <c r="I526" s="55">
        <f>F526*AP526</f>
        <v>0</v>
      </c>
      <c r="J526" s="55">
        <f>F526*G526</f>
        <v>0</v>
      </c>
      <c r="K526" s="55">
        <f>'Stavební rozpočet'!K540</f>
        <v>0.0004</v>
      </c>
      <c r="L526" s="55">
        <f>F526*K526</f>
        <v>0.015328000000000001</v>
      </c>
      <c r="M526" s="51" t="s">
        <v>622</v>
      </c>
      <c r="Z526" s="29">
        <f>IF(AQ526="5",BJ526,0)</f>
        <v>0</v>
      </c>
      <c r="AB526" s="29">
        <f>IF(AQ526="1",BH526,0)</f>
        <v>0</v>
      </c>
      <c r="AC526" s="29">
        <f>IF(AQ526="1",BI526,0)</f>
        <v>0</v>
      </c>
      <c r="AD526" s="29">
        <f>IF(AQ526="7",BH526,0)</f>
        <v>0</v>
      </c>
      <c r="AE526" s="29">
        <f>IF(AQ526="7",BI526,0)</f>
        <v>0</v>
      </c>
      <c r="AF526" s="29">
        <f>IF(AQ526="2",BH526,0)</f>
        <v>0</v>
      </c>
      <c r="AG526" s="29">
        <f>IF(AQ526="2",BI526,0)</f>
        <v>0</v>
      </c>
      <c r="AH526" s="29">
        <f>IF(AQ526="0",BJ526,0)</f>
        <v>0</v>
      </c>
      <c r="AI526" s="48" t="s">
        <v>60</v>
      </c>
      <c r="AJ526" s="55">
        <f>IF(AN526=0,J526,0)</f>
        <v>0</v>
      </c>
      <c r="AK526" s="55">
        <f>IF(AN526=15,J526,0)</f>
        <v>0</v>
      </c>
      <c r="AL526" s="55">
        <f>IF(AN526=21,J526,0)</f>
        <v>0</v>
      </c>
      <c r="AN526" s="29">
        <v>15</v>
      </c>
      <c r="AO526" s="29">
        <f>G526*0.476667118116628</f>
        <v>0</v>
      </c>
      <c r="AP526" s="29">
        <f>G526*(1-0.476667118116628)</f>
        <v>0</v>
      </c>
      <c r="AQ526" s="51" t="s">
        <v>85</v>
      </c>
      <c r="AV526" s="29">
        <f>AW526+AX526</f>
        <v>0</v>
      </c>
      <c r="AW526" s="29">
        <f>F526*AO526</f>
        <v>0</v>
      </c>
      <c r="AX526" s="29">
        <f>F526*AP526</f>
        <v>0</v>
      </c>
      <c r="AY526" s="54" t="s">
        <v>648</v>
      </c>
      <c r="AZ526" s="54" t="s">
        <v>1541</v>
      </c>
      <c r="BA526" s="48" t="s">
        <v>1542</v>
      </c>
      <c r="BC526" s="29">
        <f>AW526+AX526</f>
        <v>0</v>
      </c>
      <c r="BD526" s="29">
        <f>G526/(100-BE526)*100</f>
        <v>0</v>
      </c>
      <c r="BE526" s="29">
        <v>0</v>
      </c>
      <c r="BF526" s="29">
        <f>L526</f>
        <v>0.015328000000000001</v>
      </c>
      <c r="BH526" s="55">
        <f>F526*AO526</f>
        <v>0</v>
      </c>
      <c r="BI526" s="55">
        <f>F526*AP526</f>
        <v>0</v>
      </c>
      <c r="BJ526" s="55">
        <f>F526*G526</f>
        <v>0</v>
      </c>
    </row>
    <row r="527" spans="1:62" ht="12.75">
      <c r="A527" s="36" t="s">
        <v>1767</v>
      </c>
      <c r="B527" s="36" t="s">
        <v>60</v>
      </c>
      <c r="C527" s="36" t="s">
        <v>381</v>
      </c>
      <c r="D527" s="36" t="s">
        <v>567</v>
      </c>
      <c r="E527" s="36" t="s">
        <v>608</v>
      </c>
      <c r="F527" s="55">
        <f>'Stavební rozpočet'!F541</f>
        <v>405.91</v>
      </c>
      <c r="G527" s="55">
        <f>'Stavební rozpočet'!G541</f>
        <v>0</v>
      </c>
      <c r="H527" s="55">
        <f>F527*AO527</f>
        <v>0</v>
      </c>
      <c r="I527" s="55">
        <f>F527*AP527</f>
        <v>0</v>
      </c>
      <c r="J527" s="55">
        <f>F527*G527</f>
        <v>0</v>
      </c>
      <c r="K527" s="55">
        <f>'Stavební rozpočet'!K541</f>
        <v>0.00024</v>
      </c>
      <c r="L527" s="55">
        <f>F527*K527</f>
        <v>0.0974184</v>
      </c>
      <c r="M527" s="51" t="s">
        <v>622</v>
      </c>
      <c r="Z527" s="29">
        <f>IF(AQ527="5",BJ527,0)</f>
        <v>0</v>
      </c>
      <c r="AB527" s="29">
        <f>IF(AQ527="1",BH527,0)</f>
        <v>0</v>
      </c>
      <c r="AC527" s="29">
        <f>IF(AQ527="1",BI527,0)</f>
        <v>0</v>
      </c>
      <c r="AD527" s="29">
        <f>IF(AQ527="7",BH527,0)</f>
        <v>0</v>
      </c>
      <c r="AE527" s="29">
        <f>IF(AQ527="7",BI527,0)</f>
        <v>0</v>
      </c>
      <c r="AF527" s="29">
        <f>IF(AQ527="2",BH527,0)</f>
        <v>0</v>
      </c>
      <c r="AG527" s="29">
        <f>IF(AQ527="2",BI527,0)</f>
        <v>0</v>
      </c>
      <c r="AH527" s="29">
        <f>IF(AQ527="0",BJ527,0)</f>
        <v>0</v>
      </c>
      <c r="AI527" s="48" t="s">
        <v>60</v>
      </c>
      <c r="AJ527" s="55">
        <f>IF(AN527=0,J527,0)</f>
        <v>0</v>
      </c>
      <c r="AK527" s="55">
        <f>IF(AN527=15,J527,0)</f>
        <v>0</v>
      </c>
      <c r="AL527" s="55">
        <f>IF(AN527=21,J527,0)</f>
        <v>0</v>
      </c>
      <c r="AN527" s="29">
        <v>15</v>
      </c>
      <c r="AO527" s="29">
        <f>G527*0.200631575921448</f>
        <v>0</v>
      </c>
      <c r="AP527" s="29">
        <f>G527*(1-0.200631575921448)</f>
        <v>0</v>
      </c>
      <c r="AQ527" s="51" t="s">
        <v>85</v>
      </c>
      <c r="AV527" s="29">
        <f>AW527+AX527</f>
        <v>0</v>
      </c>
      <c r="AW527" s="29">
        <f>F527*AO527</f>
        <v>0</v>
      </c>
      <c r="AX527" s="29">
        <f>F527*AP527</f>
        <v>0</v>
      </c>
      <c r="AY527" s="54" t="s">
        <v>648</v>
      </c>
      <c r="AZ527" s="54" t="s">
        <v>1541</v>
      </c>
      <c r="BA527" s="48" t="s">
        <v>1542</v>
      </c>
      <c r="BC527" s="29">
        <f>AW527+AX527</f>
        <v>0</v>
      </c>
      <c r="BD527" s="29">
        <f>G527/(100-BE527)*100</f>
        <v>0</v>
      </c>
      <c r="BE527" s="29">
        <v>0</v>
      </c>
      <c r="BF527" s="29">
        <f>L527</f>
        <v>0.0974184</v>
      </c>
      <c r="BH527" s="55">
        <f>F527*AO527</f>
        <v>0</v>
      </c>
      <c r="BI527" s="55">
        <f>F527*AP527</f>
        <v>0</v>
      </c>
      <c r="BJ527" s="55">
        <f>F527*G527</f>
        <v>0</v>
      </c>
    </row>
    <row r="528" spans="1:62" ht="12.75">
      <c r="A528" s="36" t="s">
        <v>1768</v>
      </c>
      <c r="B528" s="36" t="s">
        <v>60</v>
      </c>
      <c r="C528" s="36" t="s">
        <v>382</v>
      </c>
      <c r="D528" s="36" t="s">
        <v>568</v>
      </c>
      <c r="E528" s="36" t="s">
        <v>608</v>
      </c>
      <c r="F528" s="55">
        <f>'Stavební rozpočet'!F542</f>
        <v>38.32</v>
      </c>
      <c r="G528" s="55">
        <f>'Stavební rozpočet'!G542</f>
        <v>0</v>
      </c>
      <c r="H528" s="55">
        <f>F528*AO528</f>
        <v>0</v>
      </c>
      <c r="I528" s="55">
        <f>F528*AP528</f>
        <v>0</v>
      </c>
      <c r="J528" s="55">
        <f>F528*G528</f>
        <v>0</v>
      </c>
      <c r="K528" s="55">
        <f>'Stavební rozpočet'!K542</f>
        <v>0.0003</v>
      </c>
      <c r="L528" s="55">
        <f>F528*K528</f>
        <v>0.011496</v>
      </c>
      <c r="M528" s="51" t="s">
        <v>622</v>
      </c>
      <c r="Z528" s="29">
        <f>IF(AQ528="5",BJ528,0)</f>
        <v>0</v>
      </c>
      <c r="AB528" s="29">
        <f>IF(AQ528="1",BH528,0)</f>
        <v>0</v>
      </c>
      <c r="AC528" s="29">
        <f>IF(AQ528="1",BI528,0)</f>
        <v>0</v>
      </c>
      <c r="AD528" s="29">
        <f>IF(AQ528="7",BH528,0)</f>
        <v>0</v>
      </c>
      <c r="AE528" s="29">
        <f>IF(AQ528="7",BI528,0)</f>
        <v>0</v>
      </c>
      <c r="AF528" s="29">
        <f>IF(AQ528="2",BH528,0)</f>
        <v>0</v>
      </c>
      <c r="AG528" s="29">
        <f>IF(AQ528="2",BI528,0)</f>
        <v>0</v>
      </c>
      <c r="AH528" s="29">
        <f>IF(AQ528="0",BJ528,0)</f>
        <v>0</v>
      </c>
      <c r="AI528" s="48" t="s">
        <v>60</v>
      </c>
      <c r="AJ528" s="55">
        <f>IF(AN528=0,J528,0)</f>
        <v>0</v>
      </c>
      <c r="AK528" s="55">
        <f>IF(AN528=15,J528,0)</f>
        <v>0</v>
      </c>
      <c r="AL528" s="55">
        <f>IF(AN528=21,J528,0)</f>
        <v>0</v>
      </c>
      <c r="AN528" s="29">
        <v>15</v>
      </c>
      <c r="AO528" s="29">
        <f>G528*0.290457934336525</f>
        <v>0</v>
      </c>
      <c r="AP528" s="29">
        <f>G528*(1-0.290457934336525)</f>
        <v>0</v>
      </c>
      <c r="AQ528" s="51" t="s">
        <v>85</v>
      </c>
      <c r="AV528" s="29">
        <f>AW528+AX528</f>
        <v>0</v>
      </c>
      <c r="AW528" s="29">
        <f>F528*AO528</f>
        <v>0</v>
      </c>
      <c r="AX528" s="29">
        <f>F528*AP528</f>
        <v>0</v>
      </c>
      <c r="AY528" s="54" t="s">
        <v>648</v>
      </c>
      <c r="AZ528" s="54" t="s">
        <v>1541</v>
      </c>
      <c r="BA528" s="48" t="s">
        <v>1542</v>
      </c>
      <c r="BC528" s="29">
        <f>AW528+AX528</f>
        <v>0</v>
      </c>
      <c r="BD528" s="29">
        <f>G528/(100-BE528)*100</f>
        <v>0</v>
      </c>
      <c r="BE528" s="29">
        <v>0</v>
      </c>
      <c r="BF528" s="29">
        <f>L528</f>
        <v>0.011496</v>
      </c>
      <c r="BH528" s="55">
        <f>F528*AO528</f>
        <v>0</v>
      </c>
      <c r="BI528" s="55">
        <f>F528*AP528</f>
        <v>0</v>
      </c>
      <c r="BJ528" s="55">
        <f>F528*G528</f>
        <v>0</v>
      </c>
    </row>
    <row r="529" spans="1:47" ht="12.75">
      <c r="A529" s="35"/>
      <c r="B529" s="42" t="s">
        <v>60</v>
      </c>
      <c r="C529" s="42" t="s">
        <v>383</v>
      </c>
      <c r="D529" s="42" t="s">
        <v>569</v>
      </c>
      <c r="E529" s="35" t="s">
        <v>57</v>
      </c>
      <c r="F529" s="35" t="s">
        <v>57</v>
      </c>
      <c r="G529" s="35" t="s">
        <v>57</v>
      </c>
      <c r="H529" s="59">
        <f>SUM(H530:H652)</f>
        <v>0</v>
      </c>
      <c r="I529" s="59">
        <f>SUM(I530:I652)</f>
        <v>0</v>
      </c>
      <c r="J529" s="59">
        <f>SUM(J530:J652)</f>
        <v>0</v>
      </c>
      <c r="K529" s="48"/>
      <c r="L529" s="59">
        <f>SUM(L530:L652)</f>
        <v>0</v>
      </c>
      <c r="M529" s="48"/>
      <c r="AI529" s="48" t="s">
        <v>60</v>
      </c>
      <c r="AS529" s="59">
        <f>SUM(AJ530:AJ652)</f>
        <v>0</v>
      </c>
      <c r="AT529" s="59">
        <f>SUM(AK530:AK652)</f>
        <v>0</v>
      </c>
      <c r="AU529" s="59">
        <f>SUM(AL530:AL652)</f>
        <v>0</v>
      </c>
    </row>
    <row r="530" spans="1:62" ht="12.75">
      <c r="A530" s="36" t="s">
        <v>1769</v>
      </c>
      <c r="B530" s="36" t="s">
        <v>60</v>
      </c>
      <c r="C530" s="36" t="s">
        <v>384</v>
      </c>
      <c r="D530" s="36" t="s">
        <v>570</v>
      </c>
      <c r="E530" s="36" t="s">
        <v>606</v>
      </c>
      <c r="F530" s="55">
        <f>'Stavební rozpočet'!F544</f>
        <v>36</v>
      </c>
      <c r="G530" s="55">
        <f>'Stavební rozpočet'!G544</f>
        <v>0</v>
      </c>
      <c r="H530" s="55">
        <f aca="true" t="shared" si="580" ref="H530:H561">F530*AO530</f>
        <v>0</v>
      </c>
      <c r="I530" s="55">
        <f aca="true" t="shared" si="581" ref="I530:I561">F530*AP530</f>
        <v>0</v>
      </c>
      <c r="J530" s="55">
        <f aca="true" t="shared" si="582" ref="J530:J561">F530*G530</f>
        <v>0</v>
      </c>
      <c r="K530" s="55">
        <f>'Stavební rozpočet'!K544</f>
        <v>0</v>
      </c>
      <c r="L530" s="55">
        <f aca="true" t="shared" si="583" ref="L530:L561">F530*K530</f>
        <v>0</v>
      </c>
      <c r="M530" s="51" t="s">
        <v>622</v>
      </c>
      <c r="Z530" s="29">
        <f aca="true" t="shared" si="584" ref="Z530:Z561">IF(AQ530="5",BJ530,0)</f>
        <v>0</v>
      </c>
      <c r="AB530" s="29">
        <f aca="true" t="shared" si="585" ref="AB530:AB561">IF(AQ530="1",BH530,0)</f>
        <v>0</v>
      </c>
      <c r="AC530" s="29">
        <f aca="true" t="shared" si="586" ref="AC530:AC561">IF(AQ530="1",BI530,0)</f>
        <v>0</v>
      </c>
      <c r="AD530" s="29">
        <f aca="true" t="shared" si="587" ref="AD530:AD561">IF(AQ530="7",BH530,0)</f>
        <v>0</v>
      </c>
      <c r="AE530" s="29">
        <f aca="true" t="shared" si="588" ref="AE530:AE561">IF(AQ530="7",BI530,0)</f>
        <v>0</v>
      </c>
      <c r="AF530" s="29">
        <f aca="true" t="shared" si="589" ref="AF530:AF561">IF(AQ530="2",BH530,0)</f>
        <v>0</v>
      </c>
      <c r="AG530" s="29">
        <f aca="true" t="shared" si="590" ref="AG530:AG561">IF(AQ530="2",BI530,0)</f>
        <v>0</v>
      </c>
      <c r="AH530" s="29">
        <f aca="true" t="shared" si="591" ref="AH530:AH561">IF(AQ530="0",BJ530,0)</f>
        <v>0</v>
      </c>
      <c r="AI530" s="48" t="s">
        <v>60</v>
      </c>
      <c r="AJ530" s="55">
        <f aca="true" t="shared" si="592" ref="AJ530:AJ561">IF(AN530=0,J530,0)</f>
        <v>0</v>
      </c>
      <c r="AK530" s="55">
        <f aca="true" t="shared" si="593" ref="AK530:AK561">IF(AN530=15,J530,0)</f>
        <v>0</v>
      </c>
      <c r="AL530" s="55">
        <f aca="true" t="shared" si="594" ref="AL530:AL561">IF(AN530=21,J530,0)</f>
        <v>0</v>
      </c>
      <c r="AN530" s="29">
        <v>15</v>
      </c>
      <c r="AO530" s="29">
        <f aca="true" t="shared" si="595" ref="AO530:AO561">G530*0</f>
        <v>0</v>
      </c>
      <c r="AP530" s="29">
        <f aca="true" t="shared" si="596" ref="AP530:AP561">G530*(1-0)</f>
        <v>0</v>
      </c>
      <c r="AQ530" s="51" t="s">
        <v>79</v>
      </c>
      <c r="AV530" s="29">
        <f aca="true" t="shared" si="597" ref="AV530:AV561">AW530+AX530</f>
        <v>0</v>
      </c>
      <c r="AW530" s="29">
        <f aca="true" t="shared" si="598" ref="AW530:AW561">F530*AO530</f>
        <v>0</v>
      </c>
      <c r="AX530" s="29">
        <f aca="true" t="shared" si="599" ref="AX530:AX561">F530*AP530</f>
        <v>0</v>
      </c>
      <c r="AY530" s="54" t="s">
        <v>649</v>
      </c>
      <c r="AZ530" s="54" t="s">
        <v>1536</v>
      </c>
      <c r="BA530" s="48" t="s">
        <v>1542</v>
      </c>
      <c r="BC530" s="29">
        <f aca="true" t="shared" si="600" ref="BC530:BC561">AW530+AX530</f>
        <v>0</v>
      </c>
      <c r="BD530" s="29">
        <f aca="true" t="shared" si="601" ref="BD530:BD561">G530/(100-BE530)*100</f>
        <v>0</v>
      </c>
      <c r="BE530" s="29">
        <v>0</v>
      </c>
      <c r="BF530" s="29">
        <f aca="true" t="shared" si="602" ref="BF530:BF561">L530</f>
        <v>0</v>
      </c>
      <c r="BH530" s="55">
        <f aca="true" t="shared" si="603" ref="BH530:BH561">F530*AO530</f>
        <v>0</v>
      </c>
      <c r="BI530" s="55">
        <f aca="true" t="shared" si="604" ref="BI530:BI561">F530*AP530</f>
        <v>0</v>
      </c>
      <c r="BJ530" s="55">
        <f aca="true" t="shared" si="605" ref="BJ530:BJ561">F530*G530</f>
        <v>0</v>
      </c>
    </row>
    <row r="531" spans="1:62" ht="12.75">
      <c r="A531" s="36" t="s">
        <v>1770</v>
      </c>
      <c r="B531" s="36" t="s">
        <v>60</v>
      </c>
      <c r="C531" s="36" t="s">
        <v>385</v>
      </c>
      <c r="D531" s="36" t="s">
        <v>571</v>
      </c>
      <c r="E531" s="36" t="s">
        <v>606</v>
      </c>
      <c r="F531" s="55">
        <f>'Stavební rozpočet'!F545</f>
        <v>45</v>
      </c>
      <c r="G531" s="55">
        <f>'Stavební rozpočet'!G545</f>
        <v>0</v>
      </c>
      <c r="H531" s="55">
        <f t="shared" si="580"/>
        <v>0</v>
      </c>
      <c r="I531" s="55">
        <f t="shared" si="581"/>
        <v>0</v>
      </c>
      <c r="J531" s="55">
        <f t="shared" si="582"/>
        <v>0</v>
      </c>
      <c r="K531" s="55">
        <f>'Stavební rozpočet'!K545</f>
        <v>0</v>
      </c>
      <c r="L531" s="55">
        <f t="shared" si="583"/>
        <v>0</v>
      </c>
      <c r="M531" s="51" t="s">
        <v>622</v>
      </c>
      <c r="Z531" s="29">
        <f t="shared" si="584"/>
        <v>0</v>
      </c>
      <c r="AB531" s="29">
        <f t="shared" si="585"/>
        <v>0</v>
      </c>
      <c r="AC531" s="29">
        <f t="shared" si="586"/>
        <v>0</v>
      </c>
      <c r="AD531" s="29">
        <f t="shared" si="587"/>
        <v>0</v>
      </c>
      <c r="AE531" s="29">
        <f t="shared" si="588"/>
        <v>0</v>
      </c>
      <c r="AF531" s="29">
        <f t="shared" si="589"/>
        <v>0</v>
      </c>
      <c r="AG531" s="29">
        <f t="shared" si="590"/>
        <v>0</v>
      </c>
      <c r="AH531" s="29">
        <f t="shared" si="591"/>
        <v>0</v>
      </c>
      <c r="AI531" s="48" t="s">
        <v>60</v>
      </c>
      <c r="AJ531" s="55">
        <f t="shared" si="592"/>
        <v>0</v>
      </c>
      <c r="AK531" s="55">
        <f t="shared" si="593"/>
        <v>0</v>
      </c>
      <c r="AL531" s="55">
        <f t="shared" si="594"/>
        <v>0</v>
      </c>
      <c r="AN531" s="29">
        <v>15</v>
      </c>
      <c r="AO531" s="29">
        <f t="shared" si="595"/>
        <v>0</v>
      </c>
      <c r="AP531" s="29">
        <f t="shared" si="596"/>
        <v>0</v>
      </c>
      <c r="AQ531" s="51" t="s">
        <v>79</v>
      </c>
      <c r="AV531" s="29">
        <f t="shared" si="597"/>
        <v>0</v>
      </c>
      <c r="AW531" s="29">
        <f t="shared" si="598"/>
        <v>0</v>
      </c>
      <c r="AX531" s="29">
        <f t="shared" si="599"/>
        <v>0</v>
      </c>
      <c r="AY531" s="54" t="s">
        <v>649</v>
      </c>
      <c r="AZ531" s="54" t="s">
        <v>1536</v>
      </c>
      <c r="BA531" s="48" t="s">
        <v>1542</v>
      </c>
      <c r="BC531" s="29">
        <f t="shared" si="600"/>
        <v>0</v>
      </c>
      <c r="BD531" s="29">
        <f t="shared" si="601"/>
        <v>0</v>
      </c>
      <c r="BE531" s="29">
        <v>0</v>
      </c>
      <c r="BF531" s="29">
        <f t="shared" si="602"/>
        <v>0</v>
      </c>
      <c r="BH531" s="55">
        <f t="shared" si="603"/>
        <v>0</v>
      </c>
      <c r="BI531" s="55">
        <f t="shared" si="604"/>
        <v>0</v>
      </c>
      <c r="BJ531" s="55">
        <f t="shared" si="605"/>
        <v>0</v>
      </c>
    </row>
    <row r="532" spans="1:62" ht="12.75">
      <c r="A532" s="36" t="s">
        <v>1771</v>
      </c>
      <c r="B532" s="36" t="s">
        <v>60</v>
      </c>
      <c r="C532" s="36" t="s">
        <v>386</v>
      </c>
      <c r="D532" s="36" t="s">
        <v>572</v>
      </c>
      <c r="E532" s="36" t="s">
        <v>609</v>
      </c>
      <c r="F532" s="55">
        <f>'Stavební rozpočet'!F546</f>
        <v>250</v>
      </c>
      <c r="G532" s="55">
        <f>'Stavební rozpočet'!G546</f>
        <v>0</v>
      </c>
      <c r="H532" s="55">
        <f t="shared" si="580"/>
        <v>0</v>
      </c>
      <c r="I532" s="55">
        <f t="shared" si="581"/>
        <v>0</v>
      </c>
      <c r="J532" s="55">
        <f t="shared" si="582"/>
        <v>0</v>
      </c>
      <c r="K532" s="55">
        <f>'Stavební rozpočet'!K546</f>
        <v>0</v>
      </c>
      <c r="L532" s="55">
        <f t="shared" si="583"/>
        <v>0</v>
      </c>
      <c r="M532" s="51" t="s">
        <v>622</v>
      </c>
      <c r="Z532" s="29">
        <f t="shared" si="584"/>
        <v>0</v>
      </c>
      <c r="AB532" s="29">
        <f t="shared" si="585"/>
        <v>0</v>
      </c>
      <c r="AC532" s="29">
        <f t="shared" si="586"/>
        <v>0</v>
      </c>
      <c r="AD532" s="29">
        <f t="shared" si="587"/>
        <v>0</v>
      </c>
      <c r="AE532" s="29">
        <f t="shared" si="588"/>
        <v>0</v>
      </c>
      <c r="AF532" s="29">
        <f t="shared" si="589"/>
        <v>0</v>
      </c>
      <c r="AG532" s="29">
        <f t="shared" si="590"/>
        <v>0</v>
      </c>
      <c r="AH532" s="29">
        <f t="shared" si="591"/>
        <v>0</v>
      </c>
      <c r="AI532" s="48" t="s">
        <v>60</v>
      </c>
      <c r="AJ532" s="55">
        <f t="shared" si="592"/>
        <v>0</v>
      </c>
      <c r="AK532" s="55">
        <f t="shared" si="593"/>
        <v>0</v>
      </c>
      <c r="AL532" s="55">
        <f t="shared" si="594"/>
        <v>0</v>
      </c>
      <c r="AN532" s="29">
        <v>15</v>
      </c>
      <c r="AO532" s="29">
        <f t="shared" si="595"/>
        <v>0</v>
      </c>
      <c r="AP532" s="29">
        <f t="shared" si="596"/>
        <v>0</v>
      </c>
      <c r="AQ532" s="51" t="s">
        <v>79</v>
      </c>
      <c r="AV532" s="29">
        <f t="shared" si="597"/>
        <v>0</v>
      </c>
      <c r="AW532" s="29">
        <f t="shared" si="598"/>
        <v>0</v>
      </c>
      <c r="AX532" s="29">
        <f t="shared" si="599"/>
        <v>0</v>
      </c>
      <c r="AY532" s="54" t="s">
        <v>649</v>
      </c>
      <c r="AZ532" s="54" t="s">
        <v>1536</v>
      </c>
      <c r="BA532" s="48" t="s">
        <v>1542</v>
      </c>
      <c r="BC532" s="29">
        <f t="shared" si="600"/>
        <v>0</v>
      </c>
      <c r="BD532" s="29">
        <f t="shared" si="601"/>
        <v>0</v>
      </c>
      <c r="BE532" s="29">
        <v>0</v>
      </c>
      <c r="BF532" s="29">
        <f t="shared" si="602"/>
        <v>0</v>
      </c>
      <c r="BH532" s="55">
        <f t="shared" si="603"/>
        <v>0</v>
      </c>
      <c r="BI532" s="55">
        <f t="shared" si="604"/>
        <v>0</v>
      </c>
      <c r="BJ532" s="55">
        <f t="shared" si="605"/>
        <v>0</v>
      </c>
    </row>
    <row r="533" spans="1:62" ht="12.75">
      <c r="A533" s="36" t="s">
        <v>1772</v>
      </c>
      <c r="B533" s="36" t="s">
        <v>60</v>
      </c>
      <c r="C533" s="36" t="s">
        <v>387</v>
      </c>
      <c r="D533" s="36" t="s">
        <v>573</v>
      </c>
      <c r="E533" s="36" t="s">
        <v>609</v>
      </c>
      <c r="F533" s="55">
        <f>'Stavební rozpočet'!F547</f>
        <v>40</v>
      </c>
      <c r="G533" s="55">
        <f>'Stavební rozpočet'!G547</f>
        <v>0</v>
      </c>
      <c r="H533" s="55">
        <f t="shared" si="580"/>
        <v>0</v>
      </c>
      <c r="I533" s="55">
        <f t="shared" si="581"/>
        <v>0</v>
      </c>
      <c r="J533" s="55">
        <f t="shared" si="582"/>
        <v>0</v>
      </c>
      <c r="K533" s="55">
        <f>'Stavební rozpočet'!K547</f>
        <v>0</v>
      </c>
      <c r="L533" s="55">
        <f t="shared" si="583"/>
        <v>0</v>
      </c>
      <c r="M533" s="51" t="s">
        <v>622</v>
      </c>
      <c r="Z533" s="29">
        <f t="shared" si="584"/>
        <v>0</v>
      </c>
      <c r="AB533" s="29">
        <f t="shared" si="585"/>
        <v>0</v>
      </c>
      <c r="AC533" s="29">
        <f t="shared" si="586"/>
        <v>0</v>
      </c>
      <c r="AD533" s="29">
        <f t="shared" si="587"/>
        <v>0</v>
      </c>
      <c r="AE533" s="29">
        <f t="shared" si="588"/>
        <v>0</v>
      </c>
      <c r="AF533" s="29">
        <f t="shared" si="589"/>
        <v>0</v>
      </c>
      <c r="AG533" s="29">
        <f t="shared" si="590"/>
        <v>0</v>
      </c>
      <c r="AH533" s="29">
        <f t="shared" si="591"/>
        <v>0</v>
      </c>
      <c r="AI533" s="48" t="s">
        <v>60</v>
      </c>
      <c r="AJ533" s="55">
        <f t="shared" si="592"/>
        <v>0</v>
      </c>
      <c r="AK533" s="55">
        <f t="shared" si="593"/>
        <v>0</v>
      </c>
      <c r="AL533" s="55">
        <f t="shared" si="594"/>
        <v>0</v>
      </c>
      <c r="AN533" s="29">
        <v>15</v>
      </c>
      <c r="AO533" s="29">
        <f t="shared" si="595"/>
        <v>0</v>
      </c>
      <c r="AP533" s="29">
        <f t="shared" si="596"/>
        <v>0</v>
      </c>
      <c r="AQ533" s="51" t="s">
        <v>79</v>
      </c>
      <c r="AV533" s="29">
        <f t="shared" si="597"/>
        <v>0</v>
      </c>
      <c r="AW533" s="29">
        <f t="shared" si="598"/>
        <v>0</v>
      </c>
      <c r="AX533" s="29">
        <f t="shared" si="599"/>
        <v>0</v>
      </c>
      <c r="AY533" s="54" t="s">
        <v>649</v>
      </c>
      <c r="AZ533" s="54" t="s">
        <v>1536</v>
      </c>
      <c r="BA533" s="48" t="s">
        <v>1542</v>
      </c>
      <c r="BC533" s="29">
        <f t="shared" si="600"/>
        <v>0</v>
      </c>
      <c r="BD533" s="29">
        <f t="shared" si="601"/>
        <v>0</v>
      </c>
      <c r="BE533" s="29">
        <v>0</v>
      </c>
      <c r="BF533" s="29">
        <f t="shared" si="602"/>
        <v>0</v>
      </c>
      <c r="BH533" s="55">
        <f t="shared" si="603"/>
        <v>0</v>
      </c>
      <c r="BI533" s="55">
        <f t="shared" si="604"/>
        <v>0</v>
      </c>
      <c r="BJ533" s="55">
        <f t="shared" si="605"/>
        <v>0</v>
      </c>
    </row>
    <row r="534" spans="1:62" ht="12.75">
      <c r="A534" s="36" t="s">
        <v>1773</v>
      </c>
      <c r="B534" s="36" t="s">
        <v>60</v>
      </c>
      <c r="C534" s="36" t="s">
        <v>388</v>
      </c>
      <c r="D534" s="36" t="s">
        <v>1445</v>
      </c>
      <c r="E534" s="36" t="s">
        <v>606</v>
      </c>
      <c r="F534" s="55">
        <f>'Stavební rozpočet'!F548</f>
        <v>1</v>
      </c>
      <c r="G534" s="55">
        <f>'Stavební rozpočet'!G548</f>
        <v>0</v>
      </c>
      <c r="H534" s="55">
        <f t="shared" si="580"/>
        <v>0</v>
      </c>
      <c r="I534" s="55">
        <f t="shared" si="581"/>
        <v>0</v>
      </c>
      <c r="J534" s="55">
        <f t="shared" si="582"/>
        <v>0</v>
      </c>
      <c r="K534" s="55">
        <f>'Stavební rozpočet'!K548</f>
        <v>0</v>
      </c>
      <c r="L534" s="55">
        <f t="shared" si="583"/>
        <v>0</v>
      </c>
      <c r="M534" s="51" t="s">
        <v>622</v>
      </c>
      <c r="Z534" s="29">
        <f t="shared" si="584"/>
        <v>0</v>
      </c>
      <c r="AB534" s="29">
        <f t="shared" si="585"/>
        <v>0</v>
      </c>
      <c r="AC534" s="29">
        <f t="shared" si="586"/>
        <v>0</v>
      </c>
      <c r="AD534" s="29">
        <f t="shared" si="587"/>
        <v>0</v>
      </c>
      <c r="AE534" s="29">
        <f t="shared" si="588"/>
        <v>0</v>
      </c>
      <c r="AF534" s="29">
        <f t="shared" si="589"/>
        <v>0</v>
      </c>
      <c r="AG534" s="29">
        <f t="shared" si="590"/>
        <v>0</v>
      </c>
      <c r="AH534" s="29">
        <f t="shared" si="591"/>
        <v>0</v>
      </c>
      <c r="AI534" s="48" t="s">
        <v>60</v>
      </c>
      <c r="AJ534" s="55">
        <f t="shared" si="592"/>
        <v>0</v>
      </c>
      <c r="AK534" s="55">
        <f t="shared" si="593"/>
        <v>0</v>
      </c>
      <c r="AL534" s="55">
        <f t="shared" si="594"/>
        <v>0</v>
      </c>
      <c r="AN534" s="29">
        <v>15</v>
      </c>
      <c r="AO534" s="29">
        <f t="shared" si="595"/>
        <v>0</v>
      </c>
      <c r="AP534" s="29">
        <f t="shared" si="596"/>
        <v>0</v>
      </c>
      <c r="AQ534" s="51" t="s">
        <v>79</v>
      </c>
      <c r="AV534" s="29">
        <f t="shared" si="597"/>
        <v>0</v>
      </c>
      <c r="AW534" s="29">
        <f t="shared" si="598"/>
        <v>0</v>
      </c>
      <c r="AX534" s="29">
        <f t="shared" si="599"/>
        <v>0</v>
      </c>
      <c r="AY534" s="54" t="s">
        <v>649</v>
      </c>
      <c r="AZ534" s="54" t="s">
        <v>1536</v>
      </c>
      <c r="BA534" s="48" t="s">
        <v>1542</v>
      </c>
      <c r="BC534" s="29">
        <f t="shared" si="600"/>
        <v>0</v>
      </c>
      <c r="BD534" s="29">
        <f t="shared" si="601"/>
        <v>0</v>
      </c>
      <c r="BE534" s="29">
        <v>0</v>
      </c>
      <c r="BF534" s="29">
        <f t="shared" si="602"/>
        <v>0</v>
      </c>
      <c r="BH534" s="55">
        <f t="shared" si="603"/>
        <v>0</v>
      </c>
      <c r="BI534" s="55">
        <f t="shared" si="604"/>
        <v>0</v>
      </c>
      <c r="BJ534" s="55">
        <f t="shared" si="605"/>
        <v>0</v>
      </c>
    </row>
    <row r="535" spans="1:62" ht="12.75">
      <c r="A535" s="36" t="s">
        <v>1774</v>
      </c>
      <c r="B535" s="36" t="s">
        <v>60</v>
      </c>
      <c r="C535" s="36" t="s">
        <v>1138</v>
      </c>
      <c r="D535" s="36" t="s">
        <v>1446</v>
      </c>
      <c r="E535" s="36" t="s">
        <v>606</v>
      </c>
      <c r="F535" s="55">
        <f>'Stavební rozpočet'!F549</f>
        <v>2</v>
      </c>
      <c r="G535" s="55">
        <f>'Stavební rozpočet'!G549</f>
        <v>0</v>
      </c>
      <c r="H535" s="55">
        <f t="shared" si="580"/>
        <v>0</v>
      </c>
      <c r="I535" s="55">
        <f t="shared" si="581"/>
        <v>0</v>
      </c>
      <c r="J535" s="55">
        <f t="shared" si="582"/>
        <v>0</v>
      </c>
      <c r="K535" s="55">
        <f>'Stavební rozpočet'!K549</f>
        <v>0</v>
      </c>
      <c r="L535" s="55">
        <f t="shared" si="583"/>
        <v>0</v>
      </c>
      <c r="M535" s="51" t="s">
        <v>622</v>
      </c>
      <c r="Z535" s="29">
        <f t="shared" si="584"/>
        <v>0</v>
      </c>
      <c r="AB535" s="29">
        <f t="shared" si="585"/>
        <v>0</v>
      </c>
      <c r="AC535" s="29">
        <f t="shared" si="586"/>
        <v>0</v>
      </c>
      <c r="AD535" s="29">
        <f t="shared" si="587"/>
        <v>0</v>
      </c>
      <c r="AE535" s="29">
        <f t="shared" si="588"/>
        <v>0</v>
      </c>
      <c r="AF535" s="29">
        <f t="shared" si="589"/>
        <v>0</v>
      </c>
      <c r="AG535" s="29">
        <f t="shared" si="590"/>
        <v>0</v>
      </c>
      <c r="AH535" s="29">
        <f t="shared" si="591"/>
        <v>0</v>
      </c>
      <c r="AI535" s="48" t="s">
        <v>60</v>
      </c>
      <c r="AJ535" s="55">
        <f t="shared" si="592"/>
        <v>0</v>
      </c>
      <c r="AK535" s="55">
        <f t="shared" si="593"/>
        <v>0</v>
      </c>
      <c r="AL535" s="55">
        <f t="shared" si="594"/>
        <v>0</v>
      </c>
      <c r="AN535" s="29">
        <v>15</v>
      </c>
      <c r="AO535" s="29">
        <f t="shared" si="595"/>
        <v>0</v>
      </c>
      <c r="AP535" s="29">
        <f t="shared" si="596"/>
        <v>0</v>
      </c>
      <c r="AQ535" s="51" t="s">
        <v>79</v>
      </c>
      <c r="AV535" s="29">
        <f t="shared" si="597"/>
        <v>0</v>
      </c>
      <c r="AW535" s="29">
        <f t="shared" si="598"/>
        <v>0</v>
      </c>
      <c r="AX535" s="29">
        <f t="shared" si="599"/>
        <v>0</v>
      </c>
      <c r="AY535" s="54" t="s">
        <v>649</v>
      </c>
      <c r="AZ535" s="54" t="s">
        <v>1536</v>
      </c>
      <c r="BA535" s="48" t="s">
        <v>1542</v>
      </c>
      <c r="BC535" s="29">
        <f t="shared" si="600"/>
        <v>0</v>
      </c>
      <c r="BD535" s="29">
        <f t="shared" si="601"/>
        <v>0</v>
      </c>
      <c r="BE535" s="29">
        <v>0</v>
      </c>
      <c r="BF535" s="29">
        <f t="shared" si="602"/>
        <v>0</v>
      </c>
      <c r="BH535" s="55">
        <f t="shared" si="603"/>
        <v>0</v>
      </c>
      <c r="BI535" s="55">
        <f t="shared" si="604"/>
        <v>0</v>
      </c>
      <c r="BJ535" s="55">
        <f t="shared" si="605"/>
        <v>0</v>
      </c>
    </row>
    <row r="536" spans="1:62" ht="12.75">
      <c r="A536" s="36" t="s">
        <v>1775</v>
      </c>
      <c r="B536" s="36" t="s">
        <v>60</v>
      </c>
      <c r="C536" s="36" t="s">
        <v>1139</v>
      </c>
      <c r="D536" s="36" t="s">
        <v>1447</v>
      </c>
      <c r="E536" s="36" t="s">
        <v>606</v>
      </c>
      <c r="F536" s="55">
        <f>'Stavební rozpočet'!F550</f>
        <v>1</v>
      </c>
      <c r="G536" s="55">
        <f>'Stavební rozpočet'!G550</f>
        <v>0</v>
      </c>
      <c r="H536" s="55">
        <f t="shared" si="580"/>
        <v>0</v>
      </c>
      <c r="I536" s="55">
        <f t="shared" si="581"/>
        <v>0</v>
      </c>
      <c r="J536" s="55">
        <f t="shared" si="582"/>
        <v>0</v>
      </c>
      <c r="K536" s="55">
        <f>'Stavební rozpočet'!K550</f>
        <v>0</v>
      </c>
      <c r="L536" s="55">
        <f t="shared" si="583"/>
        <v>0</v>
      </c>
      <c r="M536" s="51" t="s">
        <v>622</v>
      </c>
      <c r="Z536" s="29">
        <f t="shared" si="584"/>
        <v>0</v>
      </c>
      <c r="AB536" s="29">
        <f t="shared" si="585"/>
        <v>0</v>
      </c>
      <c r="AC536" s="29">
        <f t="shared" si="586"/>
        <v>0</v>
      </c>
      <c r="AD536" s="29">
        <f t="shared" si="587"/>
        <v>0</v>
      </c>
      <c r="AE536" s="29">
        <f t="shared" si="588"/>
        <v>0</v>
      </c>
      <c r="AF536" s="29">
        <f t="shared" si="589"/>
        <v>0</v>
      </c>
      <c r="AG536" s="29">
        <f t="shared" si="590"/>
        <v>0</v>
      </c>
      <c r="AH536" s="29">
        <f t="shared" si="591"/>
        <v>0</v>
      </c>
      <c r="AI536" s="48" t="s">
        <v>60</v>
      </c>
      <c r="AJ536" s="55">
        <f t="shared" si="592"/>
        <v>0</v>
      </c>
      <c r="AK536" s="55">
        <f t="shared" si="593"/>
        <v>0</v>
      </c>
      <c r="AL536" s="55">
        <f t="shared" si="594"/>
        <v>0</v>
      </c>
      <c r="AN536" s="29">
        <v>15</v>
      </c>
      <c r="AO536" s="29">
        <f t="shared" si="595"/>
        <v>0</v>
      </c>
      <c r="AP536" s="29">
        <f t="shared" si="596"/>
        <v>0</v>
      </c>
      <c r="AQ536" s="51" t="s">
        <v>79</v>
      </c>
      <c r="AV536" s="29">
        <f t="shared" si="597"/>
        <v>0</v>
      </c>
      <c r="AW536" s="29">
        <f t="shared" si="598"/>
        <v>0</v>
      </c>
      <c r="AX536" s="29">
        <f t="shared" si="599"/>
        <v>0</v>
      </c>
      <c r="AY536" s="54" t="s">
        <v>649</v>
      </c>
      <c r="AZ536" s="54" t="s">
        <v>1536</v>
      </c>
      <c r="BA536" s="48" t="s">
        <v>1542</v>
      </c>
      <c r="BC536" s="29">
        <f t="shared" si="600"/>
        <v>0</v>
      </c>
      <c r="BD536" s="29">
        <f t="shared" si="601"/>
        <v>0</v>
      </c>
      <c r="BE536" s="29">
        <v>0</v>
      </c>
      <c r="BF536" s="29">
        <f t="shared" si="602"/>
        <v>0</v>
      </c>
      <c r="BH536" s="55">
        <f t="shared" si="603"/>
        <v>0</v>
      </c>
      <c r="BI536" s="55">
        <f t="shared" si="604"/>
        <v>0</v>
      </c>
      <c r="BJ536" s="55">
        <f t="shared" si="605"/>
        <v>0</v>
      </c>
    </row>
    <row r="537" spans="1:62" ht="12.75">
      <c r="A537" s="36" t="s">
        <v>1776</v>
      </c>
      <c r="B537" s="36" t="s">
        <v>60</v>
      </c>
      <c r="C537" s="36" t="s">
        <v>1140</v>
      </c>
      <c r="D537" s="36" t="s">
        <v>1448</v>
      </c>
      <c r="E537" s="36" t="s">
        <v>606</v>
      </c>
      <c r="F537" s="55">
        <f>'Stavební rozpočet'!F551</f>
        <v>0</v>
      </c>
      <c r="G537" s="55">
        <f>'Stavební rozpočet'!G551</f>
        <v>0</v>
      </c>
      <c r="H537" s="55">
        <f t="shared" si="580"/>
        <v>0</v>
      </c>
      <c r="I537" s="55">
        <f t="shared" si="581"/>
        <v>0</v>
      </c>
      <c r="J537" s="55">
        <f t="shared" si="582"/>
        <v>0</v>
      </c>
      <c r="K537" s="55">
        <f>'Stavební rozpočet'!K551</f>
        <v>0</v>
      </c>
      <c r="L537" s="55">
        <f t="shared" si="583"/>
        <v>0</v>
      </c>
      <c r="M537" s="51" t="s">
        <v>622</v>
      </c>
      <c r="Z537" s="29">
        <f t="shared" si="584"/>
        <v>0</v>
      </c>
      <c r="AB537" s="29">
        <f t="shared" si="585"/>
        <v>0</v>
      </c>
      <c r="AC537" s="29">
        <f t="shared" si="586"/>
        <v>0</v>
      </c>
      <c r="AD537" s="29">
        <f t="shared" si="587"/>
        <v>0</v>
      </c>
      <c r="AE537" s="29">
        <f t="shared" si="588"/>
        <v>0</v>
      </c>
      <c r="AF537" s="29">
        <f t="shared" si="589"/>
        <v>0</v>
      </c>
      <c r="AG537" s="29">
        <f t="shared" si="590"/>
        <v>0</v>
      </c>
      <c r="AH537" s="29">
        <f t="shared" si="591"/>
        <v>0</v>
      </c>
      <c r="AI537" s="48" t="s">
        <v>60</v>
      </c>
      <c r="AJ537" s="55">
        <f t="shared" si="592"/>
        <v>0</v>
      </c>
      <c r="AK537" s="55">
        <f t="shared" si="593"/>
        <v>0</v>
      </c>
      <c r="AL537" s="55">
        <f t="shared" si="594"/>
        <v>0</v>
      </c>
      <c r="AN537" s="29">
        <v>15</v>
      </c>
      <c r="AO537" s="29">
        <f t="shared" si="595"/>
        <v>0</v>
      </c>
      <c r="AP537" s="29">
        <f t="shared" si="596"/>
        <v>0</v>
      </c>
      <c r="AQ537" s="51" t="s">
        <v>79</v>
      </c>
      <c r="AV537" s="29">
        <f t="shared" si="597"/>
        <v>0</v>
      </c>
      <c r="AW537" s="29">
        <f t="shared" si="598"/>
        <v>0</v>
      </c>
      <c r="AX537" s="29">
        <f t="shared" si="599"/>
        <v>0</v>
      </c>
      <c r="AY537" s="54" t="s">
        <v>649</v>
      </c>
      <c r="AZ537" s="54" t="s">
        <v>1536</v>
      </c>
      <c r="BA537" s="48" t="s">
        <v>1542</v>
      </c>
      <c r="BC537" s="29">
        <f t="shared" si="600"/>
        <v>0</v>
      </c>
      <c r="BD537" s="29">
        <f t="shared" si="601"/>
        <v>0</v>
      </c>
      <c r="BE537" s="29">
        <v>0</v>
      </c>
      <c r="BF537" s="29">
        <f t="shared" si="602"/>
        <v>0</v>
      </c>
      <c r="BH537" s="55">
        <f t="shared" si="603"/>
        <v>0</v>
      </c>
      <c r="BI537" s="55">
        <f t="shared" si="604"/>
        <v>0</v>
      </c>
      <c r="BJ537" s="55">
        <f t="shared" si="605"/>
        <v>0</v>
      </c>
    </row>
    <row r="538" spans="1:62" ht="12.75">
      <c r="A538" s="36" t="s">
        <v>1777</v>
      </c>
      <c r="B538" s="36" t="s">
        <v>60</v>
      </c>
      <c r="C538" s="36" t="s">
        <v>1141</v>
      </c>
      <c r="D538" s="36" t="s">
        <v>1449</v>
      </c>
      <c r="E538" s="36" t="s">
        <v>606</v>
      </c>
      <c r="F538" s="55">
        <f>'Stavební rozpočet'!F552</f>
        <v>1</v>
      </c>
      <c r="G538" s="55">
        <f>'Stavební rozpočet'!G552</f>
        <v>0</v>
      </c>
      <c r="H538" s="55">
        <f t="shared" si="580"/>
        <v>0</v>
      </c>
      <c r="I538" s="55">
        <f t="shared" si="581"/>
        <v>0</v>
      </c>
      <c r="J538" s="55">
        <f t="shared" si="582"/>
        <v>0</v>
      </c>
      <c r="K538" s="55">
        <f>'Stavební rozpočet'!K552</f>
        <v>0</v>
      </c>
      <c r="L538" s="55">
        <f t="shared" si="583"/>
        <v>0</v>
      </c>
      <c r="M538" s="51" t="s">
        <v>622</v>
      </c>
      <c r="Z538" s="29">
        <f t="shared" si="584"/>
        <v>0</v>
      </c>
      <c r="AB538" s="29">
        <f t="shared" si="585"/>
        <v>0</v>
      </c>
      <c r="AC538" s="29">
        <f t="shared" si="586"/>
        <v>0</v>
      </c>
      <c r="AD538" s="29">
        <f t="shared" si="587"/>
        <v>0</v>
      </c>
      <c r="AE538" s="29">
        <f t="shared" si="588"/>
        <v>0</v>
      </c>
      <c r="AF538" s="29">
        <f t="shared" si="589"/>
        <v>0</v>
      </c>
      <c r="AG538" s="29">
        <f t="shared" si="590"/>
        <v>0</v>
      </c>
      <c r="AH538" s="29">
        <f t="shared" si="591"/>
        <v>0</v>
      </c>
      <c r="AI538" s="48" t="s">
        <v>60</v>
      </c>
      <c r="AJ538" s="55">
        <f t="shared" si="592"/>
        <v>0</v>
      </c>
      <c r="AK538" s="55">
        <f t="shared" si="593"/>
        <v>0</v>
      </c>
      <c r="AL538" s="55">
        <f t="shared" si="594"/>
        <v>0</v>
      </c>
      <c r="AN538" s="29">
        <v>15</v>
      </c>
      <c r="AO538" s="29">
        <f t="shared" si="595"/>
        <v>0</v>
      </c>
      <c r="AP538" s="29">
        <f t="shared" si="596"/>
        <v>0</v>
      </c>
      <c r="AQ538" s="51" t="s">
        <v>79</v>
      </c>
      <c r="AV538" s="29">
        <f t="shared" si="597"/>
        <v>0</v>
      </c>
      <c r="AW538" s="29">
        <f t="shared" si="598"/>
        <v>0</v>
      </c>
      <c r="AX538" s="29">
        <f t="shared" si="599"/>
        <v>0</v>
      </c>
      <c r="AY538" s="54" t="s">
        <v>649</v>
      </c>
      <c r="AZ538" s="54" t="s">
        <v>1536</v>
      </c>
      <c r="BA538" s="48" t="s">
        <v>1542</v>
      </c>
      <c r="BC538" s="29">
        <f t="shared" si="600"/>
        <v>0</v>
      </c>
      <c r="BD538" s="29">
        <f t="shared" si="601"/>
        <v>0</v>
      </c>
      <c r="BE538" s="29">
        <v>0</v>
      </c>
      <c r="BF538" s="29">
        <f t="shared" si="602"/>
        <v>0</v>
      </c>
      <c r="BH538" s="55">
        <f t="shared" si="603"/>
        <v>0</v>
      </c>
      <c r="BI538" s="55">
        <f t="shared" si="604"/>
        <v>0</v>
      </c>
      <c r="BJ538" s="55">
        <f t="shared" si="605"/>
        <v>0</v>
      </c>
    </row>
    <row r="539" spans="1:62" ht="12.75">
      <c r="A539" s="36" t="s">
        <v>1778</v>
      </c>
      <c r="B539" s="36" t="s">
        <v>60</v>
      </c>
      <c r="C539" s="36" t="s">
        <v>389</v>
      </c>
      <c r="D539" s="36" t="s">
        <v>575</v>
      </c>
      <c r="E539" s="36" t="s">
        <v>611</v>
      </c>
      <c r="F539" s="55">
        <f>'Stavební rozpočet'!F553</f>
        <v>4</v>
      </c>
      <c r="G539" s="55">
        <f>'Stavební rozpočet'!G553</f>
        <v>0</v>
      </c>
      <c r="H539" s="55">
        <f t="shared" si="580"/>
        <v>0</v>
      </c>
      <c r="I539" s="55">
        <f t="shared" si="581"/>
        <v>0</v>
      </c>
      <c r="J539" s="55">
        <f t="shared" si="582"/>
        <v>0</v>
      </c>
      <c r="K539" s="55">
        <f>'Stavební rozpočet'!K553</f>
        <v>0</v>
      </c>
      <c r="L539" s="55">
        <f t="shared" si="583"/>
        <v>0</v>
      </c>
      <c r="M539" s="51" t="s">
        <v>622</v>
      </c>
      <c r="Z539" s="29">
        <f t="shared" si="584"/>
        <v>0</v>
      </c>
      <c r="AB539" s="29">
        <f t="shared" si="585"/>
        <v>0</v>
      </c>
      <c r="AC539" s="29">
        <f t="shared" si="586"/>
        <v>0</v>
      </c>
      <c r="AD539" s="29">
        <f t="shared" si="587"/>
        <v>0</v>
      </c>
      <c r="AE539" s="29">
        <f t="shared" si="588"/>
        <v>0</v>
      </c>
      <c r="AF539" s="29">
        <f t="shared" si="589"/>
        <v>0</v>
      </c>
      <c r="AG539" s="29">
        <f t="shared" si="590"/>
        <v>0</v>
      </c>
      <c r="AH539" s="29">
        <f t="shared" si="591"/>
        <v>0</v>
      </c>
      <c r="AI539" s="48" t="s">
        <v>60</v>
      </c>
      <c r="AJ539" s="55">
        <f t="shared" si="592"/>
        <v>0</v>
      </c>
      <c r="AK539" s="55">
        <f t="shared" si="593"/>
        <v>0</v>
      </c>
      <c r="AL539" s="55">
        <f t="shared" si="594"/>
        <v>0</v>
      </c>
      <c r="AN539" s="29">
        <v>15</v>
      </c>
      <c r="AO539" s="29">
        <f t="shared" si="595"/>
        <v>0</v>
      </c>
      <c r="AP539" s="29">
        <f t="shared" si="596"/>
        <v>0</v>
      </c>
      <c r="AQ539" s="51" t="s">
        <v>79</v>
      </c>
      <c r="AV539" s="29">
        <f t="shared" si="597"/>
        <v>0</v>
      </c>
      <c r="AW539" s="29">
        <f t="shared" si="598"/>
        <v>0</v>
      </c>
      <c r="AX539" s="29">
        <f t="shared" si="599"/>
        <v>0</v>
      </c>
      <c r="AY539" s="54" t="s">
        <v>649</v>
      </c>
      <c r="AZ539" s="54" t="s">
        <v>1536</v>
      </c>
      <c r="BA539" s="48" t="s">
        <v>1542</v>
      </c>
      <c r="BC539" s="29">
        <f t="shared" si="600"/>
        <v>0</v>
      </c>
      <c r="BD539" s="29">
        <f t="shared" si="601"/>
        <v>0</v>
      </c>
      <c r="BE539" s="29">
        <v>0</v>
      </c>
      <c r="BF539" s="29">
        <f t="shared" si="602"/>
        <v>0</v>
      </c>
      <c r="BH539" s="55">
        <f t="shared" si="603"/>
        <v>0</v>
      </c>
      <c r="BI539" s="55">
        <f t="shared" si="604"/>
        <v>0</v>
      </c>
      <c r="BJ539" s="55">
        <f t="shared" si="605"/>
        <v>0</v>
      </c>
    </row>
    <row r="540" spans="1:62" ht="12.75">
      <c r="A540" s="36" t="s">
        <v>1779</v>
      </c>
      <c r="B540" s="36" t="s">
        <v>60</v>
      </c>
      <c r="C540" s="36" t="s">
        <v>1142</v>
      </c>
      <c r="D540" s="36" t="s">
        <v>1450</v>
      </c>
      <c r="E540" s="36" t="s">
        <v>613</v>
      </c>
      <c r="F540" s="55">
        <f>'Stavební rozpočet'!F554</f>
        <v>0</v>
      </c>
      <c r="G540" s="55">
        <f>'Stavební rozpočet'!G554</f>
        <v>0</v>
      </c>
      <c r="H540" s="55">
        <f t="shared" si="580"/>
        <v>0</v>
      </c>
      <c r="I540" s="55">
        <f t="shared" si="581"/>
        <v>0</v>
      </c>
      <c r="J540" s="55">
        <f t="shared" si="582"/>
        <v>0</v>
      </c>
      <c r="K540" s="55">
        <f>'Stavební rozpočet'!K554</f>
        <v>0</v>
      </c>
      <c r="L540" s="55">
        <f t="shared" si="583"/>
        <v>0</v>
      </c>
      <c r="M540" s="51" t="s">
        <v>622</v>
      </c>
      <c r="Z540" s="29">
        <f t="shared" si="584"/>
        <v>0</v>
      </c>
      <c r="AB540" s="29">
        <f t="shared" si="585"/>
        <v>0</v>
      </c>
      <c r="AC540" s="29">
        <f t="shared" si="586"/>
        <v>0</v>
      </c>
      <c r="AD540" s="29">
        <f t="shared" si="587"/>
        <v>0</v>
      </c>
      <c r="AE540" s="29">
        <f t="shared" si="588"/>
        <v>0</v>
      </c>
      <c r="AF540" s="29">
        <f t="shared" si="589"/>
        <v>0</v>
      </c>
      <c r="AG540" s="29">
        <f t="shared" si="590"/>
        <v>0</v>
      </c>
      <c r="AH540" s="29">
        <f t="shared" si="591"/>
        <v>0</v>
      </c>
      <c r="AI540" s="48" t="s">
        <v>60</v>
      </c>
      <c r="AJ540" s="55">
        <f t="shared" si="592"/>
        <v>0</v>
      </c>
      <c r="AK540" s="55">
        <f t="shared" si="593"/>
        <v>0</v>
      </c>
      <c r="AL540" s="55">
        <f t="shared" si="594"/>
        <v>0</v>
      </c>
      <c r="AN540" s="29">
        <v>15</v>
      </c>
      <c r="AO540" s="29">
        <f t="shared" si="595"/>
        <v>0</v>
      </c>
      <c r="AP540" s="29">
        <f t="shared" si="596"/>
        <v>0</v>
      </c>
      <c r="AQ540" s="51" t="s">
        <v>79</v>
      </c>
      <c r="AV540" s="29">
        <f t="shared" si="597"/>
        <v>0</v>
      </c>
      <c r="AW540" s="29">
        <f t="shared" si="598"/>
        <v>0</v>
      </c>
      <c r="AX540" s="29">
        <f t="shared" si="599"/>
        <v>0</v>
      </c>
      <c r="AY540" s="54" t="s">
        <v>649</v>
      </c>
      <c r="AZ540" s="54" t="s">
        <v>1536</v>
      </c>
      <c r="BA540" s="48" t="s">
        <v>1542</v>
      </c>
      <c r="BC540" s="29">
        <f t="shared" si="600"/>
        <v>0</v>
      </c>
      <c r="BD540" s="29">
        <f t="shared" si="601"/>
        <v>0</v>
      </c>
      <c r="BE540" s="29">
        <v>0</v>
      </c>
      <c r="BF540" s="29">
        <f t="shared" si="602"/>
        <v>0</v>
      </c>
      <c r="BH540" s="55">
        <f t="shared" si="603"/>
        <v>0</v>
      </c>
      <c r="BI540" s="55">
        <f t="shared" si="604"/>
        <v>0</v>
      </c>
      <c r="BJ540" s="55">
        <f t="shared" si="605"/>
        <v>0</v>
      </c>
    </row>
    <row r="541" spans="1:62" ht="12.75">
      <c r="A541" s="36" t="s">
        <v>1780</v>
      </c>
      <c r="B541" s="36" t="s">
        <v>60</v>
      </c>
      <c r="C541" s="36" t="s">
        <v>1143</v>
      </c>
      <c r="D541" s="36" t="s">
        <v>1451</v>
      </c>
      <c r="E541" s="36" t="s">
        <v>613</v>
      </c>
      <c r="F541" s="55">
        <f>'Stavební rozpočet'!F555</f>
        <v>1</v>
      </c>
      <c r="G541" s="55">
        <f>'Stavební rozpočet'!G555</f>
        <v>0</v>
      </c>
      <c r="H541" s="55">
        <f t="shared" si="580"/>
        <v>0</v>
      </c>
      <c r="I541" s="55">
        <f t="shared" si="581"/>
        <v>0</v>
      </c>
      <c r="J541" s="55">
        <f t="shared" si="582"/>
        <v>0</v>
      </c>
      <c r="K541" s="55">
        <f>'Stavební rozpočet'!K555</f>
        <v>0</v>
      </c>
      <c r="L541" s="55">
        <f t="shared" si="583"/>
        <v>0</v>
      </c>
      <c r="M541" s="51" t="s">
        <v>622</v>
      </c>
      <c r="Z541" s="29">
        <f t="shared" si="584"/>
        <v>0</v>
      </c>
      <c r="AB541" s="29">
        <f t="shared" si="585"/>
        <v>0</v>
      </c>
      <c r="AC541" s="29">
        <f t="shared" si="586"/>
        <v>0</v>
      </c>
      <c r="AD541" s="29">
        <f t="shared" si="587"/>
        <v>0</v>
      </c>
      <c r="AE541" s="29">
        <f t="shared" si="588"/>
        <v>0</v>
      </c>
      <c r="AF541" s="29">
        <f t="shared" si="589"/>
        <v>0</v>
      </c>
      <c r="AG541" s="29">
        <f t="shared" si="590"/>
        <v>0</v>
      </c>
      <c r="AH541" s="29">
        <f t="shared" si="591"/>
        <v>0</v>
      </c>
      <c r="AI541" s="48" t="s">
        <v>60</v>
      </c>
      <c r="AJ541" s="55">
        <f t="shared" si="592"/>
        <v>0</v>
      </c>
      <c r="AK541" s="55">
        <f t="shared" si="593"/>
        <v>0</v>
      </c>
      <c r="AL541" s="55">
        <f t="shared" si="594"/>
        <v>0</v>
      </c>
      <c r="AN541" s="29">
        <v>15</v>
      </c>
      <c r="AO541" s="29">
        <f t="shared" si="595"/>
        <v>0</v>
      </c>
      <c r="AP541" s="29">
        <f t="shared" si="596"/>
        <v>0</v>
      </c>
      <c r="AQ541" s="51" t="s">
        <v>79</v>
      </c>
      <c r="AV541" s="29">
        <f t="shared" si="597"/>
        <v>0</v>
      </c>
      <c r="AW541" s="29">
        <f t="shared" si="598"/>
        <v>0</v>
      </c>
      <c r="AX541" s="29">
        <f t="shared" si="599"/>
        <v>0</v>
      </c>
      <c r="AY541" s="54" t="s">
        <v>649</v>
      </c>
      <c r="AZ541" s="54" t="s">
        <v>1536</v>
      </c>
      <c r="BA541" s="48" t="s">
        <v>1542</v>
      </c>
      <c r="BC541" s="29">
        <f t="shared" si="600"/>
        <v>0</v>
      </c>
      <c r="BD541" s="29">
        <f t="shared" si="601"/>
        <v>0</v>
      </c>
      <c r="BE541" s="29">
        <v>0</v>
      </c>
      <c r="BF541" s="29">
        <f t="shared" si="602"/>
        <v>0</v>
      </c>
      <c r="BH541" s="55">
        <f t="shared" si="603"/>
        <v>0</v>
      </c>
      <c r="BI541" s="55">
        <f t="shared" si="604"/>
        <v>0</v>
      </c>
      <c r="BJ541" s="55">
        <f t="shared" si="605"/>
        <v>0</v>
      </c>
    </row>
    <row r="542" spans="1:62" ht="12.75">
      <c r="A542" s="36" t="s">
        <v>1781</v>
      </c>
      <c r="B542" s="36" t="s">
        <v>60</v>
      </c>
      <c r="C542" s="36" t="s">
        <v>390</v>
      </c>
      <c r="D542" s="36" t="s">
        <v>1452</v>
      </c>
      <c r="E542" s="36" t="s">
        <v>613</v>
      </c>
      <c r="F542" s="55">
        <f>'Stavební rozpočet'!F556</f>
        <v>0</v>
      </c>
      <c r="G542" s="55">
        <f>'Stavební rozpočet'!G556</f>
        <v>0</v>
      </c>
      <c r="H542" s="55">
        <f t="shared" si="580"/>
        <v>0</v>
      </c>
      <c r="I542" s="55">
        <f t="shared" si="581"/>
        <v>0</v>
      </c>
      <c r="J542" s="55">
        <f t="shared" si="582"/>
        <v>0</v>
      </c>
      <c r="K542" s="55">
        <f>'Stavební rozpočet'!K556</f>
        <v>0</v>
      </c>
      <c r="L542" s="55">
        <f t="shared" si="583"/>
        <v>0</v>
      </c>
      <c r="M542" s="51" t="s">
        <v>622</v>
      </c>
      <c r="Z542" s="29">
        <f t="shared" si="584"/>
        <v>0</v>
      </c>
      <c r="AB542" s="29">
        <f t="shared" si="585"/>
        <v>0</v>
      </c>
      <c r="AC542" s="29">
        <f t="shared" si="586"/>
        <v>0</v>
      </c>
      <c r="AD542" s="29">
        <f t="shared" si="587"/>
        <v>0</v>
      </c>
      <c r="AE542" s="29">
        <f t="shared" si="588"/>
        <v>0</v>
      </c>
      <c r="AF542" s="29">
        <f t="shared" si="589"/>
        <v>0</v>
      </c>
      <c r="AG542" s="29">
        <f t="shared" si="590"/>
        <v>0</v>
      </c>
      <c r="AH542" s="29">
        <f t="shared" si="591"/>
        <v>0</v>
      </c>
      <c r="AI542" s="48" t="s">
        <v>60</v>
      </c>
      <c r="AJ542" s="55">
        <f t="shared" si="592"/>
        <v>0</v>
      </c>
      <c r="AK542" s="55">
        <f t="shared" si="593"/>
        <v>0</v>
      </c>
      <c r="AL542" s="55">
        <f t="shared" si="594"/>
        <v>0</v>
      </c>
      <c r="AN542" s="29">
        <v>15</v>
      </c>
      <c r="AO542" s="29">
        <f t="shared" si="595"/>
        <v>0</v>
      </c>
      <c r="AP542" s="29">
        <f t="shared" si="596"/>
        <v>0</v>
      </c>
      <c r="AQ542" s="51" t="s">
        <v>79</v>
      </c>
      <c r="AV542" s="29">
        <f t="shared" si="597"/>
        <v>0</v>
      </c>
      <c r="AW542" s="29">
        <f t="shared" si="598"/>
        <v>0</v>
      </c>
      <c r="AX542" s="29">
        <f t="shared" si="599"/>
        <v>0</v>
      </c>
      <c r="AY542" s="54" t="s">
        <v>649</v>
      </c>
      <c r="AZ542" s="54" t="s">
        <v>1536</v>
      </c>
      <c r="BA542" s="48" t="s">
        <v>1542</v>
      </c>
      <c r="BC542" s="29">
        <f t="shared" si="600"/>
        <v>0</v>
      </c>
      <c r="BD542" s="29">
        <f t="shared" si="601"/>
        <v>0</v>
      </c>
      <c r="BE542" s="29">
        <v>0</v>
      </c>
      <c r="BF542" s="29">
        <f t="shared" si="602"/>
        <v>0</v>
      </c>
      <c r="BH542" s="55">
        <f t="shared" si="603"/>
        <v>0</v>
      </c>
      <c r="BI542" s="55">
        <f t="shared" si="604"/>
        <v>0</v>
      </c>
      <c r="BJ542" s="55">
        <f t="shared" si="605"/>
        <v>0</v>
      </c>
    </row>
    <row r="543" spans="1:62" ht="12.75">
      <c r="A543" s="36" t="s">
        <v>1782</v>
      </c>
      <c r="B543" s="36" t="s">
        <v>60</v>
      </c>
      <c r="C543" s="36" t="s">
        <v>391</v>
      </c>
      <c r="D543" s="36" t="s">
        <v>577</v>
      </c>
      <c r="E543" s="36" t="s">
        <v>614</v>
      </c>
      <c r="F543" s="55">
        <f>'Stavební rozpočet'!F557</f>
        <v>1</v>
      </c>
      <c r="G543" s="55">
        <f>'Stavební rozpočet'!G557</f>
        <v>0</v>
      </c>
      <c r="H543" s="55">
        <f t="shared" si="580"/>
        <v>0</v>
      </c>
      <c r="I543" s="55">
        <f t="shared" si="581"/>
        <v>0</v>
      </c>
      <c r="J543" s="55">
        <f t="shared" si="582"/>
        <v>0</v>
      </c>
      <c r="K543" s="55">
        <f>'Stavební rozpočet'!K557</f>
        <v>0</v>
      </c>
      <c r="L543" s="55">
        <f t="shared" si="583"/>
        <v>0</v>
      </c>
      <c r="M543" s="51" t="s">
        <v>622</v>
      </c>
      <c r="Z543" s="29">
        <f t="shared" si="584"/>
        <v>0</v>
      </c>
      <c r="AB543" s="29">
        <f t="shared" si="585"/>
        <v>0</v>
      </c>
      <c r="AC543" s="29">
        <f t="shared" si="586"/>
        <v>0</v>
      </c>
      <c r="AD543" s="29">
        <f t="shared" si="587"/>
        <v>0</v>
      </c>
      <c r="AE543" s="29">
        <f t="shared" si="588"/>
        <v>0</v>
      </c>
      <c r="AF543" s="29">
        <f t="shared" si="589"/>
        <v>0</v>
      </c>
      <c r="AG543" s="29">
        <f t="shared" si="590"/>
        <v>0</v>
      </c>
      <c r="AH543" s="29">
        <f t="shared" si="591"/>
        <v>0</v>
      </c>
      <c r="AI543" s="48" t="s">
        <v>60</v>
      </c>
      <c r="AJ543" s="55">
        <f t="shared" si="592"/>
        <v>0</v>
      </c>
      <c r="AK543" s="55">
        <f t="shared" si="593"/>
        <v>0</v>
      </c>
      <c r="AL543" s="55">
        <f t="shared" si="594"/>
        <v>0</v>
      </c>
      <c r="AN543" s="29">
        <v>15</v>
      </c>
      <c r="AO543" s="29">
        <f t="shared" si="595"/>
        <v>0</v>
      </c>
      <c r="AP543" s="29">
        <f t="shared" si="596"/>
        <v>0</v>
      </c>
      <c r="AQ543" s="51" t="s">
        <v>79</v>
      </c>
      <c r="AV543" s="29">
        <f t="shared" si="597"/>
        <v>0</v>
      </c>
      <c r="AW543" s="29">
        <f t="shared" si="598"/>
        <v>0</v>
      </c>
      <c r="AX543" s="29">
        <f t="shared" si="599"/>
        <v>0</v>
      </c>
      <c r="AY543" s="54" t="s">
        <v>649</v>
      </c>
      <c r="AZ543" s="54" t="s">
        <v>1536</v>
      </c>
      <c r="BA543" s="48" t="s">
        <v>1542</v>
      </c>
      <c r="BC543" s="29">
        <f t="shared" si="600"/>
        <v>0</v>
      </c>
      <c r="BD543" s="29">
        <f t="shared" si="601"/>
        <v>0</v>
      </c>
      <c r="BE543" s="29">
        <v>0</v>
      </c>
      <c r="BF543" s="29">
        <f t="shared" si="602"/>
        <v>0</v>
      </c>
      <c r="BH543" s="55">
        <f t="shared" si="603"/>
        <v>0</v>
      </c>
      <c r="BI543" s="55">
        <f t="shared" si="604"/>
        <v>0</v>
      </c>
      <c r="BJ543" s="55">
        <f t="shared" si="605"/>
        <v>0</v>
      </c>
    </row>
    <row r="544" spans="1:62" ht="12.75">
      <c r="A544" s="36" t="s">
        <v>1783</v>
      </c>
      <c r="B544" s="36" t="s">
        <v>60</v>
      </c>
      <c r="C544" s="36" t="s">
        <v>392</v>
      </c>
      <c r="D544" s="36" t="s">
        <v>578</v>
      </c>
      <c r="E544" s="36" t="s">
        <v>611</v>
      </c>
      <c r="F544" s="55">
        <f>'Stavební rozpočet'!F558</f>
        <v>2</v>
      </c>
      <c r="G544" s="55">
        <f>'Stavební rozpočet'!G558</f>
        <v>0</v>
      </c>
      <c r="H544" s="55">
        <f t="shared" si="580"/>
        <v>0</v>
      </c>
      <c r="I544" s="55">
        <f t="shared" si="581"/>
        <v>0</v>
      </c>
      <c r="J544" s="55">
        <f t="shared" si="582"/>
        <v>0</v>
      </c>
      <c r="K544" s="55">
        <f>'Stavební rozpočet'!K558</f>
        <v>0</v>
      </c>
      <c r="L544" s="55">
        <f t="shared" si="583"/>
        <v>0</v>
      </c>
      <c r="M544" s="51" t="s">
        <v>622</v>
      </c>
      <c r="Z544" s="29">
        <f t="shared" si="584"/>
        <v>0</v>
      </c>
      <c r="AB544" s="29">
        <f t="shared" si="585"/>
        <v>0</v>
      </c>
      <c r="AC544" s="29">
        <f t="shared" si="586"/>
        <v>0</v>
      </c>
      <c r="AD544" s="29">
        <f t="shared" si="587"/>
        <v>0</v>
      </c>
      <c r="AE544" s="29">
        <f t="shared" si="588"/>
        <v>0</v>
      </c>
      <c r="AF544" s="29">
        <f t="shared" si="589"/>
        <v>0</v>
      </c>
      <c r="AG544" s="29">
        <f t="shared" si="590"/>
        <v>0</v>
      </c>
      <c r="AH544" s="29">
        <f t="shared" si="591"/>
        <v>0</v>
      </c>
      <c r="AI544" s="48" t="s">
        <v>60</v>
      </c>
      <c r="AJ544" s="55">
        <f t="shared" si="592"/>
        <v>0</v>
      </c>
      <c r="AK544" s="55">
        <f t="shared" si="593"/>
        <v>0</v>
      </c>
      <c r="AL544" s="55">
        <f t="shared" si="594"/>
        <v>0</v>
      </c>
      <c r="AN544" s="29">
        <v>15</v>
      </c>
      <c r="AO544" s="29">
        <f t="shared" si="595"/>
        <v>0</v>
      </c>
      <c r="AP544" s="29">
        <f t="shared" si="596"/>
        <v>0</v>
      </c>
      <c r="AQ544" s="51" t="s">
        <v>79</v>
      </c>
      <c r="AV544" s="29">
        <f t="shared" si="597"/>
        <v>0</v>
      </c>
      <c r="AW544" s="29">
        <f t="shared" si="598"/>
        <v>0</v>
      </c>
      <c r="AX544" s="29">
        <f t="shared" si="599"/>
        <v>0</v>
      </c>
      <c r="AY544" s="54" t="s">
        <v>649</v>
      </c>
      <c r="AZ544" s="54" t="s">
        <v>1536</v>
      </c>
      <c r="BA544" s="48" t="s">
        <v>1542</v>
      </c>
      <c r="BC544" s="29">
        <f t="shared" si="600"/>
        <v>0</v>
      </c>
      <c r="BD544" s="29">
        <f t="shared" si="601"/>
        <v>0</v>
      </c>
      <c r="BE544" s="29">
        <v>0</v>
      </c>
      <c r="BF544" s="29">
        <f t="shared" si="602"/>
        <v>0</v>
      </c>
      <c r="BH544" s="55">
        <f t="shared" si="603"/>
        <v>0</v>
      </c>
      <c r="BI544" s="55">
        <f t="shared" si="604"/>
        <v>0</v>
      </c>
      <c r="BJ544" s="55">
        <f t="shared" si="605"/>
        <v>0</v>
      </c>
    </row>
    <row r="545" spans="1:62" ht="12.75">
      <c r="A545" s="36" t="s">
        <v>1784</v>
      </c>
      <c r="B545" s="36" t="s">
        <v>60</v>
      </c>
      <c r="C545" s="36" t="s">
        <v>393</v>
      </c>
      <c r="D545" s="36" t="s">
        <v>579</v>
      </c>
      <c r="E545" s="36" t="s">
        <v>609</v>
      </c>
      <c r="F545" s="55">
        <f>'Stavební rozpočet'!F559</f>
        <v>1050</v>
      </c>
      <c r="G545" s="55">
        <f>'Stavební rozpočet'!G559</f>
        <v>0</v>
      </c>
      <c r="H545" s="55">
        <f t="shared" si="580"/>
        <v>0</v>
      </c>
      <c r="I545" s="55">
        <f t="shared" si="581"/>
        <v>0</v>
      </c>
      <c r="J545" s="55">
        <f t="shared" si="582"/>
        <v>0</v>
      </c>
      <c r="K545" s="55">
        <f>'Stavební rozpočet'!K559</f>
        <v>0</v>
      </c>
      <c r="L545" s="55">
        <f t="shared" si="583"/>
        <v>0</v>
      </c>
      <c r="M545" s="51" t="s">
        <v>622</v>
      </c>
      <c r="Z545" s="29">
        <f t="shared" si="584"/>
        <v>0</v>
      </c>
      <c r="AB545" s="29">
        <f t="shared" si="585"/>
        <v>0</v>
      </c>
      <c r="AC545" s="29">
        <f t="shared" si="586"/>
        <v>0</v>
      </c>
      <c r="AD545" s="29">
        <f t="shared" si="587"/>
        <v>0</v>
      </c>
      <c r="AE545" s="29">
        <f t="shared" si="588"/>
        <v>0</v>
      </c>
      <c r="AF545" s="29">
        <f t="shared" si="589"/>
        <v>0</v>
      </c>
      <c r="AG545" s="29">
        <f t="shared" si="590"/>
        <v>0</v>
      </c>
      <c r="AH545" s="29">
        <f t="shared" si="591"/>
        <v>0</v>
      </c>
      <c r="AI545" s="48" t="s">
        <v>60</v>
      </c>
      <c r="AJ545" s="55">
        <f t="shared" si="592"/>
        <v>0</v>
      </c>
      <c r="AK545" s="55">
        <f t="shared" si="593"/>
        <v>0</v>
      </c>
      <c r="AL545" s="55">
        <f t="shared" si="594"/>
        <v>0</v>
      </c>
      <c r="AN545" s="29">
        <v>15</v>
      </c>
      <c r="AO545" s="29">
        <f t="shared" si="595"/>
        <v>0</v>
      </c>
      <c r="AP545" s="29">
        <f t="shared" si="596"/>
        <v>0</v>
      </c>
      <c r="AQ545" s="51" t="s">
        <v>79</v>
      </c>
      <c r="AV545" s="29">
        <f t="shared" si="597"/>
        <v>0</v>
      </c>
      <c r="AW545" s="29">
        <f t="shared" si="598"/>
        <v>0</v>
      </c>
      <c r="AX545" s="29">
        <f t="shared" si="599"/>
        <v>0</v>
      </c>
      <c r="AY545" s="54" t="s">
        <v>649</v>
      </c>
      <c r="AZ545" s="54" t="s">
        <v>1536</v>
      </c>
      <c r="BA545" s="48" t="s">
        <v>1542</v>
      </c>
      <c r="BC545" s="29">
        <f t="shared" si="600"/>
        <v>0</v>
      </c>
      <c r="BD545" s="29">
        <f t="shared" si="601"/>
        <v>0</v>
      </c>
      <c r="BE545" s="29">
        <v>0</v>
      </c>
      <c r="BF545" s="29">
        <f t="shared" si="602"/>
        <v>0</v>
      </c>
      <c r="BH545" s="55">
        <f t="shared" si="603"/>
        <v>0</v>
      </c>
      <c r="BI545" s="55">
        <f t="shared" si="604"/>
        <v>0</v>
      </c>
      <c r="BJ545" s="55">
        <f t="shared" si="605"/>
        <v>0</v>
      </c>
    </row>
    <row r="546" spans="1:62" ht="12.75">
      <c r="A546" s="36" t="s">
        <v>1785</v>
      </c>
      <c r="B546" s="36" t="s">
        <v>60</v>
      </c>
      <c r="C546" s="36" t="s">
        <v>394</v>
      </c>
      <c r="D546" s="36" t="s">
        <v>580</v>
      </c>
      <c r="E546" s="36" t="s">
        <v>609</v>
      </c>
      <c r="F546" s="55">
        <f>'Stavební rozpočet'!F560</f>
        <v>1050</v>
      </c>
      <c r="G546" s="55">
        <f>'Stavební rozpočet'!G560</f>
        <v>0</v>
      </c>
      <c r="H546" s="55">
        <f t="shared" si="580"/>
        <v>0</v>
      </c>
      <c r="I546" s="55">
        <f t="shared" si="581"/>
        <v>0</v>
      </c>
      <c r="J546" s="55">
        <f t="shared" si="582"/>
        <v>0</v>
      </c>
      <c r="K546" s="55">
        <f>'Stavební rozpočet'!K560</f>
        <v>0</v>
      </c>
      <c r="L546" s="55">
        <f t="shared" si="583"/>
        <v>0</v>
      </c>
      <c r="M546" s="51" t="s">
        <v>622</v>
      </c>
      <c r="Z546" s="29">
        <f t="shared" si="584"/>
        <v>0</v>
      </c>
      <c r="AB546" s="29">
        <f t="shared" si="585"/>
        <v>0</v>
      </c>
      <c r="AC546" s="29">
        <f t="shared" si="586"/>
        <v>0</v>
      </c>
      <c r="AD546" s="29">
        <f t="shared" si="587"/>
        <v>0</v>
      </c>
      <c r="AE546" s="29">
        <f t="shared" si="588"/>
        <v>0</v>
      </c>
      <c r="AF546" s="29">
        <f t="shared" si="589"/>
        <v>0</v>
      </c>
      <c r="AG546" s="29">
        <f t="shared" si="590"/>
        <v>0</v>
      </c>
      <c r="AH546" s="29">
        <f t="shared" si="591"/>
        <v>0</v>
      </c>
      <c r="AI546" s="48" t="s">
        <v>60</v>
      </c>
      <c r="AJ546" s="55">
        <f t="shared" si="592"/>
        <v>0</v>
      </c>
      <c r="AK546" s="55">
        <f t="shared" si="593"/>
        <v>0</v>
      </c>
      <c r="AL546" s="55">
        <f t="shared" si="594"/>
        <v>0</v>
      </c>
      <c r="AN546" s="29">
        <v>15</v>
      </c>
      <c r="AO546" s="29">
        <f t="shared" si="595"/>
        <v>0</v>
      </c>
      <c r="AP546" s="29">
        <f t="shared" si="596"/>
        <v>0</v>
      </c>
      <c r="AQ546" s="51" t="s">
        <v>79</v>
      </c>
      <c r="AV546" s="29">
        <f t="shared" si="597"/>
        <v>0</v>
      </c>
      <c r="AW546" s="29">
        <f t="shared" si="598"/>
        <v>0</v>
      </c>
      <c r="AX546" s="29">
        <f t="shared" si="599"/>
        <v>0</v>
      </c>
      <c r="AY546" s="54" t="s">
        <v>649</v>
      </c>
      <c r="AZ546" s="54" t="s">
        <v>1536</v>
      </c>
      <c r="BA546" s="48" t="s">
        <v>1542</v>
      </c>
      <c r="BC546" s="29">
        <f t="shared" si="600"/>
        <v>0</v>
      </c>
      <c r="BD546" s="29">
        <f t="shared" si="601"/>
        <v>0</v>
      </c>
      <c r="BE546" s="29">
        <v>0</v>
      </c>
      <c r="BF546" s="29">
        <f t="shared" si="602"/>
        <v>0</v>
      </c>
      <c r="BH546" s="55">
        <f t="shared" si="603"/>
        <v>0</v>
      </c>
      <c r="BI546" s="55">
        <f t="shared" si="604"/>
        <v>0</v>
      </c>
      <c r="BJ546" s="55">
        <f t="shared" si="605"/>
        <v>0</v>
      </c>
    </row>
    <row r="547" spans="1:62" ht="12.75">
      <c r="A547" s="36" t="s">
        <v>1786</v>
      </c>
      <c r="B547" s="36" t="s">
        <v>60</v>
      </c>
      <c r="C547" s="36" t="s">
        <v>395</v>
      </c>
      <c r="D547" s="36" t="s">
        <v>581</v>
      </c>
      <c r="E547" s="36" t="s">
        <v>613</v>
      </c>
      <c r="F547" s="55">
        <f>'Stavební rozpočet'!F561</f>
        <v>81</v>
      </c>
      <c r="G547" s="55">
        <f>'Stavební rozpočet'!G561</f>
        <v>0</v>
      </c>
      <c r="H547" s="55">
        <f t="shared" si="580"/>
        <v>0</v>
      </c>
      <c r="I547" s="55">
        <f t="shared" si="581"/>
        <v>0</v>
      </c>
      <c r="J547" s="55">
        <f t="shared" si="582"/>
        <v>0</v>
      </c>
      <c r="K547" s="55">
        <f>'Stavební rozpočet'!K561</f>
        <v>0</v>
      </c>
      <c r="L547" s="55">
        <f t="shared" si="583"/>
        <v>0</v>
      </c>
      <c r="M547" s="51" t="s">
        <v>622</v>
      </c>
      <c r="Z547" s="29">
        <f t="shared" si="584"/>
        <v>0</v>
      </c>
      <c r="AB547" s="29">
        <f t="shared" si="585"/>
        <v>0</v>
      </c>
      <c r="AC547" s="29">
        <f t="shared" si="586"/>
        <v>0</v>
      </c>
      <c r="AD547" s="29">
        <f t="shared" si="587"/>
        <v>0</v>
      </c>
      <c r="AE547" s="29">
        <f t="shared" si="588"/>
        <v>0</v>
      </c>
      <c r="AF547" s="29">
        <f t="shared" si="589"/>
        <v>0</v>
      </c>
      <c r="AG547" s="29">
        <f t="shared" si="590"/>
        <v>0</v>
      </c>
      <c r="AH547" s="29">
        <f t="shared" si="591"/>
        <v>0</v>
      </c>
      <c r="AI547" s="48" t="s">
        <v>60</v>
      </c>
      <c r="AJ547" s="55">
        <f t="shared" si="592"/>
        <v>0</v>
      </c>
      <c r="AK547" s="55">
        <f t="shared" si="593"/>
        <v>0</v>
      </c>
      <c r="AL547" s="55">
        <f t="shared" si="594"/>
        <v>0</v>
      </c>
      <c r="AN547" s="29">
        <v>15</v>
      </c>
      <c r="AO547" s="29">
        <f t="shared" si="595"/>
        <v>0</v>
      </c>
      <c r="AP547" s="29">
        <f t="shared" si="596"/>
        <v>0</v>
      </c>
      <c r="AQ547" s="51" t="s">
        <v>79</v>
      </c>
      <c r="AV547" s="29">
        <f t="shared" si="597"/>
        <v>0</v>
      </c>
      <c r="AW547" s="29">
        <f t="shared" si="598"/>
        <v>0</v>
      </c>
      <c r="AX547" s="29">
        <f t="shared" si="599"/>
        <v>0</v>
      </c>
      <c r="AY547" s="54" t="s">
        <v>649</v>
      </c>
      <c r="AZ547" s="54" t="s">
        <v>1536</v>
      </c>
      <c r="BA547" s="48" t="s">
        <v>1542</v>
      </c>
      <c r="BC547" s="29">
        <f t="shared" si="600"/>
        <v>0</v>
      </c>
      <c r="BD547" s="29">
        <f t="shared" si="601"/>
        <v>0</v>
      </c>
      <c r="BE547" s="29">
        <v>0</v>
      </c>
      <c r="BF547" s="29">
        <f t="shared" si="602"/>
        <v>0</v>
      </c>
      <c r="BH547" s="55">
        <f t="shared" si="603"/>
        <v>0</v>
      </c>
      <c r="BI547" s="55">
        <f t="shared" si="604"/>
        <v>0</v>
      </c>
      <c r="BJ547" s="55">
        <f t="shared" si="605"/>
        <v>0</v>
      </c>
    </row>
    <row r="548" spans="1:62" ht="12.75">
      <c r="A548" s="36" t="s">
        <v>1787</v>
      </c>
      <c r="B548" s="36" t="s">
        <v>60</v>
      </c>
      <c r="C548" s="36" t="s">
        <v>396</v>
      </c>
      <c r="D548" s="36" t="s">
        <v>582</v>
      </c>
      <c r="E548" s="36" t="s">
        <v>606</v>
      </c>
      <c r="F548" s="55">
        <f>'Stavební rozpočet'!F562</f>
        <v>15</v>
      </c>
      <c r="G548" s="55">
        <f>'Stavební rozpočet'!G562</f>
        <v>0</v>
      </c>
      <c r="H548" s="55">
        <f t="shared" si="580"/>
        <v>0</v>
      </c>
      <c r="I548" s="55">
        <f t="shared" si="581"/>
        <v>0</v>
      </c>
      <c r="J548" s="55">
        <f t="shared" si="582"/>
        <v>0</v>
      </c>
      <c r="K548" s="55">
        <f>'Stavební rozpočet'!K562</f>
        <v>0</v>
      </c>
      <c r="L548" s="55">
        <f t="shared" si="583"/>
        <v>0</v>
      </c>
      <c r="M548" s="51" t="s">
        <v>622</v>
      </c>
      <c r="Z548" s="29">
        <f t="shared" si="584"/>
        <v>0</v>
      </c>
      <c r="AB548" s="29">
        <f t="shared" si="585"/>
        <v>0</v>
      </c>
      <c r="AC548" s="29">
        <f t="shared" si="586"/>
        <v>0</v>
      </c>
      <c r="AD548" s="29">
        <f t="shared" si="587"/>
        <v>0</v>
      </c>
      <c r="AE548" s="29">
        <f t="shared" si="588"/>
        <v>0</v>
      </c>
      <c r="AF548" s="29">
        <f t="shared" si="589"/>
        <v>0</v>
      </c>
      <c r="AG548" s="29">
        <f t="shared" si="590"/>
        <v>0</v>
      </c>
      <c r="AH548" s="29">
        <f t="shared" si="591"/>
        <v>0</v>
      </c>
      <c r="AI548" s="48" t="s">
        <v>60</v>
      </c>
      <c r="AJ548" s="55">
        <f t="shared" si="592"/>
        <v>0</v>
      </c>
      <c r="AK548" s="55">
        <f t="shared" si="593"/>
        <v>0</v>
      </c>
      <c r="AL548" s="55">
        <f t="shared" si="594"/>
        <v>0</v>
      </c>
      <c r="AN548" s="29">
        <v>15</v>
      </c>
      <c r="AO548" s="29">
        <f t="shared" si="595"/>
        <v>0</v>
      </c>
      <c r="AP548" s="29">
        <f t="shared" si="596"/>
        <v>0</v>
      </c>
      <c r="AQ548" s="51" t="s">
        <v>79</v>
      </c>
      <c r="AV548" s="29">
        <f t="shared" si="597"/>
        <v>0</v>
      </c>
      <c r="AW548" s="29">
        <f t="shared" si="598"/>
        <v>0</v>
      </c>
      <c r="AX548" s="29">
        <f t="shared" si="599"/>
        <v>0</v>
      </c>
      <c r="AY548" s="54" t="s">
        <v>649</v>
      </c>
      <c r="AZ548" s="54" t="s">
        <v>1536</v>
      </c>
      <c r="BA548" s="48" t="s">
        <v>1542</v>
      </c>
      <c r="BC548" s="29">
        <f t="shared" si="600"/>
        <v>0</v>
      </c>
      <c r="BD548" s="29">
        <f t="shared" si="601"/>
        <v>0</v>
      </c>
      <c r="BE548" s="29">
        <v>0</v>
      </c>
      <c r="BF548" s="29">
        <f t="shared" si="602"/>
        <v>0</v>
      </c>
      <c r="BH548" s="55">
        <f t="shared" si="603"/>
        <v>0</v>
      </c>
      <c r="BI548" s="55">
        <f t="shared" si="604"/>
        <v>0</v>
      </c>
      <c r="BJ548" s="55">
        <f t="shared" si="605"/>
        <v>0</v>
      </c>
    </row>
    <row r="549" spans="1:62" ht="12.75">
      <c r="A549" s="36" t="s">
        <v>1788</v>
      </c>
      <c r="B549" s="36" t="s">
        <v>60</v>
      </c>
      <c r="C549" s="36" t="s">
        <v>1144</v>
      </c>
      <c r="D549" s="36" t="s">
        <v>1453</v>
      </c>
      <c r="E549" s="36" t="s">
        <v>606</v>
      </c>
      <c r="F549" s="55">
        <f>'Stavební rozpočet'!F563</f>
        <v>5</v>
      </c>
      <c r="G549" s="55">
        <f>'Stavební rozpočet'!G563</f>
        <v>0</v>
      </c>
      <c r="H549" s="55">
        <f t="shared" si="580"/>
        <v>0</v>
      </c>
      <c r="I549" s="55">
        <f t="shared" si="581"/>
        <v>0</v>
      </c>
      <c r="J549" s="55">
        <f t="shared" si="582"/>
        <v>0</v>
      </c>
      <c r="K549" s="55">
        <f>'Stavební rozpočet'!K563</f>
        <v>0</v>
      </c>
      <c r="L549" s="55">
        <f t="shared" si="583"/>
        <v>0</v>
      </c>
      <c r="M549" s="51" t="s">
        <v>622</v>
      </c>
      <c r="Z549" s="29">
        <f t="shared" si="584"/>
        <v>0</v>
      </c>
      <c r="AB549" s="29">
        <f t="shared" si="585"/>
        <v>0</v>
      </c>
      <c r="AC549" s="29">
        <f t="shared" si="586"/>
        <v>0</v>
      </c>
      <c r="AD549" s="29">
        <f t="shared" si="587"/>
        <v>0</v>
      </c>
      <c r="AE549" s="29">
        <f t="shared" si="588"/>
        <v>0</v>
      </c>
      <c r="AF549" s="29">
        <f t="shared" si="589"/>
        <v>0</v>
      </c>
      <c r="AG549" s="29">
        <f t="shared" si="590"/>
        <v>0</v>
      </c>
      <c r="AH549" s="29">
        <f t="shared" si="591"/>
        <v>0</v>
      </c>
      <c r="AI549" s="48" t="s">
        <v>60</v>
      </c>
      <c r="AJ549" s="55">
        <f t="shared" si="592"/>
        <v>0</v>
      </c>
      <c r="AK549" s="55">
        <f t="shared" si="593"/>
        <v>0</v>
      </c>
      <c r="AL549" s="55">
        <f t="shared" si="594"/>
        <v>0</v>
      </c>
      <c r="AN549" s="29">
        <v>15</v>
      </c>
      <c r="AO549" s="29">
        <f t="shared" si="595"/>
        <v>0</v>
      </c>
      <c r="AP549" s="29">
        <f t="shared" si="596"/>
        <v>0</v>
      </c>
      <c r="AQ549" s="51" t="s">
        <v>79</v>
      </c>
      <c r="AV549" s="29">
        <f t="shared" si="597"/>
        <v>0</v>
      </c>
      <c r="AW549" s="29">
        <f t="shared" si="598"/>
        <v>0</v>
      </c>
      <c r="AX549" s="29">
        <f t="shared" si="599"/>
        <v>0</v>
      </c>
      <c r="AY549" s="54" t="s">
        <v>649</v>
      </c>
      <c r="AZ549" s="54" t="s">
        <v>1536</v>
      </c>
      <c r="BA549" s="48" t="s">
        <v>1542</v>
      </c>
      <c r="BC549" s="29">
        <f t="shared" si="600"/>
        <v>0</v>
      </c>
      <c r="BD549" s="29">
        <f t="shared" si="601"/>
        <v>0</v>
      </c>
      <c r="BE549" s="29">
        <v>0</v>
      </c>
      <c r="BF549" s="29">
        <f t="shared" si="602"/>
        <v>0</v>
      </c>
      <c r="BH549" s="55">
        <f t="shared" si="603"/>
        <v>0</v>
      </c>
      <c r="BI549" s="55">
        <f t="shared" si="604"/>
        <v>0</v>
      </c>
      <c r="BJ549" s="55">
        <f t="shared" si="605"/>
        <v>0</v>
      </c>
    </row>
    <row r="550" spans="1:62" ht="12.75">
      <c r="A550" s="36" t="s">
        <v>1789</v>
      </c>
      <c r="B550" s="36" t="s">
        <v>60</v>
      </c>
      <c r="C550" s="36" t="s">
        <v>1145</v>
      </c>
      <c r="D550" s="36" t="s">
        <v>1454</v>
      </c>
      <c r="E550" s="36" t="s">
        <v>606</v>
      </c>
      <c r="F550" s="55">
        <f>'Stavební rozpočet'!F564</f>
        <v>5</v>
      </c>
      <c r="G550" s="55">
        <f>'Stavební rozpočet'!G564</f>
        <v>0</v>
      </c>
      <c r="H550" s="55">
        <f t="shared" si="580"/>
        <v>0</v>
      </c>
      <c r="I550" s="55">
        <f t="shared" si="581"/>
        <v>0</v>
      </c>
      <c r="J550" s="55">
        <f t="shared" si="582"/>
        <v>0</v>
      </c>
      <c r="K550" s="55">
        <f>'Stavební rozpočet'!K564</f>
        <v>0</v>
      </c>
      <c r="L550" s="55">
        <f t="shared" si="583"/>
        <v>0</v>
      </c>
      <c r="M550" s="51" t="s">
        <v>622</v>
      </c>
      <c r="Z550" s="29">
        <f t="shared" si="584"/>
        <v>0</v>
      </c>
      <c r="AB550" s="29">
        <f t="shared" si="585"/>
        <v>0</v>
      </c>
      <c r="AC550" s="29">
        <f t="shared" si="586"/>
        <v>0</v>
      </c>
      <c r="AD550" s="29">
        <f t="shared" si="587"/>
        <v>0</v>
      </c>
      <c r="AE550" s="29">
        <f t="shared" si="588"/>
        <v>0</v>
      </c>
      <c r="AF550" s="29">
        <f t="shared" si="589"/>
        <v>0</v>
      </c>
      <c r="AG550" s="29">
        <f t="shared" si="590"/>
        <v>0</v>
      </c>
      <c r="AH550" s="29">
        <f t="shared" si="591"/>
        <v>0</v>
      </c>
      <c r="AI550" s="48" t="s">
        <v>60</v>
      </c>
      <c r="AJ550" s="55">
        <f t="shared" si="592"/>
        <v>0</v>
      </c>
      <c r="AK550" s="55">
        <f t="shared" si="593"/>
        <v>0</v>
      </c>
      <c r="AL550" s="55">
        <f t="shared" si="594"/>
        <v>0</v>
      </c>
      <c r="AN550" s="29">
        <v>15</v>
      </c>
      <c r="AO550" s="29">
        <f t="shared" si="595"/>
        <v>0</v>
      </c>
      <c r="AP550" s="29">
        <f t="shared" si="596"/>
        <v>0</v>
      </c>
      <c r="AQ550" s="51" t="s">
        <v>79</v>
      </c>
      <c r="AV550" s="29">
        <f t="shared" si="597"/>
        <v>0</v>
      </c>
      <c r="AW550" s="29">
        <f t="shared" si="598"/>
        <v>0</v>
      </c>
      <c r="AX550" s="29">
        <f t="shared" si="599"/>
        <v>0</v>
      </c>
      <c r="AY550" s="54" t="s">
        <v>649</v>
      </c>
      <c r="AZ550" s="54" t="s">
        <v>1536</v>
      </c>
      <c r="BA550" s="48" t="s">
        <v>1542</v>
      </c>
      <c r="BC550" s="29">
        <f t="shared" si="600"/>
        <v>0</v>
      </c>
      <c r="BD550" s="29">
        <f t="shared" si="601"/>
        <v>0</v>
      </c>
      <c r="BE550" s="29">
        <v>0</v>
      </c>
      <c r="BF550" s="29">
        <f t="shared" si="602"/>
        <v>0</v>
      </c>
      <c r="BH550" s="55">
        <f t="shared" si="603"/>
        <v>0</v>
      </c>
      <c r="BI550" s="55">
        <f t="shared" si="604"/>
        <v>0</v>
      </c>
      <c r="BJ550" s="55">
        <f t="shared" si="605"/>
        <v>0</v>
      </c>
    </row>
    <row r="551" spans="1:62" ht="12.75">
      <c r="A551" s="36" t="s">
        <v>1790</v>
      </c>
      <c r="B551" s="36" t="s">
        <v>60</v>
      </c>
      <c r="C551" s="36" t="s">
        <v>1146</v>
      </c>
      <c r="D551" s="36" t="s">
        <v>1455</v>
      </c>
      <c r="E551" s="36" t="s">
        <v>609</v>
      </c>
      <c r="F551" s="55">
        <f>'Stavební rozpočet'!F565</f>
        <v>20</v>
      </c>
      <c r="G551" s="55">
        <f>'Stavební rozpočet'!G565</f>
        <v>0</v>
      </c>
      <c r="H551" s="55">
        <f t="shared" si="580"/>
        <v>0</v>
      </c>
      <c r="I551" s="55">
        <f t="shared" si="581"/>
        <v>0</v>
      </c>
      <c r="J551" s="55">
        <f t="shared" si="582"/>
        <v>0</v>
      </c>
      <c r="K551" s="55">
        <f>'Stavební rozpočet'!K565</f>
        <v>0</v>
      </c>
      <c r="L551" s="55">
        <f t="shared" si="583"/>
        <v>0</v>
      </c>
      <c r="M551" s="51" t="s">
        <v>622</v>
      </c>
      <c r="Z551" s="29">
        <f t="shared" si="584"/>
        <v>0</v>
      </c>
      <c r="AB551" s="29">
        <f t="shared" si="585"/>
        <v>0</v>
      </c>
      <c r="AC551" s="29">
        <f t="shared" si="586"/>
        <v>0</v>
      </c>
      <c r="AD551" s="29">
        <f t="shared" si="587"/>
        <v>0</v>
      </c>
      <c r="AE551" s="29">
        <f t="shared" si="588"/>
        <v>0</v>
      </c>
      <c r="AF551" s="29">
        <f t="shared" si="589"/>
        <v>0</v>
      </c>
      <c r="AG551" s="29">
        <f t="shared" si="590"/>
        <v>0</v>
      </c>
      <c r="AH551" s="29">
        <f t="shared" si="591"/>
        <v>0</v>
      </c>
      <c r="AI551" s="48" t="s">
        <v>60</v>
      </c>
      <c r="AJ551" s="55">
        <f t="shared" si="592"/>
        <v>0</v>
      </c>
      <c r="AK551" s="55">
        <f t="shared" si="593"/>
        <v>0</v>
      </c>
      <c r="AL551" s="55">
        <f t="shared" si="594"/>
        <v>0</v>
      </c>
      <c r="AN551" s="29">
        <v>15</v>
      </c>
      <c r="AO551" s="29">
        <f t="shared" si="595"/>
        <v>0</v>
      </c>
      <c r="AP551" s="29">
        <f t="shared" si="596"/>
        <v>0</v>
      </c>
      <c r="AQ551" s="51" t="s">
        <v>79</v>
      </c>
      <c r="AV551" s="29">
        <f t="shared" si="597"/>
        <v>0</v>
      </c>
      <c r="AW551" s="29">
        <f t="shared" si="598"/>
        <v>0</v>
      </c>
      <c r="AX551" s="29">
        <f t="shared" si="599"/>
        <v>0</v>
      </c>
      <c r="AY551" s="54" t="s">
        <v>649</v>
      </c>
      <c r="AZ551" s="54" t="s">
        <v>1536</v>
      </c>
      <c r="BA551" s="48" t="s">
        <v>1542</v>
      </c>
      <c r="BC551" s="29">
        <f t="shared" si="600"/>
        <v>0</v>
      </c>
      <c r="BD551" s="29">
        <f t="shared" si="601"/>
        <v>0</v>
      </c>
      <c r="BE551" s="29">
        <v>0</v>
      </c>
      <c r="BF551" s="29">
        <f t="shared" si="602"/>
        <v>0</v>
      </c>
      <c r="BH551" s="55">
        <f t="shared" si="603"/>
        <v>0</v>
      </c>
      <c r="BI551" s="55">
        <f t="shared" si="604"/>
        <v>0</v>
      </c>
      <c r="BJ551" s="55">
        <f t="shared" si="605"/>
        <v>0</v>
      </c>
    </row>
    <row r="552" spans="1:62" ht="12.75">
      <c r="A552" s="36" t="s">
        <v>1791</v>
      </c>
      <c r="B552" s="36" t="s">
        <v>60</v>
      </c>
      <c r="C552" s="36" t="s">
        <v>1147</v>
      </c>
      <c r="D552" s="36" t="s">
        <v>1456</v>
      </c>
      <c r="E552" s="36" t="s">
        <v>609</v>
      </c>
      <c r="F552" s="55">
        <f>'Stavební rozpočet'!F566</f>
        <v>20</v>
      </c>
      <c r="G552" s="55">
        <f>'Stavební rozpočet'!G566</f>
        <v>0</v>
      </c>
      <c r="H552" s="55">
        <f t="shared" si="580"/>
        <v>0</v>
      </c>
      <c r="I552" s="55">
        <f t="shared" si="581"/>
        <v>0</v>
      </c>
      <c r="J552" s="55">
        <f t="shared" si="582"/>
        <v>0</v>
      </c>
      <c r="K552" s="55">
        <f>'Stavební rozpočet'!K566</f>
        <v>0</v>
      </c>
      <c r="L552" s="55">
        <f t="shared" si="583"/>
        <v>0</v>
      </c>
      <c r="M552" s="51" t="s">
        <v>622</v>
      </c>
      <c r="Z552" s="29">
        <f t="shared" si="584"/>
        <v>0</v>
      </c>
      <c r="AB552" s="29">
        <f t="shared" si="585"/>
        <v>0</v>
      </c>
      <c r="AC552" s="29">
        <f t="shared" si="586"/>
        <v>0</v>
      </c>
      <c r="AD552" s="29">
        <f t="shared" si="587"/>
        <v>0</v>
      </c>
      <c r="AE552" s="29">
        <f t="shared" si="588"/>
        <v>0</v>
      </c>
      <c r="AF552" s="29">
        <f t="shared" si="589"/>
        <v>0</v>
      </c>
      <c r="AG552" s="29">
        <f t="shared" si="590"/>
        <v>0</v>
      </c>
      <c r="AH552" s="29">
        <f t="shared" si="591"/>
        <v>0</v>
      </c>
      <c r="AI552" s="48" t="s">
        <v>60</v>
      </c>
      <c r="AJ552" s="55">
        <f t="shared" si="592"/>
        <v>0</v>
      </c>
      <c r="AK552" s="55">
        <f t="shared" si="593"/>
        <v>0</v>
      </c>
      <c r="AL552" s="55">
        <f t="shared" si="594"/>
        <v>0</v>
      </c>
      <c r="AN552" s="29">
        <v>15</v>
      </c>
      <c r="AO552" s="29">
        <f t="shared" si="595"/>
        <v>0</v>
      </c>
      <c r="AP552" s="29">
        <f t="shared" si="596"/>
        <v>0</v>
      </c>
      <c r="AQ552" s="51" t="s">
        <v>79</v>
      </c>
      <c r="AV552" s="29">
        <f t="shared" si="597"/>
        <v>0</v>
      </c>
      <c r="AW552" s="29">
        <f t="shared" si="598"/>
        <v>0</v>
      </c>
      <c r="AX552" s="29">
        <f t="shared" si="599"/>
        <v>0</v>
      </c>
      <c r="AY552" s="54" t="s">
        <v>649</v>
      </c>
      <c r="AZ552" s="54" t="s">
        <v>1536</v>
      </c>
      <c r="BA552" s="48" t="s">
        <v>1542</v>
      </c>
      <c r="BC552" s="29">
        <f t="shared" si="600"/>
        <v>0</v>
      </c>
      <c r="BD552" s="29">
        <f t="shared" si="601"/>
        <v>0</v>
      </c>
      <c r="BE552" s="29">
        <v>0</v>
      </c>
      <c r="BF552" s="29">
        <f t="shared" si="602"/>
        <v>0</v>
      </c>
      <c r="BH552" s="55">
        <f t="shared" si="603"/>
        <v>0</v>
      </c>
      <c r="BI552" s="55">
        <f t="shared" si="604"/>
        <v>0</v>
      </c>
      <c r="BJ552" s="55">
        <f t="shared" si="605"/>
        <v>0</v>
      </c>
    </row>
    <row r="553" spans="1:62" ht="12.75">
      <c r="A553" s="36" t="s">
        <v>1792</v>
      </c>
      <c r="B553" s="36" t="s">
        <v>60</v>
      </c>
      <c r="C553" s="36" t="s">
        <v>1148</v>
      </c>
      <c r="D553" s="36" t="s">
        <v>1457</v>
      </c>
      <c r="E553" s="36" t="s">
        <v>606</v>
      </c>
      <c r="F553" s="55">
        <f>'Stavební rozpočet'!F567</f>
        <v>3</v>
      </c>
      <c r="G553" s="55">
        <f>'Stavební rozpočet'!G567</f>
        <v>0</v>
      </c>
      <c r="H553" s="55">
        <f t="shared" si="580"/>
        <v>0</v>
      </c>
      <c r="I553" s="55">
        <f t="shared" si="581"/>
        <v>0</v>
      </c>
      <c r="J553" s="55">
        <f t="shared" si="582"/>
        <v>0</v>
      </c>
      <c r="K553" s="55">
        <f>'Stavební rozpočet'!K567</f>
        <v>0</v>
      </c>
      <c r="L553" s="55">
        <f t="shared" si="583"/>
        <v>0</v>
      </c>
      <c r="M553" s="51" t="s">
        <v>622</v>
      </c>
      <c r="Z553" s="29">
        <f t="shared" si="584"/>
        <v>0</v>
      </c>
      <c r="AB553" s="29">
        <f t="shared" si="585"/>
        <v>0</v>
      </c>
      <c r="AC553" s="29">
        <f t="shared" si="586"/>
        <v>0</v>
      </c>
      <c r="AD553" s="29">
        <f t="shared" si="587"/>
        <v>0</v>
      </c>
      <c r="AE553" s="29">
        <f t="shared" si="588"/>
        <v>0</v>
      </c>
      <c r="AF553" s="29">
        <f t="shared" si="589"/>
        <v>0</v>
      </c>
      <c r="AG553" s="29">
        <f t="shared" si="590"/>
        <v>0</v>
      </c>
      <c r="AH553" s="29">
        <f t="shared" si="591"/>
        <v>0</v>
      </c>
      <c r="AI553" s="48" t="s">
        <v>60</v>
      </c>
      <c r="AJ553" s="55">
        <f t="shared" si="592"/>
        <v>0</v>
      </c>
      <c r="AK553" s="55">
        <f t="shared" si="593"/>
        <v>0</v>
      </c>
      <c r="AL553" s="55">
        <f t="shared" si="594"/>
        <v>0</v>
      </c>
      <c r="AN553" s="29">
        <v>15</v>
      </c>
      <c r="AO553" s="29">
        <f t="shared" si="595"/>
        <v>0</v>
      </c>
      <c r="AP553" s="29">
        <f t="shared" si="596"/>
        <v>0</v>
      </c>
      <c r="AQ553" s="51" t="s">
        <v>79</v>
      </c>
      <c r="AV553" s="29">
        <f t="shared" si="597"/>
        <v>0</v>
      </c>
      <c r="AW553" s="29">
        <f t="shared" si="598"/>
        <v>0</v>
      </c>
      <c r="AX553" s="29">
        <f t="shared" si="599"/>
        <v>0</v>
      </c>
      <c r="AY553" s="54" t="s">
        <v>649</v>
      </c>
      <c r="AZ553" s="54" t="s">
        <v>1536</v>
      </c>
      <c r="BA553" s="48" t="s">
        <v>1542</v>
      </c>
      <c r="BC553" s="29">
        <f t="shared" si="600"/>
        <v>0</v>
      </c>
      <c r="BD553" s="29">
        <f t="shared" si="601"/>
        <v>0</v>
      </c>
      <c r="BE553" s="29">
        <v>0</v>
      </c>
      <c r="BF553" s="29">
        <f t="shared" si="602"/>
        <v>0</v>
      </c>
      <c r="BH553" s="55">
        <f t="shared" si="603"/>
        <v>0</v>
      </c>
      <c r="BI553" s="55">
        <f t="shared" si="604"/>
        <v>0</v>
      </c>
      <c r="BJ553" s="55">
        <f t="shared" si="605"/>
        <v>0</v>
      </c>
    </row>
    <row r="554" spans="1:62" ht="12.75">
      <c r="A554" s="36" t="s">
        <v>1793</v>
      </c>
      <c r="B554" s="36" t="s">
        <v>60</v>
      </c>
      <c r="C554" s="36" t="s">
        <v>1149</v>
      </c>
      <c r="D554" s="36" t="s">
        <v>1457</v>
      </c>
      <c r="E554" s="36" t="s">
        <v>606</v>
      </c>
      <c r="F554" s="55">
        <f>'Stavební rozpočet'!F568</f>
        <v>3</v>
      </c>
      <c r="G554" s="55">
        <f>'Stavební rozpočet'!G568</f>
        <v>0</v>
      </c>
      <c r="H554" s="55">
        <f t="shared" si="580"/>
        <v>0</v>
      </c>
      <c r="I554" s="55">
        <f t="shared" si="581"/>
        <v>0</v>
      </c>
      <c r="J554" s="55">
        <f t="shared" si="582"/>
        <v>0</v>
      </c>
      <c r="K554" s="55">
        <f>'Stavební rozpočet'!K568</f>
        <v>0</v>
      </c>
      <c r="L554" s="55">
        <f t="shared" si="583"/>
        <v>0</v>
      </c>
      <c r="M554" s="51" t="s">
        <v>622</v>
      </c>
      <c r="Z554" s="29">
        <f t="shared" si="584"/>
        <v>0</v>
      </c>
      <c r="AB554" s="29">
        <f t="shared" si="585"/>
        <v>0</v>
      </c>
      <c r="AC554" s="29">
        <f t="shared" si="586"/>
        <v>0</v>
      </c>
      <c r="AD554" s="29">
        <f t="shared" si="587"/>
        <v>0</v>
      </c>
      <c r="AE554" s="29">
        <f t="shared" si="588"/>
        <v>0</v>
      </c>
      <c r="AF554" s="29">
        <f t="shared" si="589"/>
        <v>0</v>
      </c>
      <c r="AG554" s="29">
        <f t="shared" si="590"/>
        <v>0</v>
      </c>
      <c r="AH554" s="29">
        <f t="shared" si="591"/>
        <v>0</v>
      </c>
      <c r="AI554" s="48" t="s">
        <v>60</v>
      </c>
      <c r="AJ554" s="55">
        <f t="shared" si="592"/>
        <v>0</v>
      </c>
      <c r="AK554" s="55">
        <f t="shared" si="593"/>
        <v>0</v>
      </c>
      <c r="AL554" s="55">
        <f t="shared" si="594"/>
        <v>0</v>
      </c>
      <c r="AN554" s="29">
        <v>15</v>
      </c>
      <c r="AO554" s="29">
        <f t="shared" si="595"/>
        <v>0</v>
      </c>
      <c r="AP554" s="29">
        <f t="shared" si="596"/>
        <v>0</v>
      </c>
      <c r="AQ554" s="51" t="s">
        <v>79</v>
      </c>
      <c r="AV554" s="29">
        <f t="shared" si="597"/>
        <v>0</v>
      </c>
      <c r="AW554" s="29">
        <f t="shared" si="598"/>
        <v>0</v>
      </c>
      <c r="AX554" s="29">
        <f t="shared" si="599"/>
        <v>0</v>
      </c>
      <c r="AY554" s="54" t="s">
        <v>649</v>
      </c>
      <c r="AZ554" s="54" t="s">
        <v>1536</v>
      </c>
      <c r="BA554" s="48" t="s">
        <v>1542</v>
      </c>
      <c r="BC554" s="29">
        <f t="shared" si="600"/>
        <v>0</v>
      </c>
      <c r="BD554" s="29">
        <f t="shared" si="601"/>
        <v>0</v>
      </c>
      <c r="BE554" s="29">
        <v>0</v>
      </c>
      <c r="BF554" s="29">
        <f t="shared" si="602"/>
        <v>0</v>
      </c>
      <c r="BH554" s="55">
        <f t="shared" si="603"/>
        <v>0</v>
      </c>
      <c r="BI554" s="55">
        <f t="shared" si="604"/>
        <v>0</v>
      </c>
      <c r="BJ554" s="55">
        <f t="shared" si="605"/>
        <v>0</v>
      </c>
    </row>
    <row r="555" spans="1:62" ht="12.75">
      <c r="A555" s="36" t="s">
        <v>1794</v>
      </c>
      <c r="B555" s="36" t="s">
        <v>60</v>
      </c>
      <c r="C555" s="36" t="s">
        <v>1150</v>
      </c>
      <c r="D555" s="36" t="s">
        <v>1458</v>
      </c>
      <c r="E555" s="36" t="s">
        <v>609</v>
      </c>
      <c r="F555" s="55">
        <f>'Stavební rozpočet'!F569</f>
        <v>2</v>
      </c>
      <c r="G555" s="55">
        <f>'Stavební rozpočet'!G569</f>
        <v>0</v>
      </c>
      <c r="H555" s="55">
        <f t="shared" si="580"/>
        <v>0</v>
      </c>
      <c r="I555" s="55">
        <f t="shared" si="581"/>
        <v>0</v>
      </c>
      <c r="J555" s="55">
        <f t="shared" si="582"/>
        <v>0</v>
      </c>
      <c r="K555" s="55">
        <f>'Stavební rozpočet'!K569</f>
        <v>0</v>
      </c>
      <c r="L555" s="55">
        <f t="shared" si="583"/>
        <v>0</v>
      </c>
      <c r="M555" s="51" t="s">
        <v>622</v>
      </c>
      <c r="Z555" s="29">
        <f t="shared" si="584"/>
        <v>0</v>
      </c>
      <c r="AB555" s="29">
        <f t="shared" si="585"/>
        <v>0</v>
      </c>
      <c r="AC555" s="29">
        <f t="shared" si="586"/>
        <v>0</v>
      </c>
      <c r="AD555" s="29">
        <f t="shared" si="587"/>
        <v>0</v>
      </c>
      <c r="AE555" s="29">
        <f t="shared" si="588"/>
        <v>0</v>
      </c>
      <c r="AF555" s="29">
        <f t="shared" si="589"/>
        <v>0</v>
      </c>
      <c r="AG555" s="29">
        <f t="shared" si="590"/>
        <v>0</v>
      </c>
      <c r="AH555" s="29">
        <f t="shared" si="591"/>
        <v>0</v>
      </c>
      <c r="AI555" s="48" t="s">
        <v>60</v>
      </c>
      <c r="AJ555" s="55">
        <f t="shared" si="592"/>
        <v>0</v>
      </c>
      <c r="AK555" s="55">
        <f t="shared" si="593"/>
        <v>0</v>
      </c>
      <c r="AL555" s="55">
        <f t="shared" si="594"/>
        <v>0</v>
      </c>
      <c r="AN555" s="29">
        <v>15</v>
      </c>
      <c r="AO555" s="29">
        <f t="shared" si="595"/>
        <v>0</v>
      </c>
      <c r="AP555" s="29">
        <f t="shared" si="596"/>
        <v>0</v>
      </c>
      <c r="AQ555" s="51" t="s">
        <v>79</v>
      </c>
      <c r="AV555" s="29">
        <f t="shared" si="597"/>
        <v>0</v>
      </c>
      <c r="AW555" s="29">
        <f t="shared" si="598"/>
        <v>0</v>
      </c>
      <c r="AX555" s="29">
        <f t="shared" si="599"/>
        <v>0</v>
      </c>
      <c r="AY555" s="54" t="s">
        <v>649</v>
      </c>
      <c r="AZ555" s="54" t="s">
        <v>1536</v>
      </c>
      <c r="BA555" s="48" t="s">
        <v>1542</v>
      </c>
      <c r="BC555" s="29">
        <f t="shared" si="600"/>
        <v>0</v>
      </c>
      <c r="BD555" s="29">
        <f t="shared" si="601"/>
        <v>0</v>
      </c>
      <c r="BE555" s="29">
        <v>0</v>
      </c>
      <c r="BF555" s="29">
        <f t="shared" si="602"/>
        <v>0</v>
      </c>
      <c r="BH555" s="55">
        <f t="shared" si="603"/>
        <v>0</v>
      </c>
      <c r="BI555" s="55">
        <f t="shared" si="604"/>
        <v>0</v>
      </c>
      <c r="BJ555" s="55">
        <f t="shared" si="605"/>
        <v>0</v>
      </c>
    </row>
    <row r="556" spans="1:62" ht="12.75">
      <c r="A556" s="36" t="s">
        <v>1795</v>
      </c>
      <c r="B556" s="36" t="s">
        <v>60</v>
      </c>
      <c r="C556" s="36" t="s">
        <v>1151</v>
      </c>
      <c r="D556" s="36" t="s">
        <v>1459</v>
      </c>
      <c r="E556" s="36" t="s">
        <v>609</v>
      </c>
      <c r="F556" s="55">
        <f>'Stavební rozpočet'!F570</f>
        <v>2</v>
      </c>
      <c r="G556" s="55">
        <f>'Stavební rozpočet'!G570</f>
        <v>0</v>
      </c>
      <c r="H556" s="55">
        <f t="shared" si="580"/>
        <v>0</v>
      </c>
      <c r="I556" s="55">
        <f t="shared" si="581"/>
        <v>0</v>
      </c>
      <c r="J556" s="55">
        <f t="shared" si="582"/>
        <v>0</v>
      </c>
      <c r="K556" s="55">
        <f>'Stavební rozpočet'!K570</f>
        <v>0</v>
      </c>
      <c r="L556" s="55">
        <f t="shared" si="583"/>
        <v>0</v>
      </c>
      <c r="M556" s="51" t="s">
        <v>622</v>
      </c>
      <c r="Z556" s="29">
        <f t="shared" si="584"/>
        <v>0</v>
      </c>
      <c r="AB556" s="29">
        <f t="shared" si="585"/>
        <v>0</v>
      </c>
      <c r="AC556" s="29">
        <f t="shared" si="586"/>
        <v>0</v>
      </c>
      <c r="AD556" s="29">
        <f t="shared" si="587"/>
        <v>0</v>
      </c>
      <c r="AE556" s="29">
        <f t="shared" si="588"/>
        <v>0</v>
      </c>
      <c r="AF556" s="29">
        <f t="shared" si="589"/>
        <v>0</v>
      </c>
      <c r="AG556" s="29">
        <f t="shared" si="590"/>
        <v>0</v>
      </c>
      <c r="AH556" s="29">
        <f t="shared" si="591"/>
        <v>0</v>
      </c>
      <c r="AI556" s="48" t="s">
        <v>60</v>
      </c>
      <c r="AJ556" s="55">
        <f t="shared" si="592"/>
        <v>0</v>
      </c>
      <c r="AK556" s="55">
        <f t="shared" si="593"/>
        <v>0</v>
      </c>
      <c r="AL556" s="55">
        <f t="shared" si="594"/>
        <v>0</v>
      </c>
      <c r="AN556" s="29">
        <v>15</v>
      </c>
      <c r="AO556" s="29">
        <f t="shared" si="595"/>
        <v>0</v>
      </c>
      <c r="AP556" s="29">
        <f t="shared" si="596"/>
        <v>0</v>
      </c>
      <c r="AQ556" s="51" t="s">
        <v>79</v>
      </c>
      <c r="AV556" s="29">
        <f t="shared" si="597"/>
        <v>0</v>
      </c>
      <c r="AW556" s="29">
        <f t="shared" si="598"/>
        <v>0</v>
      </c>
      <c r="AX556" s="29">
        <f t="shared" si="599"/>
        <v>0</v>
      </c>
      <c r="AY556" s="54" t="s">
        <v>649</v>
      </c>
      <c r="AZ556" s="54" t="s">
        <v>1536</v>
      </c>
      <c r="BA556" s="48" t="s">
        <v>1542</v>
      </c>
      <c r="BC556" s="29">
        <f t="shared" si="600"/>
        <v>0</v>
      </c>
      <c r="BD556" s="29">
        <f t="shared" si="601"/>
        <v>0</v>
      </c>
      <c r="BE556" s="29">
        <v>0</v>
      </c>
      <c r="BF556" s="29">
        <f t="shared" si="602"/>
        <v>0</v>
      </c>
      <c r="BH556" s="55">
        <f t="shared" si="603"/>
        <v>0</v>
      </c>
      <c r="BI556" s="55">
        <f t="shared" si="604"/>
        <v>0</v>
      </c>
      <c r="BJ556" s="55">
        <f t="shared" si="605"/>
        <v>0</v>
      </c>
    </row>
    <row r="557" spans="1:62" ht="12.75">
      <c r="A557" s="36" t="s">
        <v>1796</v>
      </c>
      <c r="B557" s="36" t="s">
        <v>60</v>
      </c>
      <c r="C557" s="36" t="s">
        <v>1152</v>
      </c>
      <c r="D557" s="36" t="s">
        <v>1460</v>
      </c>
      <c r="E557" s="36" t="s">
        <v>609</v>
      </c>
      <c r="F557" s="55">
        <f>'Stavební rozpočet'!F571</f>
        <v>55</v>
      </c>
      <c r="G557" s="55">
        <f>'Stavební rozpočet'!G571</f>
        <v>0</v>
      </c>
      <c r="H557" s="55">
        <f t="shared" si="580"/>
        <v>0</v>
      </c>
      <c r="I557" s="55">
        <f t="shared" si="581"/>
        <v>0</v>
      </c>
      <c r="J557" s="55">
        <f t="shared" si="582"/>
        <v>0</v>
      </c>
      <c r="K557" s="55">
        <f>'Stavební rozpočet'!K571</f>
        <v>0</v>
      </c>
      <c r="L557" s="55">
        <f t="shared" si="583"/>
        <v>0</v>
      </c>
      <c r="M557" s="51" t="s">
        <v>622</v>
      </c>
      <c r="Z557" s="29">
        <f t="shared" si="584"/>
        <v>0</v>
      </c>
      <c r="AB557" s="29">
        <f t="shared" si="585"/>
        <v>0</v>
      </c>
      <c r="AC557" s="29">
        <f t="shared" si="586"/>
        <v>0</v>
      </c>
      <c r="AD557" s="29">
        <f t="shared" si="587"/>
        <v>0</v>
      </c>
      <c r="AE557" s="29">
        <f t="shared" si="588"/>
        <v>0</v>
      </c>
      <c r="AF557" s="29">
        <f t="shared" si="589"/>
        <v>0</v>
      </c>
      <c r="AG557" s="29">
        <f t="shared" si="590"/>
        <v>0</v>
      </c>
      <c r="AH557" s="29">
        <f t="shared" si="591"/>
        <v>0</v>
      </c>
      <c r="AI557" s="48" t="s">
        <v>60</v>
      </c>
      <c r="AJ557" s="55">
        <f t="shared" si="592"/>
        <v>0</v>
      </c>
      <c r="AK557" s="55">
        <f t="shared" si="593"/>
        <v>0</v>
      </c>
      <c r="AL557" s="55">
        <f t="shared" si="594"/>
        <v>0</v>
      </c>
      <c r="AN557" s="29">
        <v>15</v>
      </c>
      <c r="AO557" s="29">
        <f t="shared" si="595"/>
        <v>0</v>
      </c>
      <c r="AP557" s="29">
        <f t="shared" si="596"/>
        <v>0</v>
      </c>
      <c r="AQ557" s="51" t="s">
        <v>79</v>
      </c>
      <c r="AV557" s="29">
        <f t="shared" si="597"/>
        <v>0</v>
      </c>
      <c r="AW557" s="29">
        <f t="shared" si="598"/>
        <v>0</v>
      </c>
      <c r="AX557" s="29">
        <f t="shared" si="599"/>
        <v>0</v>
      </c>
      <c r="AY557" s="54" t="s">
        <v>649</v>
      </c>
      <c r="AZ557" s="54" t="s">
        <v>1536</v>
      </c>
      <c r="BA557" s="48" t="s">
        <v>1542</v>
      </c>
      <c r="BC557" s="29">
        <f t="shared" si="600"/>
        <v>0</v>
      </c>
      <c r="BD557" s="29">
        <f t="shared" si="601"/>
        <v>0</v>
      </c>
      <c r="BE557" s="29">
        <v>0</v>
      </c>
      <c r="BF557" s="29">
        <f t="shared" si="602"/>
        <v>0</v>
      </c>
      <c r="BH557" s="55">
        <f t="shared" si="603"/>
        <v>0</v>
      </c>
      <c r="BI557" s="55">
        <f t="shared" si="604"/>
        <v>0</v>
      </c>
      <c r="BJ557" s="55">
        <f t="shared" si="605"/>
        <v>0</v>
      </c>
    </row>
    <row r="558" spans="1:62" ht="12.75">
      <c r="A558" s="36" t="s">
        <v>1797</v>
      </c>
      <c r="B558" s="36" t="s">
        <v>60</v>
      </c>
      <c r="C558" s="36" t="s">
        <v>1153</v>
      </c>
      <c r="D558" s="36" t="s">
        <v>1461</v>
      </c>
      <c r="E558" s="36" t="s">
        <v>609</v>
      </c>
      <c r="F558" s="55">
        <f>'Stavební rozpočet'!F572</f>
        <v>55</v>
      </c>
      <c r="G558" s="55">
        <f>'Stavební rozpočet'!G572</f>
        <v>0</v>
      </c>
      <c r="H558" s="55">
        <f t="shared" si="580"/>
        <v>0</v>
      </c>
      <c r="I558" s="55">
        <f t="shared" si="581"/>
        <v>0</v>
      </c>
      <c r="J558" s="55">
        <f t="shared" si="582"/>
        <v>0</v>
      </c>
      <c r="K558" s="55">
        <f>'Stavební rozpočet'!K572</f>
        <v>0</v>
      </c>
      <c r="L558" s="55">
        <f t="shared" si="583"/>
        <v>0</v>
      </c>
      <c r="M558" s="51" t="s">
        <v>622</v>
      </c>
      <c r="Z558" s="29">
        <f t="shared" si="584"/>
        <v>0</v>
      </c>
      <c r="AB558" s="29">
        <f t="shared" si="585"/>
        <v>0</v>
      </c>
      <c r="AC558" s="29">
        <f t="shared" si="586"/>
        <v>0</v>
      </c>
      <c r="AD558" s="29">
        <f t="shared" si="587"/>
        <v>0</v>
      </c>
      <c r="AE558" s="29">
        <f t="shared" si="588"/>
        <v>0</v>
      </c>
      <c r="AF558" s="29">
        <f t="shared" si="589"/>
        <v>0</v>
      </c>
      <c r="AG558" s="29">
        <f t="shared" si="590"/>
        <v>0</v>
      </c>
      <c r="AH558" s="29">
        <f t="shared" si="591"/>
        <v>0</v>
      </c>
      <c r="AI558" s="48" t="s">
        <v>60</v>
      </c>
      <c r="AJ558" s="55">
        <f t="shared" si="592"/>
        <v>0</v>
      </c>
      <c r="AK558" s="55">
        <f t="shared" si="593"/>
        <v>0</v>
      </c>
      <c r="AL558" s="55">
        <f t="shared" si="594"/>
        <v>0</v>
      </c>
      <c r="AN558" s="29">
        <v>15</v>
      </c>
      <c r="AO558" s="29">
        <f t="shared" si="595"/>
        <v>0</v>
      </c>
      <c r="AP558" s="29">
        <f t="shared" si="596"/>
        <v>0</v>
      </c>
      <c r="AQ558" s="51" t="s">
        <v>79</v>
      </c>
      <c r="AV558" s="29">
        <f t="shared" si="597"/>
        <v>0</v>
      </c>
      <c r="AW558" s="29">
        <f t="shared" si="598"/>
        <v>0</v>
      </c>
      <c r="AX558" s="29">
        <f t="shared" si="599"/>
        <v>0</v>
      </c>
      <c r="AY558" s="54" t="s">
        <v>649</v>
      </c>
      <c r="AZ558" s="54" t="s">
        <v>1536</v>
      </c>
      <c r="BA558" s="48" t="s">
        <v>1542</v>
      </c>
      <c r="BC558" s="29">
        <f t="shared" si="600"/>
        <v>0</v>
      </c>
      <c r="BD558" s="29">
        <f t="shared" si="601"/>
        <v>0</v>
      </c>
      <c r="BE558" s="29">
        <v>0</v>
      </c>
      <c r="BF558" s="29">
        <f t="shared" si="602"/>
        <v>0</v>
      </c>
      <c r="BH558" s="55">
        <f t="shared" si="603"/>
        <v>0</v>
      </c>
      <c r="BI558" s="55">
        <f t="shared" si="604"/>
        <v>0</v>
      </c>
      <c r="BJ558" s="55">
        <f t="shared" si="605"/>
        <v>0</v>
      </c>
    </row>
    <row r="559" spans="1:62" ht="12.75">
      <c r="A559" s="36" t="s">
        <v>1798</v>
      </c>
      <c r="B559" s="36" t="s">
        <v>60</v>
      </c>
      <c r="C559" s="36" t="s">
        <v>1154</v>
      </c>
      <c r="D559" s="36" t="s">
        <v>1462</v>
      </c>
      <c r="E559" s="36" t="s">
        <v>609</v>
      </c>
      <c r="F559" s="55">
        <f>'Stavební rozpočet'!F573</f>
        <v>40</v>
      </c>
      <c r="G559" s="55">
        <f>'Stavební rozpočet'!G573</f>
        <v>0</v>
      </c>
      <c r="H559" s="55">
        <f t="shared" si="580"/>
        <v>0</v>
      </c>
      <c r="I559" s="55">
        <f t="shared" si="581"/>
        <v>0</v>
      </c>
      <c r="J559" s="55">
        <f t="shared" si="582"/>
        <v>0</v>
      </c>
      <c r="K559" s="55">
        <f>'Stavební rozpočet'!K573</f>
        <v>0</v>
      </c>
      <c r="L559" s="55">
        <f t="shared" si="583"/>
        <v>0</v>
      </c>
      <c r="M559" s="51" t="s">
        <v>622</v>
      </c>
      <c r="Z559" s="29">
        <f t="shared" si="584"/>
        <v>0</v>
      </c>
      <c r="AB559" s="29">
        <f t="shared" si="585"/>
        <v>0</v>
      </c>
      <c r="AC559" s="29">
        <f t="shared" si="586"/>
        <v>0</v>
      </c>
      <c r="AD559" s="29">
        <f t="shared" si="587"/>
        <v>0</v>
      </c>
      <c r="AE559" s="29">
        <f t="shared" si="588"/>
        <v>0</v>
      </c>
      <c r="AF559" s="29">
        <f t="shared" si="589"/>
        <v>0</v>
      </c>
      <c r="AG559" s="29">
        <f t="shared" si="590"/>
        <v>0</v>
      </c>
      <c r="AH559" s="29">
        <f t="shared" si="591"/>
        <v>0</v>
      </c>
      <c r="AI559" s="48" t="s">
        <v>60</v>
      </c>
      <c r="AJ559" s="55">
        <f t="shared" si="592"/>
        <v>0</v>
      </c>
      <c r="AK559" s="55">
        <f t="shared" si="593"/>
        <v>0</v>
      </c>
      <c r="AL559" s="55">
        <f t="shared" si="594"/>
        <v>0</v>
      </c>
      <c r="AN559" s="29">
        <v>15</v>
      </c>
      <c r="AO559" s="29">
        <f t="shared" si="595"/>
        <v>0</v>
      </c>
      <c r="AP559" s="29">
        <f t="shared" si="596"/>
        <v>0</v>
      </c>
      <c r="AQ559" s="51" t="s">
        <v>79</v>
      </c>
      <c r="AV559" s="29">
        <f t="shared" si="597"/>
        <v>0</v>
      </c>
      <c r="AW559" s="29">
        <f t="shared" si="598"/>
        <v>0</v>
      </c>
      <c r="AX559" s="29">
        <f t="shared" si="599"/>
        <v>0</v>
      </c>
      <c r="AY559" s="54" t="s">
        <v>649</v>
      </c>
      <c r="AZ559" s="54" t="s">
        <v>1536</v>
      </c>
      <c r="BA559" s="48" t="s">
        <v>1542</v>
      </c>
      <c r="BC559" s="29">
        <f t="shared" si="600"/>
        <v>0</v>
      </c>
      <c r="BD559" s="29">
        <f t="shared" si="601"/>
        <v>0</v>
      </c>
      <c r="BE559" s="29">
        <v>0</v>
      </c>
      <c r="BF559" s="29">
        <f t="shared" si="602"/>
        <v>0</v>
      </c>
      <c r="BH559" s="55">
        <f t="shared" si="603"/>
        <v>0</v>
      </c>
      <c r="BI559" s="55">
        <f t="shared" si="604"/>
        <v>0</v>
      </c>
      <c r="BJ559" s="55">
        <f t="shared" si="605"/>
        <v>0</v>
      </c>
    </row>
    <row r="560" spans="1:62" ht="12.75">
      <c r="A560" s="36" t="s">
        <v>1799</v>
      </c>
      <c r="B560" s="36" t="s">
        <v>60</v>
      </c>
      <c r="C560" s="36" t="s">
        <v>1155</v>
      </c>
      <c r="D560" s="36" t="s">
        <v>1463</v>
      </c>
      <c r="E560" s="36" t="s">
        <v>609</v>
      </c>
      <c r="F560" s="55">
        <f>'Stavební rozpočet'!F574</f>
        <v>40</v>
      </c>
      <c r="G560" s="55">
        <f>'Stavební rozpočet'!G574</f>
        <v>0</v>
      </c>
      <c r="H560" s="55">
        <f t="shared" si="580"/>
        <v>0</v>
      </c>
      <c r="I560" s="55">
        <f t="shared" si="581"/>
        <v>0</v>
      </c>
      <c r="J560" s="55">
        <f t="shared" si="582"/>
        <v>0</v>
      </c>
      <c r="K560" s="55">
        <f>'Stavební rozpočet'!K574</f>
        <v>0</v>
      </c>
      <c r="L560" s="55">
        <f t="shared" si="583"/>
        <v>0</v>
      </c>
      <c r="M560" s="51" t="s">
        <v>622</v>
      </c>
      <c r="Z560" s="29">
        <f t="shared" si="584"/>
        <v>0</v>
      </c>
      <c r="AB560" s="29">
        <f t="shared" si="585"/>
        <v>0</v>
      </c>
      <c r="AC560" s="29">
        <f t="shared" si="586"/>
        <v>0</v>
      </c>
      <c r="AD560" s="29">
        <f t="shared" si="587"/>
        <v>0</v>
      </c>
      <c r="AE560" s="29">
        <f t="shared" si="588"/>
        <v>0</v>
      </c>
      <c r="AF560" s="29">
        <f t="shared" si="589"/>
        <v>0</v>
      </c>
      <c r="AG560" s="29">
        <f t="shared" si="590"/>
        <v>0</v>
      </c>
      <c r="AH560" s="29">
        <f t="shared" si="591"/>
        <v>0</v>
      </c>
      <c r="AI560" s="48" t="s">
        <v>60</v>
      </c>
      <c r="AJ560" s="55">
        <f t="shared" si="592"/>
        <v>0</v>
      </c>
      <c r="AK560" s="55">
        <f t="shared" si="593"/>
        <v>0</v>
      </c>
      <c r="AL560" s="55">
        <f t="shared" si="594"/>
        <v>0</v>
      </c>
      <c r="AN560" s="29">
        <v>15</v>
      </c>
      <c r="AO560" s="29">
        <f t="shared" si="595"/>
        <v>0</v>
      </c>
      <c r="AP560" s="29">
        <f t="shared" si="596"/>
        <v>0</v>
      </c>
      <c r="AQ560" s="51" t="s">
        <v>79</v>
      </c>
      <c r="AV560" s="29">
        <f t="shared" si="597"/>
        <v>0</v>
      </c>
      <c r="AW560" s="29">
        <f t="shared" si="598"/>
        <v>0</v>
      </c>
      <c r="AX560" s="29">
        <f t="shared" si="599"/>
        <v>0</v>
      </c>
      <c r="AY560" s="54" t="s">
        <v>649</v>
      </c>
      <c r="AZ560" s="54" t="s">
        <v>1536</v>
      </c>
      <c r="BA560" s="48" t="s">
        <v>1542</v>
      </c>
      <c r="BC560" s="29">
        <f t="shared" si="600"/>
        <v>0</v>
      </c>
      <c r="BD560" s="29">
        <f t="shared" si="601"/>
        <v>0</v>
      </c>
      <c r="BE560" s="29">
        <v>0</v>
      </c>
      <c r="BF560" s="29">
        <f t="shared" si="602"/>
        <v>0</v>
      </c>
      <c r="BH560" s="55">
        <f t="shared" si="603"/>
        <v>0</v>
      </c>
      <c r="BI560" s="55">
        <f t="shared" si="604"/>
        <v>0</v>
      </c>
      <c r="BJ560" s="55">
        <f t="shared" si="605"/>
        <v>0</v>
      </c>
    </row>
    <row r="561" spans="1:62" ht="12.75">
      <c r="A561" s="36" t="s">
        <v>1800</v>
      </c>
      <c r="B561" s="36" t="s">
        <v>60</v>
      </c>
      <c r="C561" s="36" t="s">
        <v>397</v>
      </c>
      <c r="D561" s="36" t="s">
        <v>583</v>
      </c>
      <c r="E561" s="36" t="s">
        <v>609</v>
      </c>
      <c r="F561" s="55">
        <f>'Stavební rozpočet'!F575</f>
        <v>2069</v>
      </c>
      <c r="G561" s="55">
        <f>'Stavební rozpočet'!G575</f>
        <v>0</v>
      </c>
      <c r="H561" s="55">
        <f t="shared" si="580"/>
        <v>0</v>
      </c>
      <c r="I561" s="55">
        <f t="shared" si="581"/>
        <v>0</v>
      </c>
      <c r="J561" s="55">
        <f t="shared" si="582"/>
        <v>0</v>
      </c>
      <c r="K561" s="55">
        <f>'Stavební rozpočet'!K575</f>
        <v>0</v>
      </c>
      <c r="L561" s="55">
        <f t="shared" si="583"/>
        <v>0</v>
      </c>
      <c r="M561" s="51" t="s">
        <v>622</v>
      </c>
      <c r="Z561" s="29">
        <f t="shared" si="584"/>
        <v>0</v>
      </c>
      <c r="AB561" s="29">
        <f t="shared" si="585"/>
        <v>0</v>
      </c>
      <c r="AC561" s="29">
        <f t="shared" si="586"/>
        <v>0</v>
      </c>
      <c r="AD561" s="29">
        <f t="shared" si="587"/>
        <v>0</v>
      </c>
      <c r="AE561" s="29">
        <f t="shared" si="588"/>
        <v>0</v>
      </c>
      <c r="AF561" s="29">
        <f t="shared" si="589"/>
        <v>0</v>
      </c>
      <c r="AG561" s="29">
        <f t="shared" si="590"/>
        <v>0</v>
      </c>
      <c r="AH561" s="29">
        <f t="shared" si="591"/>
        <v>0</v>
      </c>
      <c r="AI561" s="48" t="s">
        <v>60</v>
      </c>
      <c r="AJ561" s="55">
        <f t="shared" si="592"/>
        <v>0</v>
      </c>
      <c r="AK561" s="55">
        <f t="shared" si="593"/>
        <v>0</v>
      </c>
      <c r="AL561" s="55">
        <f t="shared" si="594"/>
        <v>0</v>
      </c>
      <c r="AN561" s="29">
        <v>15</v>
      </c>
      <c r="AO561" s="29">
        <f t="shared" si="595"/>
        <v>0</v>
      </c>
      <c r="AP561" s="29">
        <f t="shared" si="596"/>
        <v>0</v>
      </c>
      <c r="AQ561" s="51" t="s">
        <v>79</v>
      </c>
      <c r="AV561" s="29">
        <f t="shared" si="597"/>
        <v>0</v>
      </c>
      <c r="AW561" s="29">
        <f t="shared" si="598"/>
        <v>0</v>
      </c>
      <c r="AX561" s="29">
        <f t="shared" si="599"/>
        <v>0</v>
      </c>
      <c r="AY561" s="54" t="s">
        <v>649</v>
      </c>
      <c r="AZ561" s="54" t="s">
        <v>1536</v>
      </c>
      <c r="BA561" s="48" t="s">
        <v>1542</v>
      </c>
      <c r="BC561" s="29">
        <f t="shared" si="600"/>
        <v>0</v>
      </c>
      <c r="BD561" s="29">
        <f t="shared" si="601"/>
        <v>0</v>
      </c>
      <c r="BE561" s="29">
        <v>0</v>
      </c>
      <c r="BF561" s="29">
        <f t="shared" si="602"/>
        <v>0</v>
      </c>
      <c r="BH561" s="55">
        <f t="shared" si="603"/>
        <v>0</v>
      </c>
      <c r="BI561" s="55">
        <f t="shared" si="604"/>
        <v>0</v>
      </c>
      <c r="BJ561" s="55">
        <f t="shared" si="605"/>
        <v>0</v>
      </c>
    </row>
    <row r="562" spans="1:62" ht="12.75">
      <c r="A562" s="36" t="s">
        <v>1801</v>
      </c>
      <c r="B562" s="36" t="s">
        <v>60</v>
      </c>
      <c r="C562" s="36" t="s">
        <v>398</v>
      </c>
      <c r="D562" s="36" t="s">
        <v>584</v>
      </c>
      <c r="E562" s="36" t="s">
        <v>609</v>
      </c>
      <c r="F562" s="55">
        <f>'Stavební rozpočet'!F576</f>
        <v>570</v>
      </c>
      <c r="G562" s="55">
        <f>'Stavební rozpočet'!G576</f>
        <v>0</v>
      </c>
      <c r="H562" s="55">
        <f aca="true" t="shared" si="606" ref="H562:H593">F562*AO562</f>
        <v>0</v>
      </c>
      <c r="I562" s="55">
        <f aca="true" t="shared" si="607" ref="I562:I593">F562*AP562</f>
        <v>0</v>
      </c>
      <c r="J562" s="55">
        <f aca="true" t="shared" si="608" ref="J562:J593">F562*G562</f>
        <v>0</v>
      </c>
      <c r="K562" s="55">
        <f>'Stavební rozpočet'!K576</f>
        <v>0</v>
      </c>
      <c r="L562" s="55">
        <f aca="true" t="shared" si="609" ref="L562:L593">F562*K562</f>
        <v>0</v>
      </c>
      <c r="M562" s="51" t="s">
        <v>622</v>
      </c>
      <c r="Z562" s="29">
        <f aca="true" t="shared" si="610" ref="Z562:Z593">IF(AQ562="5",BJ562,0)</f>
        <v>0</v>
      </c>
      <c r="AB562" s="29">
        <f aca="true" t="shared" si="611" ref="AB562:AB593">IF(AQ562="1",BH562,0)</f>
        <v>0</v>
      </c>
      <c r="AC562" s="29">
        <f aca="true" t="shared" si="612" ref="AC562:AC593">IF(AQ562="1",BI562,0)</f>
        <v>0</v>
      </c>
      <c r="AD562" s="29">
        <f aca="true" t="shared" si="613" ref="AD562:AD593">IF(AQ562="7",BH562,0)</f>
        <v>0</v>
      </c>
      <c r="AE562" s="29">
        <f aca="true" t="shared" si="614" ref="AE562:AE593">IF(AQ562="7",BI562,0)</f>
        <v>0</v>
      </c>
      <c r="AF562" s="29">
        <f aca="true" t="shared" si="615" ref="AF562:AF593">IF(AQ562="2",BH562,0)</f>
        <v>0</v>
      </c>
      <c r="AG562" s="29">
        <f aca="true" t="shared" si="616" ref="AG562:AG593">IF(AQ562="2",BI562,0)</f>
        <v>0</v>
      </c>
      <c r="AH562" s="29">
        <f aca="true" t="shared" si="617" ref="AH562:AH593">IF(AQ562="0",BJ562,0)</f>
        <v>0</v>
      </c>
      <c r="AI562" s="48" t="s">
        <v>60</v>
      </c>
      <c r="AJ562" s="55">
        <f aca="true" t="shared" si="618" ref="AJ562:AJ593">IF(AN562=0,J562,0)</f>
        <v>0</v>
      </c>
      <c r="AK562" s="55">
        <f aca="true" t="shared" si="619" ref="AK562:AK593">IF(AN562=15,J562,0)</f>
        <v>0</v>
      </c>
      <c r="AL562" s="55">
        <f aca="true" t="shared" si="620" ref="AL562:AL593">IF(AN562=21,J562,0)</f>
        <v>0</v>
      </c>
      <c r="AN562" s="29">
        <v>15</v>
      </c>
      <c r="AO562" s="29">
        <f aca="true" t="shared" si="621" ref="AO562:AO593">G562*0</f>
        <v>0</v>
      </c>
      <c r="AP562" s="29">
        <f aca="true" t="shared" si="622" ref="AP562:AP593">G562*(1-0)</f>
        <v>0</v>
      </c>
      <c r="AQ562" s="51" t="s">
        <v>79</v>
      </c>
      <c r="AV562" s="29">
        <f aca="true" t="shared" si="623" ref="AV562:AV593">AW562+AX562</f>
        <v>0</v>
      </c>
      <c r="AW562" s="29">
        <f aca="true" t="shared" si="624" ref="AW562:AW593">F562*AO562</f>
        <v>0</v>
      </c>
      <c r="AX562" s="29">
        <f aca="true" t="shared" si="625" ref="AX562:AX593">F562*AP562</f>
        <v>0</v>
      </c>
      <c r="AY562" s="54" t="s">
        <v>649</v>
      </c>
      <c r="AZ562" s="54" t="s">
        <v>1536</v>
      </c>
      <c r="BA562" s="48" t="s">
        <v>1542</v>
      </c>
      <c r="BC562" s="29">
        <f aca="true" t="shared" si="626" ref="BC562:BC593">AW562+AX562</f>
        <v>0</v>
      </c>
      <c r="BD562" s="29">
        <f aca="true" t="shared" si="627" ref="BD562:BD593">G562/(100-BE562)*100</f>
        <v>0</v>
      </c>
      <c r="BE562" s="29">
        <v>0</v>
      </c>
      <c r="BF562" s="29">
        <f aca="true" t="shared" si="628" ref="BF562:BF593">L562</f>
        <v>0</v>
      </c>
      <c r="BH562" s="55">
        <f aca="true" t="shared" si="629" ref="BH562:BH593">F562*AO562</f>
        <v>0</v>
      </c>
      <c r="BI562" s="55">
        <f aca="true" t="shared" si="630" ref="BI562:BI593">F562*AP562</f>
        <v>0</v>
      </c>
      <c r="BJ562" s="55">
        <f aca="true" t="shared" si="631" ref="BJ562:BJ593">F562*G562</f>
        <v>0</v>
      </c>
    </row>
    <row r="563" spans="1:62" ht="12.75">
      <c r="A563" s="36" t="s">
        <v>1802</v>
      </c>
      <c r="B563" s="36" t="s">
        <v>60</v>
      </c>
      <c r="C563" s="36" t="s">
        <v>1156</v>
      </c>
      <c r="D563" s="36" t="s">
        <v>1464</v>
      </c>
      <c r="E563" s="36" t="s">
        <v>609</v>
      </c>
      <c r="F563" s="55">
        <f>'Stavební rozpočet'!F577</f>
        <v>24</v>
      </c>
      <c r="G563" s="55">
        <f>'Stavební rozpočet'!G577</f>
        <v>0</v>
      </c>
      <c r="H563" s="55">
        <f t="shared" si="606"/>
        <v>0</v>
      </c>
      <c r="I563" s="55">
        <f t="shared" si="607"/>
        <v>0</v>
      </c>
      <c r="J563" s="55">
        <f t="shared" si="608"/>
        <v>0</v>
      </c>
      <c r="K563" s="55">
        <f>'Stavební rozpočet'!K577</f>
        <v>0</v>
      </c>
      <c r="L563" s="55">
        <f t="shared" si="609"/>
        <v>0</v>
      </c>
      <c r="M563" s="51" t="s">
        <v>622</v>
      </c>
      <c r="Z563" s="29">
        <f t="shared" si="610"/>
        <v>0</v>
      </c>
      <c r="AB563" s="29">
        <f t="shared" si="611"/>
        <v>0</v>
      </c>
      <c r="AC563" s="29">
        <f t="shared" si="612"/>
        <v>0</v>
      </c>
      <c r="AD563" s="29">
        <f t="shared" si="613"/>
        <v>0</v>
      </c>
      <c r="AE563" s="29">
        <f t="shared" si="614"/>
        <v>0</v>
      </c>
      <c r="AF563" s="29">
        <f t="shared" si="615"/>
        <v>0</v>
      </c>
      <c r="AG563" s="29">
        <f t="shared" si="616"/>
        <v>0</v>
      </c>
      <c r="AH563" s="29">
        <f t="shared" si="617"/>
        <v>0</v>
      </c>
      <c r="AI563" s="48" t="s">
        <v>60</v>
      </c>
      <c r="AJ563" s="55">
        <f t="shared" si="618"/>
        <v>0</v>
      </c>
      <c r="AK563" s="55">
        <f t="shared" si="619"/>
        <v>0</v>
      </c>
      <c r="AL563" s="55">
        <f t="shared" si="620"/>
        <v>0</v>
      </c>
      <c r="AN563" s="29">
        <v>15</v>
      </c>
      <c r="AO563" s="29">
        <f t="shared" si="621"/>
        <v>0</v>
      </c>
      <c r="AP563" s="29">
        <f t="shared" si="622"/>
        <v>0</v>
      </c>
      <c r="AQ563" s="51" t="s">
        <v>79</v>
      </c>
      <c r="AV563" s="29">
        <f t="shared" si="623"/>
        <v>0</v>
      </c>
      <c r="AW563" s="29">
        <f t="shared" si="624"/>
        <v>0</v>
      </c>
      <c r="AX563" s="29">
        <f t="shared" si="625"/>
        <v>0</v>
      </c>
      <c r="AY563" s="54" t="s">
        <v>649</v>
      </c>
      <c r="AZ563" s="54" t="s">
        <v>1536</v>
      </c>
      <c r="BA563" s="48" t="s">
        <v>1542</v>
      </c>
      <c r="BC563" s="29">
        <f t="shared" si="626"/>
        <v>0</v>
      </c>
      <c r="BD563" s="29">
        <f t="shared" si="627"/>
        <v>0</v>
      </c>
      <c r="BE563" s="29">
        <v>0</v>
      </c>
      <c r="BF563" s="29">
        <f t="shared" si="628"/>
        <v>0</v>
      </c>
      <c r="BH563" s="55">
        <f t="shared" si="629"/>
        <v>0</v>
      </c>
      <c r="BI563" s="55">
        <f t="shared" si="630"/>
        <v>0</v>
      </c>
      <c r="BJ563" s="55">
        <f t="shared" si="631"/>
        <v>0</v>
      </c>
    </row>
    <row r="564" spans="1:62" ht="12.75">
      <c r="A564" s="36" t="s">
        <v>1803</v>
      </c>
      <c r="B564" s="36" t="s">
        <v>60</v>
      </c>
      <c r="C564" s="36" t="s">
        <v>1156</v>
      </c>
      <c r="D564" s="36" t="s">
        <v>1465</v>
      </c>
      <c r="E564" s="36" t="s">
        <v>609</v>
      </c>
      <c r="F564" s="55">
        <f>'Stavební rozpočet'!F578</f>
        <v>710</v>
      </c>
      <c r="G564" s="55">
        <f>'Stavební rozpočet'!G578</f>
        <v>0</v>
      </c>
      <c r="H564" s="55">
        <f t="shared" si="606"/>
        <v>0</v>
      </c>
      <c r="I564" s="55">
        <f t="shared" si="607"/>
        <v>0</v>
      </c>
      <c r="J564" s="55">
        <f t="shared" si="608"/>
        <v>0</v>
      </c>
      <c r="K564" s="55">
        <f>'Stavební rozpočet'!K578</f>
        <v>0</v>
      </c>
      <c r="L564" s="55">
        <f t="shared" si="609"/>
        <v>0</v>
      </c>
      <c r="M564" s="51" t="s">
        <v>622</v>
      </c>
      <c r="Z564" s="29">
        <f t="shared" si="610"/>
        <v>0</v>
      </c>
      <c r="AB564" s="29">
        <f t="shared" si="611"/>
        <v>0</v>
      </c>
      <c r="AC564" s="29">
        <f t="shared" si="612"/>
        <v>0</v>
      </c>
      <c r="AD564" s="29">
        <f t="shared" si="613"/>
        <v>0</v>
      </c>
      <c r="AE564" s="29">
        <f t="shared" si="614"/>
        <v>0</v>
      </c>
      <c r="AF564" s="29">
        <f t="shared" si="615"/>
        <v>0</v>
      </c>
      <c r="AG564" s="29">
        <f t="shared" si="616"/>
        <v>0</v>
      </c>
      <c r="AH564" s="29">
        <f t="shared" si="617"/>
        <v>0</v>
      </c>
      <c r="AI564" s="48" t="s">
        <v>60</v>
      </c>
      <c r="AJ564" s="55">
        <f t="shared" si="618"/>
        <v>0</v>
      </c>
      <c r="AK564" s="55">
        <f t="shared" si="619"/>
        <v>0</v>
      </c>
      <c r="AL564" s="55">
        <f t="shared" si="620"/>
        <v>0</v>
      </c>
      <c r="AN564" s="29">
        <v>15</v>
      </c>
      <c r="AO564" s="29">
        <f t="shared" si="621"/>
        <v>0</v>
      </c>
      <c r="AP564" s="29">
        <f t="shared" si="622"/>
        <v>0</v>
      </c>
      <c r="AQ564" s="51" t="s">
        <v>79</v>
      </c>
      <c r="AV564" s="29">
        <f t="shared" si="623"/>
        <v>0</v>
      </c>
      <c r="AW564" s="29">
        <f t="shared" si="624"/>
        <v>0</v>
      </c>
      <c r="AX564" s="29">
        <f t="shared" si="625"/>
        <v>0</v>
      </c>
      <c r="AY564" s="54" t="s">
        <v>649</v>
      </c>
      <c r="AZ564" s="54" t="s">
        <v>1536</v>
      </c>
      <c r="BA564" s="48" t="s">
        <v>1542</v>
      </c>
      <c r="BC564" s="29">
        <f t="shared" si="626"/>
        <v>0</v>
      </c>
      <c r="BD564" s="29">
        <f t="shared" si="627"/>
        <v>0</v>
      </c>
      <c r="BE564" s="29">
        <v>0</v>
      </c>
      <c r="BF564" s="29">
        <f t="shared" si="628"/>
        <v>0</v>
      </c>
      <c r="BH564" s="55">
        <f t="shared" si="629"/>
        <v>0</v>
      </c>
      <c r="BI564" s="55">
        <f t="shared" si="630"/>
        <v>0</v>
      </c>
      <c r="BJ564" s="55">
        <f t="shared" si="631"/>
        <v>0</v>
      </c>
    </row>
    <row r="565" spans="1:62" ht="12.75">
      <c r="A565" s="36" t="s">
        <v>1804</v>
      </c>
      <c r="B565" s="36" t="s">
        <v>60</v>
      </c>
      <c r="C565" s="36" t="s">
        <v>1157</v>
      </c>
      <c r="D565" s="36" t="s">
        <v>1466</v>
      </c>
      <c r="E565" s="36" t="s">
        <v>609</v>
      </c>
      <c r="F565" s="55">
        <f>'Stavební rozpočet'!F579</f>
        <v>35</v>
      </c>
      <c r="G565" s="55">
        <f>'Stavební rozpočet'!G579</f>
        <v>0</v>
      </c>
      <c r="H565" s="55">
        <f t="shared" si="606"/>
        <v>0</v>
      </c>
      <c r="I565" s="55">
        <f t="shared" si="607"/>
        <v>0</v>
      </c>
      <c r="J565" s="55">
        <f t="shared" si="608"/>
        <v>0</v>
      </c>
      <c r="K565" s="55">
        <f>'Stavební rozpočet'!K579</f>
        <v>0</v>
      </c>
      <c r="L565" s="55">
        <f t="shared" si="609"/>
        <v>0</v>
      </c>
      <c r="M565" s="51" t="s">
        <v>622</v>
      </c>
      <c r="Z565" s="29">
        <f t="shared" si="610"/>
        <v>0</v>
      </c>
      <c r="AB565" s="29">
        <f t="shared" si="611"/>
        <v>0</v>
      </c>
      <c r="AC565" s="29">
        <f t="shared" si="612"/>
        <v>0</v>
      </c>
      <c r="AD565" s="29">
        <f t="shared" si="613"/>
        <v>0</v>
      </c>
      <c r="AE565" s="29">
        <f t="shared" si="614"/>
        <v>0</v>
      </c>
      <c r="AF565" s="29">
        <f t="shared" si="615"/>
        <v>0</v>
      </c>
      <c r="AG565" s="29">
        <f t="shared" si="616"/>
        <v>0</v>
      </c>
      <c r="AH565" s="29">
        <f t="shared" si="617"/>
        <v>0</v>
      </c>
      <c r="AI565" s="48" t="s">
        <v>60</v>
      </c>
      <c r="AJ565" s="55">
        <f t="shared" si="618"/>
        <v>0</v>
      </c>
      <c r="AK565" s="55">
        <f t="shared" si="619"/>
        <v>0</v>
      </c>
      <c r="AL565" s="55">
        <f t="shared" si="620"/>
        <v>0</v>
      </c>
      <c r="AN565" s="29">
        <v>15</v>
      </c>
      <c r="AO565" s="29">
        <f t="shared" si="621"/>
        <v>0</v>
      </c>
      <c r="AP565" s="29">
        <f t="shared" si="622"/>
        <v>0</v>
      </c>
      <c r="AQ565" s="51" t="s">
        <v>79</v>
      </c>
      <c r="AV565" s="29">
        <f t="shared" si="623"/>
        <v>0</v>
      </c>
      <c r="AW565" s="29">
        <f t="shared" si="624"/>
        <v>0</v>
      </c>
      <c r="AX565" s="29">
        <f t="shared" si="625"/>
        <v>0</v>
      </c>
      <c r="AY565" s="54" t="s">
        <v>649</v>
      </c>
      <c r="AZ565" s="54" t="s">
        <v>1536</v>
      </c>
      <c r="BA565" s="48" t="s">
        <v>1542</v>
      </c>
      <c r="BC565" s="29">
        <f t="shared" si="626"/>
        <v>0</v>
      </c>
      <c r="BD565" s="29">
        <f t="shared" si="627"/>
        <v>0</v>
      </c>
      <c r="BE565" s="29">
        <v>0</v>
      </c>
      <c r="BF565" s="29">
        <f t="shared" si="628"/>
        <v>0</v>
      </c>
      <c r="BH565" s="55">
        <f t="shared" si="629"/>
        <v>0</v>
      </c>
      <c r="BI565" s="55">
        <f t="shared" si="630"/>
        <v>0</v>
      </c>
      <c r="BJ565" s="55">
        <f t="shared" si="631"/>
        <v>0</v>
      </c>
    </row>
    <row r="566" spans="1:62" ht="12.75">
      <c r="A566" s="36" t="s">
        <v>1805</v>
      </c>
      <c r="B566" s="36" t="s">
        <v>60</v>
      </c>
      <c r="C566" s="36" t="s">
        <v>1158</v>
      </c>
      <c r="D566" s="36" t="s">
        <v>1467</v>
      </c>
      <c r="E566" s="36" t="s">
        <v>609</v>
      </c>
      <c r="F566" s="55">
        <f>'Stavební rozpočet'!F580</f>
        <v>730</v>
      </c>
      <c r="G566" s="55">
        <f>'Stavební rozpočet'!G580</f>
        <v>0</v>
      </c>
      <c r="H566" s="55">
        <f t="shared" si="606"/>
        <v>0</v>
      </c>
      <c r="I566" s="55">
        <f t="shared" si="607"/>
        <v>0</v>
      </c>
      <c r="J566" s="55">
        <f t="shared" si="608"/>
        <v>0</v>
      </c>
      <c r="K566" s="55">
        <f>'Stavební rozpočet'!K580</f>
        <v>0</v>
      </c>
      <c r="L566" s="55">
        <f t="shared" si="609"/>
        <v>0</v>
      </c>
      <c r="M566" s="51" t="s">
        <v>622</v>
      </c>
      <c r="Z566" s="29">
        <f t="shared" si="610"/>
        <v>0</v>
      </c>
      <c r="AB566" s="29">
        <f t="shared" si="611"/>
        <v>0</v>
      </c>
      <c r="AC566" s="29">
        <f t="shared" si="612"/>
        <v>0</v>
      </c>
      <c r="AD566" s="29">
        <f t="shared" si="613"/>
        <v>0</v>
      </c>
      <c r="AE566" s="29">
        <f t="shared" si="614"/>
        <v>0</v>
      </c>
      <c r="AF566" s="29">
        <f t="shared" si="615"/>
        <v>0</v>
      </c>
      <c r="AG566" s="29">
        <f t="shared" si="616"/>
        <v>0</v>
      </c>
      <c r="AH566" s="29">
        <f t="shared" si="617"/>
        <v>0</v>
      </c>
      <c r="AI566" s="48" t="s">
        <v>60</v>
      </c>
      <c r="AJ566" s="55">
        <f t="shared" si="618"/>
        <v>0</v>
      </c>
      <c r="AK566" s="55">
        <f t="shared" si="619"/>
        <v>0</v>
      </c>
      <c r="AL566" s="55">
        <f t="shared" si="620"/>
        <v>0</v>
      </c>
      <c r="AN566" s="29">
        <v>15</v>
      </c>
      <c r="AO566" s="29">
        <f t="shared" si="621"/>
        <v>0</v>
      </c>
      <c r="AP566" s="29">
        <f t="shared" si="622"/>
        <v>0</v>
      </c>
      <c r="AQ566" s="51" t="s">
        <v>79</v>
      </c>
      <c r="AV566" s="29">
        <f t="shared" si="623"/>
        <v>0</v>
      </c>
      <c r="AW566" s="29">
        <f t="shared" si="624"/>
        <v>0</v>
      </c>
      <c r="AX566" s="29">
        <f t="shared" si="625"/>
        <v>0</v>
      </c>
      <c r="AY566" s="54" t="s">
        <v>649</v>
      </c>
      <c r="AZ566" s="54" t="s">
        <v>1536</v>
      </c>
      <c r="BA566" s="48" t="s">
        <v>1542</v>
      </c>
      <c r="BC566" s="29">
        <f t="shared" si="626"/>
        <v>0</v>
      </c>
      <c r="BD566" s="29">
        <f t="shared" si="627"/>
        <v>0</v>
      </c>
      <c r="BE566" s="29">
        <v>0</v>
      </c>
      <c r="BF566" s="29">
        <f t="shared" si="628"/>
        <v>0</v>
      </c>
      <c r="BH566" s="55">
        <f t="shared" si="629"/>
        <v>0</v>
      </c>
      <c r="BI566" s="55">
        <f t="shared" si="630"/>
        <v>0</v>
      </c>
      <c r="BJ566" s="55">
        <f t="shared" si="631"/>
        <v>0</v>
      </c>
    </row>
    <row r="567" spans="1:62" ht="12.75">
      <c r="A567" s="36" t="s">
        <v>1806</v>
      </c>
      <c r="B567" s="36" t="s">
        <v>60</v>
      </c>
      <c r="C567" s="36" t="s">
        <v>1159</v>
      </c>
      <c r="D567" s="36" t="s">
        <v>1468</v>
      </c>
      <c r="E567" s="36" t="s">
        <v>609</v>
      </c>
      <c r="F567" s="55">
        <f>'Stavební rozpočet'!F581</f>
        <v>668</v>
      </c>
      <c r="G567" s="55">
        <f>'Stavební rozpočet'!G581</f>
        <v>0</v>
      </c>
      <c r="H567" s="55">
        <f t="shared" si="606"/>
        <v>0</v>
      </c>
      <c r="I567" s="55">
        <f t="shared" si="607"/>
        <v>0</v>
      </c>
      <c r="J567" s="55">
        <f t="shared" si="608"/>
        <v>0</v>
      </c>
      <c r="K567" s="55">
        <f>'Stavební rozpočet'!K581</f>
        <v>0</v>
      </c>
      <c r="L567" s="55">
        <f t="shared" si="609"/>
        <v>0</v>
      </c>
      <c r="M567" s="51" t="s">
        <v>622</v>
      </c>
      <c r="Z567" s="29">
        <f t="shared" si="610"/>
        <v>0</v>
      </c>
      <c r="AB567" s="29">
        <f t="shared" si="611"/>
        <v>0</v>
      </c>
      <c r="AC567" s="29">
        <f t="shared" si="612"/>
        <v>0</v>
      </c>
      <c r="AD567" s="29">
        <f t="shared" si="613"/>
        <v>0</v>
      </c>
      <c r="AE567" s="29">
        <f t="shared" si="614"/>
        <v>0</v>
      </c>
      <c r="AF567" s="29">
        <f t="shared" si="615"/>
        <v>0</v>
      </c>
      <c r="AG567" s="29">
        <f t="shared" si="616"/>
        <v>0</v>
      </c>
      <c r="AH567" s="29">
        <f t="shared" si="617"/>
        <v>0</v>
      </c>
      <c r="AI567" s="48" t="s">
        <v>60</v>
      </c>
      <c r="AJ567" s="55">
        <f t="shared" si="618"/>
        <v>0</v>
      </c>
      <c r="AK567" s="55">
        <f t="shared" si="619"/>
        <v>0</v>
      </c>
      <c r="AL567" s="55">
        <f t="shared" si="620"/>
        <v>0</v>
      </c>
      <c r="AN567" s="29">
        <v>15</v>
      </c>
      <c r="AO567" s="29">
        <f t="shared" si="621"/>
        <v>0</v>
      </c>
      <c r="AP567" s="29">
        <f t="shared" si="622"/>
        <v>0</v>
      </c>
      <c r="AQ567" s="51" t="s">
        <v>79</v>
      </c>
      <c r="AV567" s="29">
        <f t="shared" si="623"/>
        <v>0</v>
      </c>
      <c r="AW567" s="29">
        <f t="shared" si="624"/>
        <v>0</v>
      </c>
      <c r="AX567" s="29">
        <f t="shared" si="625"/>
        <v>0</v>
      </c>
      <c r="AY567" s="54" t="s">
        <v>649</v>
      </c>
      <c r="AZ567" s="54" t="s">
        <v>1536</v>
      </c>
      <c r="BA567" s="48" t="s">
        <v>1542</v>
      </c>
      <c r="BC567" s="29">
        <f t="shared" si="626"/>
        <v>0</v>
      </c>
      <c r="BD567" s="29">
        <f t="shared" si="627"/>
        <v>0</v>
      </c>
      <c r="BE567" s="29">
        <v>0</v>
      </c>
      <c r="BF567" s="29">
        <f t="shared" si="628"/>
        <v>0</v>
      </c>
      <c r="BH567" s="55">
        <f t="shared" si="629"/>
        <v>0</v>
      </c>
      <c r="BI567" s="55">
        <f t="shared" si="630"/>
        <v>0</v>
      </c>
      <c r="BJ567" s="55">
        <f t="shared" si="631"/>
        <v>0</v>
      </c>
    </row>
    <row r="568" spans="1:62" ht="12.75">
      <c r="A568" s="36" t="s">
        <v>1807</v>
      </c>
      <c r="B568" s="36" t="s">
        <v>60</v>
      </c>
      <c r="C568" s="36" t="s">
        <v>1160</v>
      </c>
      <c r="D568" s="36" t="s">
        <v>1469</v>
      </c>
      <c r="E568" s="36" t="s">
        <v>609</v>
      </c>
      <c r="F568" s="55">
        <f>'Stavební rozpočet'!F582</f>
        <v>40</v>
      </c>
      <c r="G568" s="55">
        <f>'Stavební rozpočet'!G582</f>
        <v>0</v>
      </c>
      <c r="H568" s="55">
        <f t="shared" si="606"/>
        <v>0</v>
      </c>
      <c r="I568" s="55">
        <f t="shared" si="607"/>
        <v>0</v>
      </c>
      <c r="J568" s="55">
        <f t="shared" si="608"/>
        <v>0</v>
      </c>
      <c r="K568" s="55">
        <f>'Stavební rozpočet'!K582</f>
        <v>0</v>
      </c>
      <c r="L568" s="55">
        <f t="shared" si="609"/>
        <v>0</v>
      </c>
      <c r="M568" s="51" t="s">
        <v>622</v>
      </c>
      <c r="Z568" s="29">
        <f t="shared" si="610"/>
        <v>0</v>
      </c>
      <c r="AB568" s="29">
        <f t="shared" si="611"/>
        <v>0</v>
      </c>
      <c r="AC568" s="29">
        <f t="shared" si="612"/>
        <v>0</v>
      </c>
      <c r="AD568" s="29">
        <f t="shared" si="613"/>
        <v>0</v>
      </c>
      <c r="AE568" s="29">
        <f t="shared" si="614"/>
        <v>0</v>
      </c>
      <c r="AF568" s="29">
        <f t="shared" si="615"/>
        <v>0</v>
      </c>
      <c r="AG568" s="29">
        <f t="shared" si="616"/>
        <v>0</v>
      </c>
      <c r="AH568" s="29">
        <f t="shared" si="617"/>
        <v>0</v>
      </c>
      <c r="AI568" s="48" t="s">
        <v>60</v>
      </c>
      <c r="AJ568" s="55">
        <f t="shared" si="618"/>
        <v>0</v>
      </c>
      <c r="AK568" s="55">
        <f t="shared" si="619"/>
        <v>0</v>
      </c>
      <c r="AL568" s="55">
        <f t="shared" si="620"/>
        <v>0</v>
      </c>
      <c r="AN568" s="29">
        <v>15</v>
      </c>
      <c r="AO568" s="29">
        <f t="shared" si="621"/>
        <v>0</v>
      </c>
      <c r="AP568" s="29">
        <f t="shared" si="622"/>
        <v>0</v>
      </c>
      <c r="AQ568" s="51" t="s">
        <v>79</v>
      </c>
      <c r="AV568" s="29">
        <f t="shared" si="623"/>
        <v>0</v>
      </c>
      <c r="AW568" s="29">
        <f t="shared" si="624"/>
        <v>0</v>
      </c>
      <c r="AX568" s="29">
        <f t="shared" si="625"/>
        <v>0</v>
      </c>
      <c r="AY568" s="54" t="s">
        <v>649</v>
      </c>
      <c r="AZ568" s="54" t="s">
        <v>1536</v>
      </c>
      <c r="BA568" s="48" t="s">
        <v>1542</v>
      </c>
      <c r="BC568" s="29">
        <f t="shared" si="626"/>
        <v>0</v>
      </c>
      <c r="BD568" s="29">
        <f t="shared" si="627"/>
        <v>0</v>
      </c>
      <c r="BE568" s="29">
        <v>0</v>
      </c>
      <c r="BF568" s="29">
        <f t="shared" si="628"/>
        <v>0</v>
      </c>
      <c r="BH568" s="55">
        <f t="shared" si="629"/>
        <v>0</v>
      </c>
      <c r="BI568" s="55">
        <f t="shared" si="630"/>
        <v>0</v>
      </c>
      <c r="BJ568" s="55">
        <f t="shared" si="631"/>
        <v>0</v>
      </c>
    </row>
    <row r="569" spans="1:62" ht="12.75">
      <c r="A569" s="36" t="s">
        <v>1808</v>
      </c>
      <c r="B569" s="36" t="s">
        <v>60</v>
      </c>
      <c r="C569" s="36" t="s">
        <v>1161</v>
      </c>
      <c r="D569" s="36" t="s">
        <v>1470</v>
      </c>
      <c r="E569" s="36" t="s">
        <v>609</v>
      </c>
      <c r="F569" s="55">
        <f>'Stavební rozpočet'!F583</f>
        <v>628</v>
      </c>
      <c r="G569" s="55">
        <f>'Stavební rozpočet'!G583</f>
        <v>0</v>
      </c>
      <c r="H569" s="55">
        <f t="shared" si="606"/>
        <v>0</v>
      </c>
      <c r="I569" s="55">
        <f t="shared" si="607"/>
        <v>0</v>
      </c>
      <c r="J569" s="55">
        <f t="shared" si="608"/>
        <v>0</v>
      </c>
      <c r="K569" s="55">
        <f>'Stavební rozpočet'!K583</f>
        <v>0</v>
      </c>
      <c r="L569" s="55">
        <f t="shared" si="609"/>
        <v>0</v>
      </c>
      <c r="M569" s="51" t="s">
        <v>622</v>
      </c>
      <c r="Z569" s="29">
        <f t="shared" si="610"/>
        <v>0</v>
      </c>
      <c r="AB569" s="29">
        <f t="shared" si="611"/>
        <v>0</v>
      </c>
      <c r="AC569" s="29">
        <f t="shared" si="612"/>
        <v>0</v>
      </c>
      <c r="AD569" s="29">
        <f t="shared" si="613"/>
        <v>0</v>
      </c>
      <c r="AE569" s="29">
        <f t="shared" si="614"/>
        <v>0</v>
      </c>
      <c r="AF569" s="29">
        <f t="shared" si="615"/>
        <v>0</v>
      </c>
      <c r="AG569" s="29">
        <f t="shared" si="616"/>
        <v>0</v>
      </c>
      <c r="AH569" s="29">
        <f t="shared" si="617"/>
        <v>0</v>
      </c>
      <c r="AI569" s="48" t="s">
        <v>60</v>
      </c>
      <c r="AJ569" s="55">
        <f t="shared" si="618"/>
        <v>0</v>
      </c>
      <c r="AK569" s="55">
        <f t="shared" si="619"/>
        <v>0</v>
      </c>
      <c r="AL569" s="55">
        <f t="shared" si="620"/>
        <v>0</v>
      </c>
      <c r="AN569" s="29">
        <v>15</v>
      </c>
      <c r="AO569" s="29">
        <f t="shared" si="621"/>
        <v>0</v>
      </c>
      <c r="AP569" s="29">
        <f t="shared" si="622"/>
        <v>0</v>
      </c>
      <c r="AQ569" s="51" t="s">
        <v>79</v>
      </c>
      <c r="AV569" s="29">
        <f t="shared" si="623"/>
        <v>0</v>
      </c>
      <c r="AW569" s="29">
        <f t="shared" si="624"/>
        <v>0</v>
      </c>
      <c r="AX569" s="29">
        <f t="shared" si="625"/>
        <v>0</v>
      </c>
      <c r="AY569" s="54" t="s">
        <v>649</v>
      </c>
      <c r="AZ569" s="54" t="s">
        <v>1536</v>
      </c>
      <c r="BA569" s="48" t="s">
        <v>1542</v>
      </c>
      <c r="BC569" s="29">
        <f t="shared" si="626"/>
        <v>0</v>
      </c>
      <c r="BD569" s="29">
        <f t="shared" si="627"/>
        <v>0</v>
      </c>
      <c r="BE569" s="29">
        <v>0</v>
      </c>
      <c r="BF569" s="29">
        <f t="shared" si="628"/>
        <v>0</v>
      </c>
      <c r="BH569" s="55">
        <f t="shared" si="629"/>
        <v>0</v>
      </c>
      <c r="BI569" s="55">
        <f t="shared" si="630"/>
        <v>0</v>
      </c>
      <c r="BJ569" s="55">
        <f t="shared" si="631"/>
        <v>0</v>
      </c>
    </row>
    <row r="570" spans="1:62" ht="12.75">
      <c r="A570" s="36" t="s">
        <v>1809</v>
      </c>
      <c r="B570" s="36" t="s">
        <v>60</v>
      </c>
      <c r="C570" s="36" t="s">
        <v>1162</v>
      </c>
      <c r="D570" s="36" t="s">
        <v>1471</v>
      </c>
      <c r="E570" s="36" t="s">
        <v>609</v>
      </c>
      <c r="F570" s="55">
        <f>'Stavební rozpočet'!F584</f>
        <v>35</v>
      </c>
      <c r="G570" s="55">
        <f>'Stavební rozpočet'!G584</f>
        <v>0</v>
      </c>
      <c r="H570" s="55">
        <f t="shared" si="606"/>
        <v>0</v>
      </c>
      <c r="I570" s="55">
        <f t="shared" si="607"/>
        <v>0</v>
      </c>
      <c r="J570" s="55">
        <f t="shared" si="608"/>
        <v>0</v>
      </c>
      <c r="K570" s="55">
        <f>'Stavební rozpočet'!K584</f>
        <v>0</v>
      </c>
      <c r="L570" s="55">
        <f t="shared" si="609"/>
        <v>0</v>
      </c>
      <c r="M570" s="51" t="s">
        <v>622</v>
      </c>
      <c r="Z570" s="29">
        <f t="shared" si="610"/>
        <v>0</v>
      </c>
      <c r="AB570" s="29">
        <f t="shared" si="611"/>
        <v>0</v>
      </c>
      <c r="AC570" s="29">
        <f t="shared" si="612"/>
        <v>0</v>
      </c>
      <c r="AD570" s="29">
        <f t="shared" si="613"/>
        <v>0</v>
      </c>
      <c r="AE570" s="29">
        <f t="shared" si="614"/>
        <v>0</v>
      </c>
      <c r="AF570" s="29">
        <f t="shared" si="615"/>
        <v>0</v>
      </c>
      <c r="AG570" s="29">
        <f t="shared" si="616"/>
        <v>0</v>
      </c>
      <c r="AH570" s="29">
        <f t="shared" si="617"/>
        <v>0</v>
      </c>
      <c r="AI570" s="48" t="s">
        <v>60</v>
      </c>
      <c r="AJ570" s="55">
        <f t="shared" si="618"/>
        <v>0</v>
      </c>
      <c r="AK570" s="55">
        <f t="shared" si="619"/>
        <v>0</v>
      </c>
      <c r="AL570" s="55">
        <f t="shared" si="620"/>
        <v>0</v>
      </c>
      <c r="AN570" s="29">
        <v>15</v>
      </c>
      <c r="AO570" s="29">
        <f t="shared" si="621"/>
        <v>0</v>
      </c>
      <c r="AP570" s="29">
        <f t="shared" si="622"/>
        <v>0</v>
      </c>
      <c r="AQ570" s="51" t="s">
        <v>79</v>
      </c>
      <c r="AV570" s="29">
        <f t="shared" si="623"/>
        <v>0</v>
      </c>
      <c r="AW570" s="29">
        <f t="shared" si="624"/>
        <v>0</v>
      </c>
      <c r="AX570" s="29">
        <f t="shared" si="625"/>
        <v>0</v>
      </c>
      <c r="AY570" s="54" t="s">
        <v>649</v>
      </c>
      <c r="AZ570" s="54" t="s">
        <v>1536</v>
      </c>
      <c r="BA570" s="48" t="s">
        <v>1542</v>
      </c>
      <c r="BC570" s="29">
        <f t="shared" si="626"/>
        <v>0</v>
      </c>
      <c r="BD570" s="29">
        <f t="shared" si="627"/>
        <v>0</v>
      </c>
      <c r="BE570" s="29">
        <v>0</v>
      </c>
      <c r="BF570" s="29">
        <f t="shared" si="628"/>
        <v>0</v>
      </c>
      <c r="BH570" s="55">
        <f t="shared" si="629"/>
        <v>0</v>
      </c>
      <c r="BI570" s="55">
        <f t="shared" si="630"/>
        <v>0</v>
      </c>
      <c r="BJ570" s="55">
        <f t="shared" si="631"/>
        <v>0</v>
      </c>
    </row>
    <row r="571" spans="1:62" ht="12.75">
      <c r="A571" s="36" t="s">
        <v>1810</v>
      </c>
      <c r="B571" s="36" t="s">
        <v>60</v>
      </c>
      <c r="C571" s="36" t="s">
        <v>1163</v>
      </c>
      <c r="D571" s="36" t="s">
        <v>1472</v>
      </c>
      <c r="E571" s="36" t="s">
        <v>609</v>
      </c>
      <c r="F571" s="55">
        <f>'Stavební rozpočet'!F585</f>
        <v>35</v>
      </c>
      <c r="G571" s="55">
        <f>'Stavební rozpočet'!G585</f>
        <v>0</v>
      </c>
      <c r="H571" s="55">
        <f t="shared" si="606"/>
        <v>0</v>
      </c>
      <c r="I571" s="55">
        <f t="shared" si="607"/>
        <v>0</v>
      </c>
      <c r="J571" s="55">
        <f t="shared" si="608"/>
        <v>0</v>
      </c>
      <c r="K571" s="55">
        <f>'Stavební rozpočet'!K585</f>
        <v>0</v>
      </c>
      <c r="L571" s="55">
        <f t="shared" si="609"/>
        <v>0</v>
      </c>
      <c r="M571" s="51" t="s">
        <v>622</v>
      </c>
      <c r="Z571" s="29">
        <f t="shared" si="610"/>
        <v>0</v>
      </c>
      <c r="AB571" s="29">
        <f t="shared" si="611"/>
        <v>0</v>
      </c>
      <c r="AC571" s="29">
        <f t="shared" si="612"/>
        <v>0</v>
      </c>
      <c r="AD571" s="29">
        <f t="shared" si="613"/>
        <v>0</v>
      </c>
      <c r="AE571" s="29">
        <f t="shared" si="614"/>
        <v>0</v>
      </c>
      <c r="AF571" s="29">
        <f t="shared" si="615"/>
        <v>0</v>
      </c>
      <c r="AG571" s="29">
        <f t="shared" si="616"/>
        <v>0</v>
      </c>
      <c r="AH571" s="29">
        <f t="shared" si="617"/>
        <v>0</v>
      </c>
      <c r="AI571" s="48" t="s">
        <v>60</v>
      </c>
      <c r="AJ571" s="55">
        <f t="shared" si="618"/>
        <v>0</v>
      </c>
      <c r="AK571" s="55">
        <f t="shared" si="619"/>
        <v>0</v>
      </c>
      <c r="AL571" s="55">
        <f t="shared" si="620"/>
        <v>0</v>
      </c>
      <c r="AN571" s="29">
        <v>15</v>
      </c>
      <c r="AO571" s="29">
        <f t="shared" si="621"/>
        <v>0</v>
      </c>
      <c r="AP571" s="29">
        <f t="shared" si="622"/>
        <v>0</v>
      </c>
      <c r="AQ571" s="51" t="s">
        <v>79</v>
      </c>
      <c r="AV571" s="29">
        <f t="shared" si="623"/>
        <v>0</v>
      </c>
      <c r="AW571" s="29">
        <f t="shared" si="624"/>
        <v>0</v>
      </c>
      <c r="AX571" s="29">
        <f t="shared" si="625"/>
        <v>0</v>
      </c>
      <c r="AY571" s="54" t="s">
        <v>649</v>
      </c>
      <c r="AZ571" s="54" t="s">
        <v>1536</v>
      </c>
      <c r="BA571" s="48" t="s">
        <v>1542</v>
      </c>
      <c r="BC571" s="29">
        <f t="shared" si="626"/>
        <v>0</v>
      </c>
      <c r="BD571" s="29">
        <f t="shared" si="627"/>
        <v>0</v>
      </c>
      <c r="BE571" s="29">
        <v>0</v>
      </c>
      <c r="BF571" s="29">
        <f t="shared" si="628"/>
        <v>0</v>
      </c>
      <c r="BH571" s="55">
        <f t="shared" si="629"/>
        <v>0</v>
      </c>
      <c r="BI571" s="55">
        <f t="shared" si="630"/>
        <v>0</v>
      </c>
      <c r="BJ571" s="55">
        <f t="shared" si="631"/>
        <v>0</v>
      </c>
    </row>
    <row r="572" spans="1:62" ht="12.75">
      <c r="A572" s="36" t="s">
        <v>1811</v>
      </c>
      <c r="B572" s="36" t="s">
        <v>60</v>
      </c>
      <c r="C572" s="36" t="s">
        <v>399</v>
      </c>
      <c r="D572" s="36" t="s">
        <v>585</v>
      </c>
      <c r="E572" s="36" t="s">
        <v>606</v>
      </c>
      <c r="F572" s="55">
        <f>'Stavební rozpočet'!F586</f>
        <v>243</v>
      </c>
      <c r="G572" s="55">
        <f>'Stavební rozpočet'!G586</f>
        <v>0</v>
      </c>
      <c r="H572" s="55">
        <f t="shared" si="606"/>
        <v>0</v>
      </c>
      <c r="I572" s="55">
        <f t="shared" si="607"/>
        <v>0</v>
      </c>
      <c r="J572" s="55">
        <f t="shared" si="608"/>
        <v>0</v>
      </c>
      <c r="K572" s="55">
        <f>'Stavební rozpočet'!K586</f>
        <v>0</v>
      </c>
      <c r="L572" s="55">
        <f t="shared" si="609"/>
        <v>0</v>
      </c>
      <c r="M572" s="51" t="s">
        <v>622</v>
      </c>
      <c r="Z572" s="29">
        <f t="shared" si="610"/>
        <v>0</v>
      </c>
      <c r="AB572" s="29">
        <f t="shared" si="611"/>
        <v>0</v>
      </c>
      <c r="AC572" s="29">
        <f t="shared" si="612"/>
        <v>0</v>
      </c>
      <c r="AD572" s="29">
        <f t="shared" si="613"/>
        <v>0</v>
      </c>
      <c r="AE572" s="29">
        <f t="shared" si="614"/>
        <v>0</v>
      </c>
      <c r="AF572" s="29">
        <f t="shared" si="615"/>
        <v>0</v>
      </c>
      <c r="AG572" s="29">
        <f t="shared" si="616"/>
        <v>0</v>
      </c>
      <c r="AH572" s="29">
        <f t="shared" si="617"/>
        <v>0</v>
      </c>
      <c r="AI572" s="48" t="s">
        <v>60</v>
      </c>
      <c r="AJ572" s="55">
        <f t="shared" si="618"/>
        <v>0</v>
      </c>
      <c r="AK572" s="55">
        <f t="shared" si="619"/>
        <v>0</v>
      </c>
      <c r="AL572" s="55">
        <f t="shared" si="620"/>
        <v>0</v>
      </c>
      <c r="AN572" s="29">
        <v>15</v>
      </c>
      <c r="AO572" s="29">
        <f t="shared" si="621"/>
        <v>0</v>
      </c>
      <c r="AP572" s="29">
        <f t="shared" si="622"/>
        <v>0</v>
      </c>
      <c r="AQ572" s="51" t="s">
        <v>79</v>
      </c>
      <c r="AV572" s="29">
        <f t="shared" si="623"/>
        <v>0</v>
      </c>
      <c r="AW572" s="29">
        <f t="shared" si="624"/>
        <v>0</v>
      </c>
      <c r="AX572" s="29">
        <f t="shared" si="625"/>
        <v>0</v>
      </c>
      <c r="AY572" s="54" t="s">
        <v>649</v>
      </c>
      <c r="AZ572" s="54" t="s">
        <v>1536</v>
      </c>
      <c r="BA572" s="48" t="s">
        <v>1542</v>
      </c>
      <c r="BC572" s="29">
        <f t="shared" si="626"/>
        <v>0</v>
      </c>
      <c r="BD572" s="29">
        <f t="shared" si="627"/>
        <v>0</v>
      </c>
      <c r="BE572" s="29">
        <v>0</v>
      </c>
      <c r="BF572" s="29">
        <f t="shared" si="628"/>
        <v>0</v>
      </c>
      <c r="BH572" s="55">
        <f t="shared" si="629"/>
        <v>0</v>
      </c>
      <c r="BI572" s="55">
        <f t="shared" si="630"/>
        <v>0</v>
      </c>
      <c r="BJ572" s="55">
        <f t="shared" si="631"/>
        <v>0</v>
      </c>
    </row>
    <row r="573" spans="1:62" ht="12.75">
      <c r="A573" s="36" t="s">
        <v>1812</v>
      </c>
      <c r="B573" s="36" t="s">
        <v>60</v>
      </c>
      <c r="C573" s="36" t="s">
        <v>400</v>
      </c>
      <c r="D573" s="36" t="s">
        <v>586</v>
      </c>
      <c r="E573" s="36" t="s">
        <v>613</v>
      </c>
      <c r="F573" s="55">
        <f>'Stavební rozpočet'!F587</f>
        <v>45</v>
      </c>
      <c r="G573" s="55">
        <f>'Stavební rozpočet'!G587</f>
        <v>0</v>
      </c>
      <c r="H573" s="55">
        <f t="shared" si="606"/>
        <v>0</v>
      </c>
      <c r="I573" s="55">
        <f t="shared" si="607"/>
        <v>0</v>
      </c>
      <c r="J573" s="55">
        <f t="shared" si="608"/>
        <v>0</v>
      </c>
      <c r="K573" s="55">
        <f>'Stavební rozpočet'!K587</f>
        <v>0</v>
      </c>
      <c r="L573" s="55">
        <f t="shared" si="609"/>
        <v>0</v>
      </c>
      <c r="M573" s="51" t="s">
        <v>622</v>
      </c>
      <c r="Z573" s="29">
        <f t="shared" si="610"/>
        <v>0</v>
      </c>
      <c r="AB573" s="29">
        <f t="shared" si="611"/>
        <v>0</v>
      </c>
      <c r="AC573" s="29">
        <f t="shared" si="612"/>
        <v>0</v>
      </c>
      <c r="AD573" s="29">
        <f t="shared" si="613"/>
        <v>0</v>
      </c>
      <c r="AE573" s="29">
        <f t="shared" si="614"/>
        <v>0</v>
      </c>
      <c r="AF573" s="29">
        <f t="shared" si="615"/>
        <v>0</v>
      </c>
      <c r="AG573" s="29">
        <f t="shared" si="616"/>
        <v>0</v>
      </c>
      <c r="AH573" s="29">
        <f t="shared" si="617"/>
        <v>0</v>
      </c>
      <c r="AI573" s="48" t="s">
        <v>60</v>
      </c>
      <c r="AJ573" s="55">
        <f t="shared" si="618"/>
        <v>0</v>
      </c>
      <c r="AK573" s="55">
        <f t="shared" si="619"/>
        <v>0</v>
      </c>
      <c r="AL573" s="55">
        <f t="shared" si="620"/>
        <v>0</v>
      </c>
      <c r="AN573" s="29">
        <v>15</v>
      </c>
      <c r="AO573" s="29">
        <f t="shared" si="621"/>
        <v>0</v>
      </c>
      <c r="AP573" s="29">
        <f t="shared" si="622"/>
        <v>0</v>
      </c>
      <c r="AQ573" s="51" t="s">
        <v>79</v>
      </c>
      <c r="AV573" s="29">
        <f t="shared" si="623"/>
        <v>0</v>
      </c>
      <c r="AW573" s="29">
        <f t="shared" si="624"/>
        <v>0</v>
      </c>
      <c r="AX573" s="29">
        <f t="shared" si="625"/>
        <v>0</v>
      </c>
      <c r="AY573" s="54" t="s">
        <v>649</v>
      </c>
      <c r="AZ573" s="54" t="s">
        <v>1536</v>
      </c>
      <c r="BA573" s="48" t="s">
        <v>1542</v>
      </c>
      <c r="BC573" s="29">
        <f t="shared" si="626"/>
        <v>0</v>
      </c>
      <c r="BD573" s="29">
        <f t="shared" si="627"/>
        <v>0</v>
      </c>
      <c r="BE573" s="29">
        <v>0</v>
      </c>
      <c r="BF573" s="29">
        <f t="shared" si="628"/>
        <v>0</v>
      </c>
      <c r="BH573" s="55">
        <f t="shared" si="629"/>
        <v>0</v>
      </c>
      <c r="BI573" s="55">
        <f t="shared" si="630"/>
        <v>0</v>
      </c>
      <c r="BJ573" s="55">
        <f t="shared" si="631"/>
        <v>0</v>
      </c>
    </row>
    <row r="574" spans="1:62" ht="12.75">
      <c r="A574" s="36" t="s">
        <v>1813</v>
      </c>
      <c r="B574" s="36" t="s">
        <v>60</v>
      </c>
      <c r="C574" s="36" t="s">
        <v>1164</v>
      </c>
      <c r="D574" s="36" t="s">
        <v>1473</v>
      </c>
      <c r="E574" s="36" t="s">
        <v>613</v>
      </c>
      <c r="F574" s="55">
        <f>'Stavební rozpočet'!F588</f>
        <v>6</v>
      </c>
      <c r="G574" s="55">
        <f>'Stavební rozpočet'!G588</f>
        <v>0</v>
      </c>
      <c r="H574" s="55">
        <f t="shared" si="606"/>
        <v>0</v>
      </c>
      <c r="I574" s="55">
        <f t="shared" si="607"/>
        <v>0</v>
      </c>
      <c r="J574" s="55">
        <f t="shared" si="608"/>
        <v>0</v>
      </c>
      <c r="K574" s="55">
        <f>'Stavební rozpočet'!K588</f>
        <v>0</v>
      </c>
      <c r="L574" s="55">
        <f t="shared" si="609"/>
        <v>0</v>
      </c>
      <c r="M574" s="51" t="s">
        <v>622</v>
      </c>
      <c r="Z574" s="29">
        <f t="shared" si="610"/>
        <v>0</v>
      </c>
      <c r="AB574" s="29">
        <f t="shared" si="611"/>
        <v>0</v>
      </c>
      <c r="AC574" s="29">
        <f t="shared" si="612"/>
        <v>0</v>
      </c>
      <c r="AD574" s="29">
        <f t="shared" si="613"/>
        <v>0</v>
      </c>
      <c r="AE574" s="29">
        <f t="shared" si="614"/>
        <v>0</v>
      </c>
      <c r="AF574" s="29">
        <f t="shared" si="615"/>
        <v>0</v>
      </c>
      <c r="AG574" s="29">
        <f t="shared" si="616"/>
        <v>0</v>
      </c>
      <c r="AH574" s="29">
        <f t="shared" si="617"/>
        <v>0</v>
      </c>
      <c r="AI574" s="48" t="s">
        <v>60</v>
      </c>
      <c r="AJ574" s="55">
        <f t="shared" si="618"/>
        <v>0</v>
      </c>
      <c r="AK574" s="55">
        <f t="shared" si="619"/>
        <v>0</v>
      </c>
      <c r="AL574" s="55">
        <f t="shared" si="620"/>
        <v>0</v>
      </c>
      <c r="AN574" s="29">
        <v>15</v>
      </c>
      <c r="AO574" s="29">
        <f t="shared" si="621"/>
        <v>0</v>
      </c>
      <c r="AP574" s="29">
        <f t="shared" si="622"/>
        <v>0</v>
      </c>
      <c r="AQ574" s="51" t="s">
        <v>79</v>
      </c>
      <c r="AV574" s="29">
        <f t="shared" si="623"/>
        <v>0</v>
      </c>
      <c r="AW574" s="29">
        <f t="shared" si="624"/>
        <v>0</v>
      </c>
      <c r="AX574" s="29">
        <f t="shared" si="625"/>
        <v>0</v>
      </c>
      <c r="AY574" s="54" t="s">
        <v>649</v>
      </c>
      <c r="AZ574" s="54" t="s">
        <v>1536</v>
      </c>
      <c r="BA574" s="48" t="s">
        <v>1542</v>
      </c>
      <c r="BC574" s="29">
        <f t="shared" si="626"/>
        <v>0</v>
      </c>
      <c r="BD574" s="29">
        <f t="shared" si="627"/>
        <v>0</v>
      </c>
      <c r="BE574" s="29">
        <v>0</v>
      </c>
      <c r="BF574" s="29">
        <f t="shared" si="628"/>
        <v>0</v>
      </c>
      <c r="BH574" s="55">
        <f t="shared" si="629"/>
        <v>0</v>
      </c>
      <c r="BI574" s="55">
        <f t="shared" si="630"/>
        <v>0</v>
      </c>
      <c r="BJ574" s="55">
        <f t="shared" si="631"/>
        <v>0</v>
      </c>
    </row>
    <row r="575" spans="1:62" ht="12.75">
      <c r="A575" s="36" t="s">
        <v>1814</v>
      </c>
      <c r="B575" s="36" t="s">
        <v>60</v>
      </c>
      <c r="C575" s="36" t="s">
        <v>401</v>
      </c>
      <c r="D575" s="36" t="s">
        <v>587</v>
      </c>
      <c r="E575" s="36" t="s">
        <v>613</v>
      </c>
      <c r="F575" s="55">
        <f>'Stavební rozpočet'!F589</f>
        <v>60</v>
      </c>
      <c r="G575" s="55">
        <f>'Stavební rozpočet'!G589</f>
        <v>0</v>
      </c>
      <c r="H575" s="55">
        <f t="shared" si="606"/>
        <v>0</v>
      </c>
      <c r="I575" s="55">
        <f t="shared" si="607"/>
        <v>0</v>
      </c>
      <c r="J575" s="55">
        <f t="shared" si="608"/>
        <v>0</v>
      </c>
      <c r="K575" s="55">
        <f>'Stavební rozpočet'!K589</f>
        <v>0</v>
      </c>
      <c r="L575" s="55">
        <f t="shared" si="609"/>
        <v>0</v>
      </c>
      <c r="M575" s="51" t="s">
        <v>622</v>
      </c>
      <c r="Z575" s="29">
        <f t="shared" si="610"/>
        <v>0</v>
      </c>
      <c r="AB575" s="29">
        <f t="shared" si="611"/>
        <v>0</v>
      </c>
      <c r="AC575" s="29">
        <f t="shared" si="612"/>
        <v>0</v>
      </c>
      <c r="AD575" s="29">
        <f t="shared" si="613"/>
        <v>0</v>
      </c>
      <c r="AE575" s="29">
        <f t="shared" si="614"/>
        <v>0</v>
      </c>
      <c r="AF575" s="29">
        <f t="shared" si="615"/>
        <v>0</v>
      </c>
      <c r="AG575" s="29">
        <f t="shared" si="616"/>
        <v>0</v>
      </c>
      <c r="AH575" s="29">
        <f t="shared" si="617"/>
        <v>0</v>
      </c>
      <c r="AI575" s="48" t="s">
        <v>60</v>
      </c>
      <c r="AJ575" s="55">
        <f t="shared" si="618"/>
        <v>0</v>
      </c>
      <c r="AK575" s="55">
        <f t="shared" si="619"/>
        <v>0</v>
      </c>
      <c r="AL575" s="55">
        <f t="shared" si="620"/>
        <v>0</v>
      </c>
      <c r="AN575" s="29">
        <v>15</v>
      </c>
      <c r="AO575" s="29">
        <f t="shared" si="621"/>
        <v>0</v>
      </c>
      <c r="AP575" s="29">
        <f t="shared" si="622"/>
        <v>0</v>
      </c>
      <c r="AQ575" s="51" t="s">
        <v>79</v>
      </c>
      <c r="AV575" s="29">
        <f t="shared" si="623"/>
        <v>0</v>
      </c>
      <c r="AW575" s="29">
        <f t="shared" si="624"/>
        <v>0</v>
      </c>
      <c r="AX575" s="29">
        <f t="shared" si="625"/>
        <v>0</v>
      </c>
      <c r="AY575" s="54" t="s">
        <v>649</v>
      </c>
      <c r="AZ575" s="54" t="s">
        <v>1536</v>
      </c>
      <c r="BA575" s="48" t="s">
        <v>1542</v>
      </c>
      <c r="BC575" s="29">
        <f t="shared" si="626"/>
        <v>0</v>
      </c>
      <c r="BD575" s="29">
        <f t="shared" si="627"/>
        <v>0</v>
      </c>
      <c r="BE575" s="29">
        <v>0</v>
      </c>
      <c r="BF575" s="29">
        <f t="shared" si="628"/>
        <v>0</v>
      </c>
      <c r="BH575" s="55">
        <f t="shared" si="629"/>
        <v>0</v>
      </c>
      <c r="BI575" s="55">
        <f t="shared" si="630"/>
        <v>0</v>
      </c>
      <c r="BJ575" s="55">
        <f t="shared" si="631"/>
        <v>0</v>
      </c>
    </row>
    <row r="576" spans="1:62" ht="12.75">
      <c r="A576" s="36" t="s">
        <v>1815</v>
      </c>
      <c r="B576" s="36" t="s">
        <v>60</v>
      </c>
      <c r="C576" s="36" t="s">
        <v>402</v>
      </c>
      <c r="D576" s="36" t="s">
        <v>588</v>
      </c>
      <c r="E576" s="36" t="s">
        <v>615</v>
      </c>
      <c r="F576" s="55">
        <f>'Stavební rozpočet'!F590</f>
        <v>4</v>
      </c>
      <c r="G576" s="55">
        <f>'Stavební rozpočet'!G590</f>
        <v>0</v>
      </c>
      <c r="H576" s="55">
        <f t="shared" si="606"/>
        <v>0</v>
      </c>
      <c r="I576" s="55">
        <f t="shared" si="607"/>
        <v>0</v>
      </c>
      <c r="J576" s="55">
        <f t="shared" si="608"/>
        <v>0</v>
      </c>
      <c r="K576" s="55">
        <f>'Stavební rozpočet'!K590</f>
        <v>0</v>
      </c>
      <c r="L576" s="55">
        <f t="shared" si="609"/>
        <v>0</v>
      </c>
      <c r="M576" s="51" t="s">
        <v>622</v>
      </c>
      <c r="Z576" s="29">
        <f t="shared" si="610"/>
        <v>0</v>
      </c>
      <c r="AB576" s="29">
        <f t="shared" si="611"/>
        <v>0</v>
      </c>
      <c r="AC576" s="29">
        <f t="shared" si="612"/>
        <v>0</v>
      </c>
      <c r="AD576" s="29">
        <f t="shared" si="613"/>
        <v>0</v>
      </c>
      <c r="AE576" s="29">
        <f t="shared" si="614"/>
        <v>0</v>
      </c>
      <c r="AF576" s="29">
        <f t="shared" si="615"/>
        <v>0</v>
      </c>
      <c r="AG576" s="29">
        <f t="shared" si="616"/>
        <v>0</v>
      </c>
      <c r="AH576" s="29">
        <f t="shared" si="617"/>
        <v>0</v>
      </c>
      <c r="AI576" s="48" t="s">
        <v>60</v>
      </c>
      <c r="AJ576" s="55">
        <f t="shared" si="618"/>
        <v>0</v>
      </c>
      <c r="AK576" s="55">
        <f t="shared" si="619"/>
        <v>0</v>
      </c>
      <c r="AL576" s="55">
        <f t="shared" si="620"/>
        <v>0</v>
      </c>
      <c r="AN576" s="29">
        <v>15</v>
      </c>
      <c r="AO576" s="29">
        <f t="shared" si="621"/>
        <v>0</v>
      </c>
      <c r="AP576" s="29">
        <f t="shared" si="622"/>
        <v>0</v>
      </c>
      <c r="AQ576" s="51" t="s">
        <v>79</v>
      </c>
      <c r="AV576" s="29">
        <f t="shared" si="623"/>
        <v>0</v>
      </c>
      <c r="AW576" s="29">
        <f t="shared" si="624"/>
        <v>0</v>
      </c>
      <c r="AX576" s="29">
        <f t="shared" si="625"/>
        <v>0</v>
      </c>
      <c r="AY576" s="54" t="s">
        <v>649</v>
      </c>
      <c r="AZ576" s="54" t="s">
        <v>1536</v>
      </c>
      <c r="BA576" s="48" t="s">
        <v>1542</v>
      </c>
      <c r="BC576" s="29">
        <f t="shared" si="626"/>
        <v>0</v>
      </c>
      <c r="BD576" s="29">
        <f t="shared" si="627"/>
        <v>0</v>
      </c>
      <c r="BE576" s="29">
        <v>0</v>
      </c>
      <c r="BF576" s="29">
        <f t="shared" si="628"/>
        <v>0</v>
      </c>
      <c r="BH576" s="55">
        <f t="shared" si="629"/>
        <v>0</v>
      </c>
      <c r="BI576" s="55">
        <f t="shared" si="630"/>
        <v>0</v>
      </c>
      <c r="BJ576" s="55">
        <f t="shared" si="631"/>
        <v>0</v>
      </c>
    </row>
    <row r="577" spans="1:62" ht="12.75">
      <c r="A577" s="36" t="s">
        <v>1816</v>
      </c>
      <c r="B577" s="36" t="s">
        <v>60</v>
      </c>
      <c r="C577" s="36" t="s">
        <v>1165</v>
      </c>
      <c r="D577" s="36" t="s">
        <v>1474</v>
      </c>
      <c r="E577" s="36" t="s">
        <v>606</v>
      </c>
      <c r="F577" s="55">
        <f>'Stavební rozpočet'!F591</f>
        <v>10</v>
      </c>
      <c r="G577" s="55">
        <f>'Stavební rozpočet'!G591</f>
        <v>0</v>
      </c>
      <c r="H577" s="55">
        <f t="shared" si="606"/>
        <v>0</v>
      </c>
      <c r="I577" s="55">
        <f t="shared" si="607"/>
        <v>0</v>
      </c>
      <c r="J577" s="55">
        <f t="shared" si="608"/>
        <v>0</v>
      </c>
      <c r="K577" s="55">
        <f>'Stavební rozpočet'!K591</f>
        <v>0</v>
      </c>
      <c r="L577" s="55">
        <f t="shared" si="609"/>
        <v>0</v>
      </c>
      <c r="M577" s="51" t="s">
        <v>622</v>
      </c>
      <c r="Z577" s="29">
        <f t="shared" si="610"/>
        <v>0</v>
      </c>
      <c r="AB577" s="29">
        <f t="shared" si="611"/>
        <v>0</v>
      </c>
      <c r="AC577" s="29">
        <f t="shared" si="612"/>
        <v>0</v>
      </c>
      <c r="AD577" s="29">
        <f t="shared" si="613"/>
        <v>0</v>
      </c>
      <c r="AE577" s="29">
        <f t="shared" si="614"/>
        <v>0</v>
      </c>
      <c r="AF577" s="29">
        <f t="shared" si="615"/>
        <v>0</v>
      </c>
      <c r="AG577" s="29">
        <f t="shared" si="616"/>
        <v>0</v>
      </c>
      <c r="AH577" s="29">
        <f t="shared" si="617"/>
        <v>0</v>
      </c>
      <c r="AI577" s="48" t="s">
        <v>60</v>
      </c>
      <c r="AJ577" s="55">
        <f t="shared" si="618"/>
        <v>0</v>
      </c>
      <c r="AK577" s="55">
        <f t="shared" si="619"/>
        <v>0</v>
      </c>
      <c r="AL577" s="55">
        <f t="shared" si="620"/>
        <v>0</v>
      </c>
      <c r="AN577" s="29">
        <v>15</v>
      </c>
      <c r="AO577" s="29">
        <f t="shared" si="621"/>
        <v>0</v>
      </c>
      <c r="AP577" s="29">
        <f t="shared" si="622"/>
        <v>0</v>
      </c>
      <c r="AQ577" s="51" t="s">
        <v>79</v>
      </c>
      <c r="AV577" s="29">
        <f t="shared" si="623"/>
        <v>0</v>
      </c>
      <c r="AW577" s="29">
        <f t="shared" si="624"/>
        <v>0</v>
      </c>
      <c r="AX577" s="29">
        <f t="shared" si="625"/>
        <v>0</v>
      </c>
      <c r="AY577" s="54" t="s">
        <v>649</v>
      </c>
      <c r="AZ577" s="54" t="s">
        <v>1536</v>
      </c>
      <c r="BA577" s="48" t="s">
        <v>1542</v>
      </c>
      <c r="BC577" s="29">
        <f t="shared" si="626"/>
        <v>0</v>
      </c>
      <c r="BD577" s="29">
        <f t="shared" si="627"/>
        <v>0</v>
      </c>
      <c r="BE577" s="29">
        <v>0</v>
      </c>
      <c r="BF577" s="29">
        <f t="shared" si="628"/>
        <v>0</v>
      </c>
      <c r="BH577" s="55">
        <f t="shared" si="629"/>
        <v>0</v>
      </c>
      <c r="BI577" s="55">
        <f t="shared" si="630"/>
        <v>0</v>
      </c>
      <c r="BJ577" s="55">
        <f t="shared" si="631"/>
        <v>0</v>
      </c>
    </row>
    <row r="578" spans="1:62" ht="12.75">
      <c r="A578" s="36" t="s">
        <v>1817</v>
      </c>
      <c r="B578" s="36" t="s">
        <v>60</v>
      </c>
      <c r="C578" s="36" t="s">
        <v>1166</v>
      </c>
      <c r="D578" s="36" t="s">
        <v>1475</v>
      </c>
      <c r="E578" s="36" t="s">
        <v>606</v>
      </c>
      <c r="F578" s="55">
        <f>'Stavební rozpočet'!F592</f>
        <v>1</v>
      </c>
      <c r="G578" s="55">
        <f>'Stavební rozpočet'!G592</f>
        <v>0</v>
      </c>
      <c r="H578" s="55">
        <f t="shared" si="606"/>
        <v>0</v>
      </c>
      <c r="I578" s="55">
        <f t="shared" si="607"/>
        <v>0</v>
      </c>
      <c r="J578" s="55">
        <f t="shared" si="608"/>
        <v>0</v>
      </c>
      <c r="K578" s="55">
        <f>'Stavební rozpočet'!K592</f>
        <v>0</v>
      </c>
      <c r="L578" s="55">
        <f t="shared" si="609"/>
        <v>0</v>
      </c>
      <c r="M578" s="51" t="s">
        <v>622</v>
      </c>
      <c r="Z578" s="29">
        <f t="shared" si="610"/>
        <v>0</v>
      </c>
      <c r="AB578" s="29">
        <f t="shared" si="611"/>
        <v>0</v>
      </c>
      <c r="AC578" s="29">
        <f t="shared" si="612"/>
        <v>0</v>
      </c>
      <c r="AD578" s="29">
        <f t="shared" si="613"/>
        <v>0</v>
      </c>
      <c r="AE578" s="29">
        <f t="shared" si="614"/>
        <v>0</v>
      </c>
      <c r="AF578" s="29">
        <f t="shared" si="615"/>
        <v>0</v>
      </c>
      <c r="AG578" s="29">
        <f t="shared" si="616"/>
        <v>0</v>
      </c>
      <c r="AH578" s="29">
        <f t="shared" si="617"/>
        <v>0</v>
      </c>
      <c r="AI578" s="48" t="s">
        <v>60</v>
      </c>
      <c r="AJ578" s="55">
        <f t="shared" si="618"/>
        <v>0</v>
      </c>
      <c r="AK578" s="55">
        <f t="shared" si="619"/>
        <v>0</v>
      </c>
      <c r="AL578" s="55">
        <f t="shared" si="620"/>
        <v>0</v>
      </c>
      <c r="AN578" s="29">
        <v>15</v>
      </c>
      <c r="AO578" s="29">
        <f t="shared" si="621"/>
        <v>0</v>
      </c>
      <c r="AP578" s="29">
        <f t="shared" si="622"/>
        <v>0</v>
      </c>
      <c r="AQ578" s="51" t="s">
        <v>79</v>
      </c>
      <c r="AV578" s="29">
        <f t="shared" si="623"/>
        <v>0</v>
      </c>
      <c r="AW578" s="29">
        <f t="shared" si="624"/>
        <v>0</v>
      </c>
      <c r="AX578" s="29">
        <f t="shared" si="625"/>
        <v>0</v>
      </c>
      <c r="AY578" s="54" t="s">
        <v>649</v>
      </c>
      <c r="AZ578" s="54" t="s">
        <v>1536</v>
      </c>
      <c r="BA578" s="48" t="s">
        <v>1542</v>
      </c>
      <c r="BC578" s="29">
        <f t="shared" si="626"/>
        <v>0</v>
      </c>
      <c r="BD578" s="29">
        <f t="shared" si="627"/>
        <v>0</v>
      </c>
      <c r="BE578" s="29">
        <v>0</v>
      </c>
      <c r="BF578" s="29">
        <f t="shared" si="628"/>
        <v>0</v>
      </c>
      <c r="BH578" s="55">
        <f t="shared" si="629"/>
        <v>0</v>
      </c>
      <c r="BI578" s="55">
        <f t="shared" si="630"/>
        <v>0</v>
      </c>
      <c r="BJ578" s="55">
        <f t="shared" si="631"/>
        <v>0</v>
      </c>
    </row>
    <row r="579" spans="1:62" ht="12.75">
      <c r="A579" s="36" t="s">
        <v>1818</v>
      </c>
      <c r="B579" s="36" t="s">
        <v>60</v>
      </c>
      <c r="C579" s="36" t="s">
        <v>1167</v>
      </c>
      <c r="D579" s="36" t="s">
        <v>1476</v>
      </c>
      <c r="E579" s="36" t="s">
        <v>606</v>
      </c>
      <c r="F579" s="55">
        <f>'Stavební rozpočet'!F593</f>
        <v>1</v>
      </c>
      <c r="G579" s="55">
        <f>'Stavební rozpočet'!G593</f>
        <v>0</v>
      </c>
      <c r="H579" s="55">
        <f t="shared" si="606"/>
        <v>0</v>
      </c>
      <c r="I579" s="55">
        <f t="shared" si="607"/>
        <v>0</v>
      </c>
      <c r="J579" s="55">
        <f t="shared" si="608"/>
        <v>0</v>
      </c>
      <c r="K579" s="55">
        <f>'Stavební rozpočet'!K593</f>
        <v>0</v>
      </c>
      <c r="L579" s="55">
        <f t="shared" si="609"/>
        <v>0</v>
      </c>
      <c r="M579" s="51" t="s">
        <v>622</v>
      </c>
      <c r="Z579" s="29">
        <f t="shared" si="610"/>
        <v>0</v>
      </c>
      <c r="AB579" s="29">
        <f t="shared" si="611"/>
        <v>0</v>
      </c>
      <c r="AC579" s="29">
        <f t="shared" si="612"/>
        <v>0</v>
      </c>
      <c r="AD579" s="29">
        <f t="shared" si="613"/>
        <v>0</v>
      </c>
      <c r="AE579" s="29">
        <f t="shared" si="614"/>
        <v>0</v>
      </c>
      <c r="AF579" s="29">
        <f t="shared" si="615"/>
        <v>0</v>
      </c>
      <c r="AG579" s="29">
        <f t="shared" si="616"/>
        <v>0</v>
      </c>
      <c r="AH579" s="29">
        <f t="shared" si="617"/>
        <v>0</v>
      </c>
      <c r="AI579" s="48" t="s">
        <v>60</v>
      </c>
      <c r="AJ579" s="55">
        <f t="shared" si="618"/>
        <v>0</v>
      </c>
      <c r="AK579" s="55">
        <f t="shared" si="619"/>
        <v>0</v>
      </c>
      <c r="AL579" s="55">
        <f t="shared" si="620"/>
        <v>0</v>
      </c>
      <c r="AN579" s="29">
        <v>15</v>
      </c>
      <c r="AO579" s="29">
        <f t="shared" si="621"/>
        <v>0</v>
      </c>
      <c r="AP579" s="29">
        <f t="shared" si="622"/>
        <v>0</v>
      </c>
      <c r="AQ579" s="51" t="s">
        <v>79</v>
      </c>
      <c r="AV579" s="29">
        <f t="shared" si="623"/>
        <v>0</v>
      </c>
      <c r="AW579" s="29">
        <f t="shared" si="624"/>
        <v>0</v>
      </c>
      <c r="AX579" s="29">
        <f t="shared" si="625"/>
        <v>0</v>
      </c>
      <c r="AY579" s="54" t="s">
        <v>649</v>
      </c>
      <c r="AZ579" s="54" t="s">
        <v>1536</v>
      </c>
      <c r="BA579" s="48" t="s">
        <v>1542</v>
      </c>
      <c r="BC579" s="29">
        <f t="shared" si="626"/>
        <v>0</v>
      </c>
      <c r="BD579" s="29">
        <f t="shared" si="627"/>
        <v>0</v>
      </c>
      <c r="BE579" s="29">
        <v>0</v>
      </c>
      <c r="BF579" s="29">
        <f t="shared" si="628"/>
        <v>0</v>
      </c>
      <c r="BH579" s="55">
        <f t="shared" si="629"/>
        <v>0</v>
      </c>
      <c r="BI579" s="55">
        <f t="shared" si="630"/>
        <v>0</v>
      </c>
      <c r="BJ579" s="55">
        <f t="shared" si="631"/>
        <v>0</v>
      </c>
    </row>
    <row r="580" spans="1:62" ht="12.75">
      <c r="A580" s="36" t="s">
        <v>1819</v>
      </c>
      <c r="B580" s="36" t="s">
        <v>60</v>
      </c>
      <c r="C580" s="36" t="s">
        <v>1168</v>
      </c>
      <c r="D580" s="36" t="s">
        <v>1477</v>
      </c>
      <c r="E580" s="36" t="s">
        <v>606</v>
      </c>
      <c r="F580" s="55">
        <f>'Stavební rozpočet'!F594</f>
        <v>10</v>
      </c>
      <c r="G580" s="55">
        <f>'Stavební rozpočet'!G594</f>
        <v>0</v>
      </c>
      <c r="H580" s="55">
        <f t="shared" si="606"/>
        <v>0</v>
      </c>
      <c r="I580" s="55">
        <f t="shared" si="607"/>
        <v>0</v>
      </c>
      <c r="J580" s="55">
        <f t="shared" si="608"/>
        <v>0</v>
      </c>
      <c r="K580" s="55">
        <f>'Stavební rozpočet'!K594</f>
        <v>0</v>
      </c>
      <c r="L580" s="55">
        <f t="shared" si="609"/>
        <v>0</v>
      </c>
      <c r="M580" s="51" t="s">
        <v>622</v>
      </c>
      <c r="Z580" s="29">
        <f t="shared" si="610"/>
        <v>0</v>
      </c>
      <c r="AB580" s="29">
        <f t="shared" si="611"/>
        <v>0</v>
      </c>
      <c r="AC580" s="29">
        <f t="shared" si="612"/>
        <v>0</v>
      </c>
      <c r="AD580" s="29">
        <f t="shared" si="613"/>
        <v>0</v>
      </c>
      <c r="AE580" s="29">
        <f t="shared" si="614"/>
        <v>0</v>
      </c>
      <c r="AF580" s="29">
        <f t="shared" si="615"/>
        <v>0</v>
      </c>
      <c r="AG580" s="29">
        <f t="shared" si="616"/>
        <v>0</v>
      </c>
      <c r="AH580" s="29">
        <f t="shared" si="617"/>
        <v>0</v>
      </c>
      <c r="AI580" s="48" t="s">
        <v>60</v>
      </c>
      <c r="AJ580" s="55">
        <f t="shared" si="618"/>
        <v>0</v>
      </c>
      <c r="AK580" s="55">
        <f t="shared" si="619"/>
        <v>0</v>
      </c>
      <c r="AL580" s="55">
        <f t="shared" si="620"/>
        <v>0</v>
      </c>
      <c r="AN580" s="29">
        <v>15</v>
      </c>
      <c r="AO580" s="29">
        <f t="shared" si="621"/>
        <v>0</v>
      </c>
      <c r="AP580" s="29">
        <f t="shared" si="622"/>
        <v>0</v>
      </c>
      <c r="AQ580" s="51" t="s">
        <v>79</v>
      </c>
      <c r="AV580" s="29">
        <f t="shared" si="623"/>
        <v>0</v>
      </c>
      <c r="AW580" s="29">
        <f t="shared" si="624"/>
        <v>0</v>
      </c>
      <c r="AX580" s="29">
        <f t="shared" si="625"/>
        <v>0</v>
      </c>
      <c r="AY580" s="54" t="s">
        <v>649</v>
      </c>
      <c r="AZ580" s="54" t="s">
        <v>1536</v>
      </c>
      <c r="BA580" s="48" t="s">
        <v>1542</v>
      </c>
      <c r="BC580" s="29">
        <f t="shared" si="626"/>
        <v>0</v>
      </c>
      <c r="BD580" s="29">
        <f t="shared" si="627"/>
        <v>0</v>
      </c>
      <c r="BE580" s="29">
        <v>0</v>
      </c>
      <c r="BF580" s="29">
        <f t="shared" si="628"/>
        <v>0</v>
      </c>
      <c r="BH580" s="55">
        <f t="shared" si="629"/>
        <v>0</v>
      </c>
      <c r="BI580" s="55">
        <f t="shared" si="630"/>
        <v>0</v>
      </c>
      <c r="BJ580" s="55">
        <f t="shared" si="631"/>
        <v>0</v>
      </c>
    </row>
    <row r="581" spans="1:62" ht="12.75">
      <c r="A581" s="36" t="s">
        <v>1820</v>
      </c>
      <c r="B581" s="36" t="s">
        <v>60</v>
      </c>
      <c r="C581" s="36" t="s">
        <v>1169</v>
      </c>
      <c r="D581" s="36" t="s">
        <v>1478</v>
      </c>
      <c r="E581" s="36" t="s">
        <v>606</v>
      </c>
      <c r="F581" s="55">
        <f>'Stavební rozpočet'!F595</f>
        <v>10</v>
      </c>
      <c r="G581" s="55">
        <f>'Stavební rozpočet'!G595</f>
        <v>0</v>
      </c>
      <c r="H581" s="55">
        <f t="shared" si="606"/>
        <v>0</v>
      </c>
      <c r="I581" s="55">
        <f t="shared" si="607"/>
        <v>0</v>
      </c>
      <c r="J581" s="55">
        <f t="shared" si="608"/>
        <v>0</v>
      </c>
      <c r="K581" s="55">
        <f>'Stavební rozpočet'!K595</f>
        <v>0</v>
      </c>
      <c r="L581" s="55">
        <f t="shared" si="609"/>
        <v>0</v>
      </c>
      <c r="M581" s="51" t="s">
        <v>622</v>
      </c>
      <c r="Z581" s="29">
        <f t="shared" si="610"/>
        <v>0</v>
      </c>
      <c r="AB581" s="29">
        <f t="shared" si="611"/>
        <v>0</v>
      </c>
      <c r="AC581" s="29">
        <f t="shared" si="612"/>
        <v>0</v>
      </c>
      <c r="AD581" s="29">
        <f t="shared" si="613"/>
        <v>0</v>
      </c>
      <c r="AE581" s="29">
        <f t="shared" si="614"/>
        <v>0</v>
      </c>
      <c r="AF581" s="29">
        <f t="shared" si="615"/>
        <v>0</v>
      </c>
      <c r="AG581" s="29">
        <f t="shared" si="616"/>
        <v>0</v>
      </c>
      <c r="AH581" s="29">
        <f t="shared" si="617"/>
        <v>0</v>
      </c>
      <c r="AI581" s="48" t="s">
        <v>60</v>
      </c>
      <c r="AJ581" s="55">
        <f t="shared" si="618"/>
        <v>0</v>
      </c>
      <c r="AK581" s="55">
        <f t="shared" si="619"/>
        <v>0</v>
      </c>
      <c r="AL581" s="55">
        <f t="shared" si="620"/>
        <v>0</v>
      </c>
      <c r="AN581" s="29">
        <v>15</v>
      </c>
      <c r="AO581" s="29">
        <f t="shared" si="621"/>
        <v>0</v>
      </c>
      <c r="AP581" s="29">
        <f t="shared" si="622"/>
        <v>0</v>
      </c>
      <c r="AQ581" s="51" t="s">
        <v>79</v>
      </c>
      <c r="AV581" s="29">
        <f t="shared" si="623"/>
        <v>0</v>
      </c>
      <c r="AW581" s="29">
        <f t="shared" si="624"/>
        <v>0</v>
      </c>
      <c r="AX581" s="29">
        <f t="shared" si="625"/>
        <v>0</v>
      </c>
      <c r="AY581" s="54" t="s">
        <v>649</v>
      </c>
      <c r="AZ581" s="54" t="s">
        <v>1536</v>
      </c>
      <c r="BA581" s="48" t="s">
        <v>1542</v>
      </c>
      <c r="BC581" s="29">
        <f t="shared" si="626"/>
        <v>0</v>
      </c>
      <c r="BD581" s="29">
        <f t="shared" si="627"/>
        <v>0</v>
      </c>
      <c r="BE581" s="29">
        <v>0</v>
      </c>
      <c r="BF581" s="29">
        <f t="shared" si="628"/>
        <v>0</v>
      </c>
      <c r="BH581" s="55">
        <f t="shared" si="629"/>
        <v>0</v>
      </c>
      <c r="BI581" s="55">
        <f t="shared" si="630"/>
        <v>0</v>
      </c>
      <c r="BJ581" s="55">
        <f t="shared" si="631"/>
        <v>0</v>
      </c>
    </row>
    <row r="582" spans="1:62" ht="12.75">
      <c r="A582" s="36" t="s">
        <v>1821</v>
      </c>
      <c r="B582" s="36" t="s">
        <v>60</v>
      </c>
      <c r="C582" s="36" t="s">
        <v>1170</v>
      </c>
      <c r="D582" s="36" t="s">
        <v>1479</v>
      </c>
      <c r="E582" s="36" t="s">
        <v>606</v>
      </c>
      <c r="F582" s="55">
        <f>'Stavební rozpočet'!F596</f>
        <v>0</v>
      </c>
      <c r="G582" s="55">
        <f>'Stavební rozpočet'!G596</f>
        <v>0</v>
      </c>
      <c r="H582" s="55">
        <f t="shared" si="606"/>
        <v>0</v>
      </c>
      <c r="I582" s="55">
        <f t="shared" si="607"/>
        <v>0</v>
      </c>
      <c r="J582" s="55">
        <f t="shared" si="608"/>
        <v>0</v>
      </c>
      <c r="K582" s="55">
        <f>'Stavební rozpočet'!K596</f>
        <v>0</v>
      </c>
      <c r="L582" s="55">
        <f t="shared" si="609"/>
        <v>0</v>
      </c>
      <c r="M582" s="51" t="s">
        <v>622</v>
      </c>
      <c r="Z582" s="29">
        <f t="shared" si="610"/>
        <v>0</v>
      </c>
      <c r="AB582" s="29">
        <f t="shared" si="611"/>
        <v>0</v>
      </c>
      <c r="AC582" s="29">
        <f t="shared" si="612"/>
        <v>0</v>
      </c>
      <c r="AD582" s="29">
        <f t="shared" si="613"/>
        <v>0</v>
      </c>
      <c r="AE582" s="29">
        <f t="shared" si="614"/>
        <v>0</v>
      </c>
      <c r="AF582" s="29">
        <f t="shared" si="615"/>
        <v>0</v>
      </c>
      <c r="AG582" s="29">
        <f t="shared" si="616"/>
        <v>0</v>
      </c>
      <c r="AH582" s="29">
        <f t="shared" si="617"/>
        <v>0</v>
      </c>
      <c r="AI582" s="48" t="s">
        <v>60</v>
      </c>
      <c r="AJ582" s="55">
        <f t="shared" si="618"/>
        <v>0</v>
      </c>
      <c r="AK582" s="55">
        <f t="shared" si="619"/>
        <v>0</v>
      </c>
      <c r="AL582" s="55">
        <f t="shared" si="620"/>
        <v>0</v>
      </c>
      <c r="AN582" s="29">
        <v>15</v>
      </c>
      <c r="AO582" s="29">
        <f t="shared" si="621"/>
        <v>0</v>
      </c>
      <c r="AP582" s="29">
        <f t="shared" si="622"/>
        <v>0</v>
      </c>
      <c r="AQ582" s="51" t="s">
        <v>79</v>
      </c>
      <c r="AV582" s="29">
        <f t="shared" si="623"/>
        <v>0</v>
      </c>
      <c r="AW582" s="29">
        <f t="shared" si="624"/>
        <v>0</v>
      </c>
      <c r="AX582" s="29">
        <f t="shared" si="625"/>
        <v>0</v>
      </c>
      <c r="AY582" s="54" t="s">
        <v>649</v>
      </c>
      <c r="AZ582" s="54" t="s">
        <v>1536</v>
      </c>
      <c r="BA582" s="48" t="s">
        <v>1542</v>
      </c>
      <c r="BC582" s="29">
        <f t="shared" si="626"/>
        <v>0</v>
      </c>
      <c r="BD582" s="29">
        <f t="shared" si="627"/>
        <v>0</v>
      </c>
      <c r="BE582" s="29">
        <v>0</v>
      </c>
      <c r="BF582" s="29">
        <f t="shared" si="628"/>
        <v>0</v>
      </c>
      <c r="BH582" s="55">
        <f t="shared" si="629"/>
        <v>0</v>
      </c>
      <c r="BI582" s="55">
        <f t="shared" si="630"/>
        <v>0</v>
      </c>
      <c r="BJ582" s="55">
        <f t="shared" si="631"/>
        <v>0</v>
      </c>
    </row>
    <row r="583" spans="1:62" ht="12.75">
      <c r="A583" s="36" t="s">
        <v>1822</v>
      </c>
      <c r="B583" s="36" t="s">
        <v>60</v>
      </c>
      <c r="C583" s="36" t="s">
        <v>1171</v>
      </c>
      <c r="D583" s="36" t="s">
        <v>1480</v>
      </c>
      <c r="E583" s="36" t="s">
        <v>606</v>
      </c>
      <c r="F583" s="55">
        <f>'Stavební rozpočet'!F597</f>
        <v>0</v>
      </c>
      <c r="G583" s="55">
        <f>'Stavební rozpočet'!G597</f>
        <v>0</v>
      </c>
      <c r="H583" s="55">
        <f t="shared" si="606"/>
        <v>0</v>
      </c>
      <c r="I583" s="55">
        <f t="shared" si="607"/>
        <v>0</v>
      </c>
      <c r="J583" s="55">
        <f t="shared" si="608"/>
        <v>0</v>
      </c>
      <c r="K583" s="55">
        <f>'Stavební rozpočet'!K597</f>
        <v>0</v>
      </c>
      <c r="L583" s="55">
        <f t="shared" si="609"/>
        <v>0</v>
      </c>
      <c r="M583" s="51" t="s">
        <v>622</v>
      </c>
      <c r="Z583" s="29">
        <f t="shared" si="610"/>
        <v>0</v>
      </c>
      <c r="AB583" s="29">
        <f t="shared" si="611"/>
        <v>0</v>
      </c>
      <c r="AC583" s="29">
        <f t="shared" si="612"/>
        <v>0</v>
      </c>
      <c r="AD583" s="29">
        <f t="shared" si="613"/>
        <v>0</v>
      </c>
      <c r="AE583" s="29">
        <f t="shared" si="614"/>
        <v>0</v>
      </c>
      <c r="AF583" s="29">
        <f t="shared" si="615"/>
        <v>0</v>
      </c>
      <c r="AG583" s="29">
        <f t="shared" si="616"/>
        <v>0</v>
      </c>
      <c r="AH583" s="29">
        <f t="shared" si="617"/>
        <v>0</v>
      </c>
      <c r="AI583" s="48" t="s">
        <v>60</v>
      </c>
      <c r="AJ583" s="55">
        <f t="shared" si="618"/>
        <v>0</v>
      </c>
      <c r="AK583" s="55">
        <f t="shared" si="619"/>
        <v>0</v>
      </c>
      <c r="AL583" s="55">
        <f t="shared" si="620"/>
        <v>0</v>
      </c>
      <c r="AN583" s="29">
        <v>15</v>
      </c>
      <c r="AO583" s="29">
        <f t="shared" si="621"/>
        <v>0</v>
      </c>
      <c r="AP583" s="29">
        <f t="shared" si="622"/>
        <v>0</v>
      </c>
      <c r="AQ583" s="51" t="s">
        <v>79</v>
      </c>
      <c r="AV583" s="29">
        <f t="shared" si="623"/>
        <v>0</v>
      </c>
      <c r="AW583" s="29">
        <f t="shared" si="624"/>
        <v>0</v>
      </c>
      <c r="AX583" s="29">
        <f t="shared" si="625"/>
        <v>0</v>
      </c>
      <c r="AY583" s="54" t="s">
        <v>649</v>
      </c>
      <c r="AZ583" s="54" t="s">
        <v>1536</v>
      </c>
      <c r="BA583" s="48" t="s">
        <v>1542</v>
      </c>
      <c r="BC583" s="29">
        <f t="shared" si="626"/>
        <v>0</v>
      </c>
      <c r="BD583" s="29">
        <f t="shared" si="627"/>
        <v>0</v>
      </c>
      <c r="BE583" s="29">
        <v>0</v>
      </c>
      <c r="BF583" s="29">
        <f t="shared" si="628"/>
        <v>0</v>
      </c>
      <c r="BH583" s="55">
        <f t="shared" si="629"/>
        <v>0</v>
      </c>
      <c r="BI583" s="55">
        <f t="shared" si="630"/>
        <v>0</v>
      </c>
      <c r="BJ583" s="55">
        <f t="shared" si="631"/>
        <v>0</v>
      </c>
    </row>
    <row r="584" spans="1:62" ht="12.75">
      <c r="A584" s="36" t="s">
        <v>1823</v>
      </c>
      <c r="B584" s="36" t="s">
        <v>60</v>
      </c>
      <c r="C584" s="36" t="s">
        <v>1172</v>
      </c>
      <c r="D584" s="36" t="s">
        <v>1481</v>
      </c>
      <c r="E584" s="36" t="s">
        <v>606</v>
      </c>
      <c r="F584" s="55">
        <f>'Stavební rozpočet'!F598</f>
        <v>4</v>
      </c>
      <c r="G584" s="55">
        <f>'Stavební rozpočet'!G598</f>
        <v>0</v>
      </c>
      <c r="H584" s="55">
        <f t="shared" si="606"/>
        <v>0</v>
      </c>
      <c r="I584" s="55">
        <f t="shared" si="607"/>
        <v>0</v>
      </c>
      <c r="J584" s="55">
        <f t="shared" si="608"/>
        <v>0</v>
      </c>
      <c r="K584" s="55">
        <f>'Stavební rozpočet'!K598</f>
        <v>0</v>
      </c>
      <c r="L584" s="55">
        <f t="shared" si="609"/>
        <v>0</v>
      </c>
      <c r="M584" s="51" t="s">
        <v>622</v>
      </c>
      <c r="Z584" s="29">
        <f t="shared" si="610"/>
        <v>0</v>
      </c>
      <c r="AB584" s="29">
        <f t="shared" si="611"/>
        <v>0</v>
      </c>
      <c r="AC584" s="29">
        <f t="shared" si="612"/>
        <v>0</v>
      </c>
      <c r="AD584" s="29">
        <f t="shared" si="613"/>
        <v>0</v>
      </c>
      <c r="AE584" s="29">
        <f t="shared" si="614"/>
        <v>0</v>
      </c>
      <c r="AF584" s="29">
        <f t="shared" si="615"/>
        <v>0</v>
      </c>
      <c r="AG584" s="29">
        <f t="shared" si="616"/>
        <v>0</v>
      </c>
      <c r="AH584" s="29">
        <f t="shared" si="617"/>
        <v>0</v>
      </c>
      <c r="AI584" s="48" t="s">
        <v>60</v>
      </c>
      <c r="AJ584" s="55">
        <f t="shared" si="618"/>
        <v>0</v>
      </c>
      <c r="AK584" s="55">
        <f t="shared" si="619"/>
        <v>0</v>
      </c>
      <c r="AL584" s="55">
        <f t="shared" si="620"/>
        <v>0</v>
      </c>
      <c r="AN584" s="29">
        <v>15</v>
      </c>
      <c r="AO584" s="29">
        <f t="shared" si="621"/>
        <v>0</v>
      </c>
      <c r="AP584" s="29">
        <f t="shared" si="622"/>
        <v>0</v>
      </c>
      <c r="AQ584" s="51" t="s">
        <v>79</v>
      </c>
      <c r="AV584" s="29">
        <f t="shared" si="623"/>
        <v>0</v>
      </c>
      <c r="AW584" s="29">
        <f t="shared" si="624"/>
        <v>0</v>
      </c>
      <c r="AX584" s="29">
        <f t="shared" si="625"/>
        <v>0</v>
      </c>
      <c r="AY584" s="54" t="s">
        <v>649</v>
      </c>
      <c r="AZ584" s="54" t="s">
        <v>1536</v>
      </c>
      <c r="BA584" s="48" t="s">
        <v>1542</v>
      </c>
      <c r="BC584" s="29">
        <f t="shared" si="626"/>
        <v>0</v>
      </c>
      <c r="BD584" s="29">
        <f t="shared" si="627"/>
        <v>0</v>
      </c>
      <c r="BE584" s="29">
        <v>0</v>
      </c>
      <c r="BF584" s="29">
        <f t="shared" si="628"/>
        <v>0</v>
      </c>
      <c r="BH584" s="55">
        <f t="shared" si="629"/>
        <v>0</v>
      </c>
      <c r="BI584" s="55">
        <f t="shared" si="630"/>
        <v>0</v>
      </c>
      <c r="BJ584" s="55">
        <f t="shared" si="631"/>
        <v>0</v>
      </c>
    </row>
    <row r="585" spans="1:62" ht="12.75">
      <c r="A585" s="36" t="s">
        <v>1824</v>
      </c>
      <c r="B585" s="36" t="s">
        <v>60</v>
      </c>
      <c r="C585" s="36" t="s">
        <v>1173</v>
      </c>
      <c r="D585" s="36" t="s">
        <v>1482</v>
      </c>
      <c r="E585" s="36" t="s">
        <v>606</v>
      </c>
      <c r="F585" s="55">
        <f>'Stavební rozpočet'!F599</f>
        <v>0</v>
      </c>
      <c r="G585" s="55">
        <f>'Stavební rozpočet'!G599</f>
        <v>0</v>
      </c>
      <c r="H585" s="55">
        <f t="shared" si="606"/>
        <v>0</v>
      </c>
      <c r="I585" s="55">
        <f t="shared" si="607"/>
        <v>0</v>
      </c>
      <c r="J585" s="55">
        <f t="shared" si="608"/>
        <v>0</v>
      </c>
      <c r="K585" s="55">
        <f>'Stavební rozpočet'!K599</f>
        <v>0</v>
      </c>
      <c r="L585" s="55">
        <f t="shared" si="609"/>
        <v>0</v>
      </c>
      <c r="M585" s="51" t="s">
        <v>622</v>
      </c>
      <c r="Z585" s="29">
        <f t="shared" si="610"/>
        <v>0</v>
      </c>
      <c r="AB585" s="29">
        <f t="shared" si="611"/>
        <v>0</v>
      </c>
      <c r="AC585" s="29">
        <f t="shared" si="612"/>
        <v>0</v>
      </c>
      <c r="AD585" s="29">
        <f t="shared" si="613"/>
        <v>0</v>
      </c>
      <c r="AE585" s="29">
        <f t="shared" si="614"/>
        <v>0</v>
      </c>
      <c r="AF585" s="29">
        <f t="shared" si="615"/>
        <v>0</v>
      </c>
      <c r="AG585" s="29">
        <f t="shared" si="616"/>
        <v>0</v>
      </c>
      <c r="AH585" s="29">
        <f t="shared" si="617"/>
        <v>0</v>
      </c>
      <c r="AI585" s="48" t="s">
        <v>60</v>
      </c>
      <c r="AJ585" s="55">
        <f t="shared" si="618"/>
        <v>0</v>
      </c>
      <c r="AK585" s="55">
        <f t="shared" si="619"/>
        <v>0</v>
      </c>
      <c r="AL585" s="55">
        <f t="shared" si="620"/>
        <v>0</v>
      </c>
      <c r="AN585" s="29">
        <v>15</v>
      </c>
      <c r="AO585" s="29">
        <f t="shared" si="621"/>
        <v>0</v>
      </c>
      <c r="AP585" s="29">
        <f t="shared" si="622"/>
        <v>0</v>
      </c>
      <c r="AQ585" s="51" t="s">
        <v>79</v>
      </c>
      <c r="AV585" s="29">
        <f t="shared" si="623"/>
        <v>0</v>
      </c>
      <c r="AW585" s="29">
        <f t="shared" si="624"/>
        <v>0</v>
      </c>
      <c r="AX585" s="29">
        <f t="shared" si="625"/>
        <v>0</v>
      </c>
      <c r="AY585" s="54" t="s">
        <v>649</v>
      </c>
      <c r="AZ585" s="54" t="s">
        <v>1536</v>
      </c>
      <c r="BA585" s="48" t="s">
        <v>1542</v>
      </c>
      <c r="BC585" s="29">
        <f t="shared" si="626"/>
        <v>0</v>
      </c>
      <c r="BD585" s="29">
        <f t="shared" si="627"/>
        <v>0</v>
      </c>
      <c r="BE585" s="29">
        <v>0</v>
      </c>
      <c r="BF585" s="29">
        <f t="shared" si="628"/>
        <v>0</v>
      </c>
      <c r="BH585" s="55">
        <f t="shared" si="629"/>
        <v>0</v>
      </c>
      <c r="BI585" s="55">
        <f t="shared" si="630"/>
        <v>0</v>
      </c>
      <c r="BJ585" s="55">
        <f t="shared" si="631"/>
        <v>0</v>
      </c>
    </row>
    <row r="586" spans="1:62" ht="12.75">
      <c r="A586" s="36" t="s">
        <v>1825</v>
      </c>
      <c r="B586" s="36" t="s">
        <v>60</v>
      </c>
      <c r="C586" s="36" t="s">
        <v>1174</v>
      </c>
      <c r="D586" s="36" t="s">
        <v>1483</v>
      </c>
      <c r="E586" s="36" t="s">
        <v>606</v>
      </c>
      <c r="F586" s="55">
        <f>'Stavební rozpočet'!F600</f>
        <v>4</v>
      </c>
      <c r="G586" s="55">
        <f>'Stavební rozpočet'!G600</f>
        <v>0</v>
      </c>
      <c r="H586" s="55">
        <f t="shared" si="606"/>
        <v>0</v>
      </c>
      <c r="I586" s="55">
        <f t="shared" si="607"/>
        <v>0</v>
      </c>
      <c r="J586" s="55">
        <f t="shared" si="608"/>
        <v>0</v>
      </c>
      <c r="K586" s="55">
        <f>'Stavební rozpočet'!K600</f>
        <v>0</v>
      </c>
      <c r="L586" s="55">
        <f t="shared" si="609"/>
        <v>0</v>
      </c>
      <c r="M586" s="51" t="s">
        <v>622</v>
      </c>
      <c r="Z586" s="29">
        <f t="shared" si="610"/>
        <v>0</v>
      </c>
      <c r="AB586" s="29">
        <f t="shared" si="611"/>
        <v>0</v>
      </c>
      <c r="AC586" s="29">
        <f t="shared" si="612"/>
        <v>0</v>
      </c>
      <c r="AD586" s="29">
        <f t="shared" si="613"/>
        <v>0</v>
      </c>
      <c r="AE586" s="29">
        <f t="shared" si="614"/>
        <v>0</v>
      </c>
      <c r="AF586" s="29">
        <f t="shared" si="615"/>
        <v>0</v>
      </c>
      <c r="AG586" s="29">
        <f t="shared" si="616"/>
        <v>0</v>
      </c>
      <c r="AH586" s="29">
        <f t="shared" si="617"/>
        <v>0</v>
      </c>
      <c r="AI586" s="48" t="s">
        <v>60</v>
      </c>
      <c r="AJ586" s="55">
        <f t="shared" si="618"/>
        <v>0</v>
      </c>
      <c r="AK586" s="55">
        <f t="shared" si="619"/>
        <v>0</v>
      </c>
      <c r="AL586" s="55">
        <f t="shared" si="620"/>
        <v>0</v>
      </c>
      <c r="AN586" s="29">
        <v>15</v>
      </c>
      <c r="AO586" s="29">
        <f t="shared" si="621"/>
        <v>0</v>
      </c>
      <c r="AP586" s="29">
        <f t="shared" si="622"/>
        <v>0</v>
      </c>
      <c r="AQ586" s="51" t="s">
        <v>79</v>
      </c>
      <c r="AV586" s="29">
        <f t="shared" si="623"/>
        <v>0</v>
      </c>
      <c r="AW586" s="29">
        <f t="shared" si="624"/>
        <v>0</v>
      </c>
      <c r="AX586" s="29">
        <f t="shared" si="625"/>
        <v>0</v>
      </c>
      <c r="AY586" s="54" t="s">
        <v>649</v>
      </c>
      <c r="AZ586" s="54" t="s">
        <v>1536</v>
      </c>
      <c r="BA586" s="48" t="s">
        <v>1542</v>
      </c>
      <c r="BC586" s="29">
        <f t="shared" si="626"/>
        <v>0</v>
      </c>
      <c r="BD586" s="29">
        <f t="shared" si="627"/>
        <v>0</v>
      </c>
      <c r="BE586" s="29">
        <v>0</v>
      </c>
      <c r="BF586" s="29">
        <f t="shared" si="628"/>
        <v>0</v>
      </c>
      <c r="BH586" s="55">
        <f t="shared" si="629"/>
        <v>0</v>
      </c>
      <c r="BI586" s="55">
        <f t="shared" si="630"/>
        <v>0</v>
      </c>
      <c r="BJ586" s="55">
        <f t="shared" si="631"/>
        <v>0</v>
      </c>
    </row>
    <row r="587" spans="1:62" ht="12.75">
      <c r="A587" s="36" t="s">
        <v>1826</v>
      </c>
      <c r="B587" s="36" t="s">
        <v>60</v>
      </c>
      <c r="C587" s="36" t="s">
        <v>1175</v>
      </c>
      <c r="D587" s="36" t="s">
        <v>1484</v>
      </c>
      <c r="E587" s="36" t="s">
        <v>606</v>
      </c>
      <c r="F587" s="55">
        <f>'Stavební rozpočet'!F601</f>
        <v>0</v>
      </c>
      <c r="G587" s="55">
        <f>'Stavební rozpočet'!G601</f>
        <v>0</v>
      </c>
      <c r="H587" s="55">
        <f t="shared" si="606"/>
        <v>0</v>
      </c>
      <c r="I587" s="55">
        <f t="shared" si="607"/>
        <v>0</v>
      </c>
      <c r="J587" s="55">
        <f t="shared" si="608"/>
        <v>0</v>
      </c>
      <c r="K587" s="55">
        <f>'Stavební rozpočet'!K601</f>
        <v>0</v>
      </c>
      <c r="L587" s="55">
        <f t="shared" si="609"/>
        <v>0</v>
      </c>
      <c r="M587" s="51" t="s">
        <v>622</v>
      </c>
      <c r="Z587" s="29">
        <f t="shared" si="610"/>
        <v>0</v>
      </c>
      <c r="AB587" s="29">
        <f t="shared" si="611"/>
        <v>0</v>
      </c>
      <c r="AC587" s="29">
        <f t="shared" si="612"/>
        <v>0</v>
      </c>
      <c r="AD587" s="29">
        <f t="shared" si="613"/>
        <v>0</v>
      </c>
      <c r="AE587" s="29">
        <f t="shared" si="614"/>
        <v>0</v>
      </c>
      <c r="AF587" s="29">
        <f t="shared" si="615"/>
        <v>0</v>
      </c>
      <c r="AG587" s="29">
        <f t="shared" si="616"/>
        <v>0</v>
      </c>
      <c r="AH587" s="29">
        <f t="shared" si="617"/>
        <v>0</v>
      </c>
      <c r="AI587" s="48" t="s">
        <v>60</v>
      </c>
      <c r="AJ587" s="55">
        <f t="shared" si="618"/>
        <v>0</v>
      </c>
      <c r="AK587" s="55">
        <f t="shared" si="619"/>
        <v>0</v>
      </c>
      <c r="AL587" s="55">
        <f t="shared" si="620"/>
        <v>0</v>
      </c>
      <c r="AN587" s="29">
        <v>15</v>
      </c>
      <c r="AO587" s="29">
        <f t="shared" si="621"/>
        <v>0</v>
      </c>
      <c r="AP587" s="29">
        <f t="shared" si="622"/>
        <v>0</v>
      </c>
      <c r="AQ587" s="51" t="s">
        <v>79</v>
      </c>
      <c r="AV587" s="29">
        <f t="shared" si="623"/>
        <v>0</v>
      </c>
      <c r="AW587" s="29">
        <f t="shared" si="624"/>
        <v>0</v>
      </c>
      <c r="AX587" s="29">
        <f t="shared" si="625"/>
        <v>0</v>
      </c>
      <c r="AY587" s="54" t="s">
        <v>649</v>
      </c>
      <c r="AZ587" s="54" t="s">
        <v>1536</v>
      </c>
      <c r="BA587" s="48" t="s">
        <v>1542</v>
      </c>
      <c r="BC587" s="29">
        <f t="shared" si="626"/>
        <v>0</v>
      </c>
      <c r="BD587" s="29">
        <f t="shared" si="627"/>
        <v>0</v>
      </c>
      <c r="BE587" s="29">
        <v>0</v>
      </c>
      <c r="BF587" s="29">
        <f t="shared" si="628"/>
        <v>0</v>
      </c>
      <c r="BH587" s="55">
        <f t="shared" si="629"/>
        <v>0</v>
      </c>
      <c r="BI587" s="55">
        <f t="shared" si="630"/>
        <v>0</v>
      </c>
      <c r="BJ587" s="55">
        <f t="shared" si="631"/>
        <v>0</v>
      </c>
    </row>
    <row r="588" spans="1:62" ht="12.75">
      <c r="A588" s="36" t="s">
        <v>1827</v>
      </c>
      <c r="B588" s="36" t="s">
        <v>60</v>
      </c>
      <c r="C588" s="36" t="s">
        <v>1176</v>
      </c>
      <c r="D588" s="36" t="s">
        <v>1485</v>
      </c>
      <c r="E588" s="36" t="s">
        <v>606</v>
      </c>
      <c r="F588" s="55">
        <f>'Stavební rozpočet'!F602</f>
        <v>0</v>
      </c>
      <c r="G588" s="55">
        <f>'Stavební rozpočet'!G602</f>
        <v>0</v>
      </c>
      <c r="H588" s="55">
        <f t="shared" si="606"/>
        <v>0</v>
      </c>
      <c r="I588" s="55">
        <f t="shared" si="607"/>
        <v>0</v>
      </c>
      <c r="J588" s="55">
        <f t="shared" si="608"/>
        <v>0</v>
      </c>
      <c r="K588" s="55">
        <f>'Stavební rozpočet'!K602</f>
        <v>0</v>
      </c>
      <c r="L588" s="55">
        <f t="shared" si="609"/>
        <v>0</v>
      </c>
      <c r="M588" s="51" t="s">
        <v>622</v>
      </c>
      <c r="Z588" s="29">
        <f t="shared" si="610"/>
        <v>0</v>
      </c>
      <c r="AB588" s="29">
        <f t="shared" si="611"/>
        <v>0</v>
      </c>
      <c r="AC588" s="29">
        <f t="shared" si="612"/>
        <v>0</v>
      </c>
      <c r="AD588" s="29">
        <f t="shared" si="613"/>
        <v>0</v>
      </c>
      <c r="AE588" s="29">
        <f t="shared" si="614"/>
        <v>0</v>
      </c>
      <c r="AF588" s="29">
        <f t="shared" si="615"/>
        <v>0</v>
      </c>
      <c r="AG588" s="29">
        <f t="shared" si="616"/>
        <v>0</v>
      </c>
      <c r="AH588" s="29">
        <f t="shared" si="617"/>
        <v>0</v>
      </c>
      <c r="AI588" s="48" t="s">
        <v>60</v>
      </c>
      <c r="AJ588" s="55">
        <f t="shared" si="618"/>
        <v>0</v>
      </c>
      <c r="AK588" s="55">
        <f t="shared" si="619"/>
        <v>0</v>
      </c>
      <c r="AL588" s="55">
        <f t="shared" si="620"/>
        <v>0</v>
      </c>
      <c r="AN588" s="29">
        <v>15</v>
      </c>
      <c r="AO588" s="29">
        <f t="shared" si="621"/>
        <v>0</v>
      </c>
      <c r="AP588" s="29">
        <f t="shared" si="622"/>
        <v>0</v>
      </c>
      <c r="AQ588" s="51" t="s">
        <v>79</v>
      </c>
      <c r="AV588" s="29">
        <f t="shared" si="623"/>
        <v>0</v>
      </c>
      <c r="AW588" s="29">
        <f t="shared" si="624"/>
        <v>0</v>
      </c>
      <c r="AX588" s="29">
        <f t="shared" si="625"/>
        <v>0</v>
      </c>
      <c r="AY588" s="54" t="s">
        <v>649</v>
      </c>
      <c r="AZ588" s="54" t="s">
        <v>1536</v>
      </c>
      <c r="BA588" s="48" t="s">
        <v>1542</v>
      </c>
      <c r="BC588" s="29">
        <f t="shared" si="626"/>
        <v>0</v>
      </c>
      <c r="BD588" s="29">
        <f t="shared" si="627"/>
        <v>0</v>
      </c>
      <c r="BE588" s="29">
        <v>0</v>
      </c>
      <c r="BF588" s="29">
        <f t="shared" si="628"/>
        <v>0</v>
      </c>
      <c r="BH588" s="55">
        <f t="shared" si="629"/>
        <v>0</v>
      </c>
      <c r="BI588" s="55">
        <f t="shared" si="630"/>
        <v>0</v>
      </c>
      <c r="BJ588" s="55">
        <f t="shared" si="631"/>
        <v>0</v>
      </c>
    </row>
    <row r="589" spans="1:62" ht="12.75">
      <c r="A589" s="36" t="s">
        <v>1828</v>
      </c>
      <c r="B589" s="36" t="s">
        <v>60</v>
      </c>
      <c r="C589" s="36" t="s">
        <v>1177</v>
      </c>
      <c r="D589" s="36" t="s">
        <v>1486</v>
      </c>
      <c r="E589" s="36" t="s">
        <v>606</v>
      </c>
      <c r="F589" s="55">
        <f>'Stavební rozpočet'!F603</f>
        <v>0</v>
      </c>
      <c r="G589" s="55">
        <f>'Stavební rozpočet'!G603</f>
        <v>0</v>
      </c>
      <c r="H589" s="55">
        <f t="shared" si="606"/>
        <v>0</v>
      </c>
      <c r="I589" s="55">
        <f t="shared" si="607"/>
        <v>0</v>
      </c>
      <c r="J589" s="55">
        <f t="shared" si="608"/>
        <v>0</v>
      </c>
      <c r="K589" s="55">
        <f>'Stavební rozpočet'!K603</f>
        <v>0</v>
      </c>
      <c r="L589" s="55">
        <f t="shared" si="609"/>
        <v>0</v>
      </c>
      <c r="M589" s="51" t="s">
        <v>622</v>
      </c>
      <c r="Z589" s="29">
        <f t="shared" si="610"/>
        <v>0</v>
      </c>
      <c r="AB589" s="29">
        <f t="shared" si="611"/>
        <v>0</v>
      </c>
      <c r="AC589" s="29">
        <f t="shared" si="612"/>
        <v>0</v>
      </c>
      <c r="AD589" s="29">
        <f t="shared" si="613"/>
        <v>0</v>
      </c>
      <c r="AE589" s="29">
        <f t="shared" si="614"/>
        <v>0</v>
      </c>
      <c r="AF589" s="29">
        <f t="shared" si="615"/>
        <v>0</v>
      </c>
      <c r="AG589" s="29">
        <f t="shared" si="616"/>
        <v>0</v>
      </c>
      <c r="AH589" s="29">
        <f t="shared" si="617"/>
        <v>0</v>
      </c>
      <c r="AI589" s="48" t="s">
        <v>60</v>
      </c>
      <c r="AJ589" s="55">
        <f t="shared" si="618"/>
        <v>0</v>
      </c>
      <c r="AK589" s="55">
        <f t="shared" si="619"/>
        <v>0</v>
      </c>
      <c r="AL589" s="55">
        <f t="shared" si="620"/>
        <v>0</v>
      </c>
      <c r="AN589" s="29">
        <v>15</v>
      </c>
      <c r="AO589" s="29">
        <f t="shared" si="621"/>
        <v>0</v>
      </c>
      <c r="AP589" s="29">
        <f t="shared" si="622"/>
        <v>0</v>
      </c>
      <c r="AQ589" s="51" t="s">
        <v>79</v>
      </c>
      <c r="AV589" s="29">
        <f t="shared" si="623"/>
        <v>0</v>
      </c>
      <c r="AW589" s="29">
        <f t="shared" si="624"/>
        <v>0</v>
      </c>
      <c r="AX589" s="29">
        <f t="shared" si="625"/>
        <v>0</v>
      </c>
      <c r="AY589" s="54" t="s">
        <v>649</v>
      </c>
      <c r="AZ589" s="54" t="s">
        <v>1536</v>
      </c>
      <c r="BA589" s="48" t="s">
        <v>1542</v>
      </c>
      <c r="BC589" s="29">
        <f t="shared" si="626"/>
        <v>0</v>
      </c>
      <c r="BD589" s="29">
        <f t="shared" si="627"/>
        <v>0</v>
      </c>
      <c r="BE589" s="29">
        <v>0</v>
      </c>
      <c r="BF589" s="29">
        <f t="shared" si="628"/>
        <v>0</v>
      </c>
      <c r="BH589" s="55">
        <f t="shared" si="629"/>
        <v>0</v>
      </c>
      <c r="BI589" s="55">
        <f t="shared" si="630"/>
        <v>0</v>
      </c>
      <c r="BJ589" s="55">
        <f t="shared" si="631"/>
        <v>0</v>
      </c>
    </row>
    <row r="590" spans="1:62" ht="12.75">
      <c r="A590" s="36" t="s">
        <v>1829</v>
      </c>
      <c r="B590" s="36" t="s">
        <v>60</v>
      </c>
      <c r="C590" s="36" t="s">
        <v>1178</v>
      </c>
      <c r="D590" s="36" t="s">
        <v>1487</v>
      </c>
      <c r="E590" s="36" t="s">
        <v>606</v>
      </c>
      <c r="F590" s="55">
        <f>'Stavební rozpočet'!F604</f>
        <v>0</v>
      </c>
      <c r="G590" s="55">
        <f>'Stavební rozpočet'!G604</f>
        <v>0</v>
      </c>
      <c r="H590" s="55">
        <f t="shared" si="606"/>
        <v>0</v>
      </c>
      <c r="I590" s="55">
        <f t="shared" si="607"/>
        <v>0</v>
      </c>
      <c r="J590" s="55">
        <f t="shared" si="608"/>
        <v>0</v>
      </c>
      <c r="K590" s="55">
        <f>'Stavební rozpočet'!K604</f>
        <v>0</v>
      </c>
      <c r="L590" s="55">
        <f t="shared" si="609"/>
        <v>0</v>
      </c>
      <c r="M590" s="51" t="s">
        <v>622</v>
      </c>
      <c r="Z590" s="29">
        <f t="shared" si="610"/>
        <v>0</v>
      </c>
      <c r="AB590" s="29">
        <f t="shared" si="611"/>
        <v>0</v>
      </c>
      <c r="AC590" s="29">
        <f t="shared" si="612"/>
        <v>0</v>
      </c>
      <c r="AD590" s="29">
        <f t="shared" si="613"/>
        <v>0</v>
      </c>
      <c r="AE590" s="29">
        <f t="shared" si="614"/>
        <v>0</v>
      </c>
      <c r="AF590" s="29">
        <f t="shared" si="615"/>
        <v>0</v>
      </c>
      <c r="AG590" s="29">
        <f t="shared" si="616"/>
        <v>0</v>
      </c>
      <c r="AH590" s="29">
        <f t="shared" si="617"/>
        <v>0</v>
      </c>
      <c r="AI590" s="48" t="s">
        <v>60</v>
      </c>
      <c r="AJ590" s="55">
        <f t="shared" si="618"/>
        <v>0</v>
      </c>
      <c r="AK590" s="55">
        <f t="shared" si="619"/>
        <v>0</v>
      </c>
      <c r="AL590" s="55">
        <f t="shared" si="620"/>
        <v>0</v>
      </c>
      <c r="AN590" s="29">
        <v>15</v>
      </c>
      <c r="AO590" s="29">
        <f t="shared" si="621"/>
        <v>0</v>
      </c>
      <c r="AP590" s="29">
        <f t="shared" si="622"/>
        <v>0</v>
      </c>
      <c r="AQ590" s="51" t="s">
        <v>79</v>
      </c>
      <c r="AV590" s="29">
        <f t="shared" si="623"/>
        <v>0</v>
      </c>
      <c r="AW590" s="29">
        <f t="shared" si="624"/>
        <v>0</v>
      </c>
      <c r="AX590" s="29">
        <f t="shared" si="625"/>
        <v>0</v>
      </c>
      <c r="AY590" s="54" t="s">
        <v>649</v>
      </c>
      <c r="AZ590" s="54" t="s">
        <v>1536</v>
      </c>
      <c r="BA590" s="48" t="s">
        <v>1542</v>
      </c>
      <c r="BC590" s="29">
        <f t="shared" si="626"/>
        <v>0</v>
      </c>
      <c r="BD590" s="29">
        <f t="shared" si="627"/>
        <v>0</v>
      </c>
      <c r="BE590" s="29">
        <v>0</v>
      </c>
      <c r="BF590" s="29">
        <f t="shared" si="628"/>
        <v>0</v>
      </c>
      <c r="BH590" s="55">
        <f t="shared" si="629"/>
        <v>0</v>
      </c>
      <c r="BI590" s="55">
        <f t="shared" si="630"/>
        <v>0</v>
      </c>
      <c r="BJ590" s="55">
        <f t="shared" si="631"/>
        <v>0</v>
      </c>
    </row>
    <row r="591" spans="1:62" ht="12.75">
      <c r="A591" s="36" t="s">
        <v>1830</v>
      </c>
      <c r="B591" s="36" t="s">
        <v>60</v>
      </c>
      <c r="C591" s="36" t="s">
        <v>1179</v>
      </c>
      <c r="D591" s="36" t="s">
        <v>1488</v>
      </c>
      <c r="E591" s="36" t="s">
        <v>606</v>
      </c>
      <c r="F591" s="55">
        <f>'Stavební rozpočet'!F605</f>
        <v>19</v>
      </c>
      <c r="G591" s="55">
        <f>'Stavební rozpočet'!G605</f>
        <v>0</v>
      </c>
      <c r="H591" s="55">
        <f t="shared" si="606"/>
        <v>0</v>
      </c>
      <c r="I591" s="55">
        <f t="shared" si="607"/>
        <v>0</v>
      </c>
      <c r="J591" s="55">
        <f t="shared" si="608"/>
        <v>0</v>
      </c>
      <c r="K591" s="55">
        <f>'Stavební rozpočet'!K605</f>
        <v>0</v>
      </c>
      <c r="L591" s="55">
        <f t="shared" si="609"/>
        <v>0</v>
      </c>
      <c r="M591" s="51" t="s">
        <v>622</v>
      </c>
      <c r="Z591" s="29">
        <f t="shared" si="610"/>
        <v>0</v>
      </c>
      <c r="AB591" s="29">
        <f t="shared" si="611"/>
        <v>0</v>
      </c>
      <c r="AC591" s="29">
        <f t="shared" si="612"/>
        <v>0</v>
      </c>
      <c r="AD591" s="29">
        <f t="shared" si="613"/>
        <v>0</v>
      </c>
      <c r="AE591" s="29">
        <f t="shared" si="614"/>
        <v>0</v>
      </c>
      <c r="AF591" s="29">
        <f t="shared" si="615"/>
        <v>0</v>
      </c>
      <c r="AG591" s="29">
        <f t="shared" si="616"/>
        <v>0</v>
      </c>
      <c r="AH591" s="29">
        <f t="shared" si="617"/>
        <v>0</v>
      </c>
      <c r="AI591" s="48" t="s">
        <v>60</v>
      </c>
      <c r="AJ591" s="55">
        <f t="shared" si="618"/>
        <v>0</v>
      </c>
      <c r="AK591" s="55">
        <f t="shared" si="619"/>
        <v>0</v>
      </c>
      <c r="AL591" s="55">
        <f t="shared" si="620"/>
        <v>0</v>
      </c>
      <c r="AN591" s="29">
        <v>15</v>
      </c>
      <c r="AO591" s="29">
        <f t="shared" si="621"/>
        <v>0</v>
      </c>
      <c r="AP591" s="29">
        <f t="shared" si="622"/>
        <v>0</v>
      </c>
      <c r="AQ591" s="51" t="s">
        <v>79</v>
      </c>
      <c r="AV591" s="29">
        <f t="shared" si="623"/>
        <v>0</v>
      </c>
      <c r="AW591" s="29">
        <f t="shared" si="624"/>
        <v>0</v>
      </c>
      <c r="AX591" s="29">
        <f t="shared" si="625"/>
        <v>0</v>
      </c>
      <c r="AY591" s="54" t="s">
        <v>649</v>
      </c>
      <c r="AZ591" s="54" t="s">
        <v>1536</v>
      </c>
      <c r="BA591" s="48" t="s">
        <v>1542</v>
      </c>
      <c r="BC591" s="29">
        <f t="shared" si="626"/>
        <v>0</v>
      </c>
      <c r="BD591" s="29">
        <f t="shared" si="627"/>
        <v>0</v>
      </c>
      <c r="BE591" s="29">
        <v>0</v>
      </c>
      <c r="BF591" s="29">
        <f t="shared" si="628"/>
        <v>0</v>
      </c>
      <c r="BH591" s="55">
        <f t="shared" si="629"/>
        <v>0</v>
      </c>
      <c r="BI591" s="55">
        <f t="shared" si="630"/>
        <v>0</v>
      </c>
      <c r="BJ591" s="55">
        <f t="shared" si="631"/>
        <v>0</v>
      </c>
    </row>
    <row r="592" spans="1:62" ht="12.75">
      <c r="A592" s="36" t="s">
        <v>1831</v>
      </c>
      <c r="B592" s="36" t="s">
        <v>60</v>
      </c>
      <c r="C592" s="36" t="s">
        <v>1180</v>
      </c>
      <c r="D592" s="36" t="s">
        <v>1489</v>
      </c>
      <c r="E592" s="36" t="s">
        <v>606</v>
      </c>
      <c r="F592" s="55">
        <f>'Stavební rozpočet'!F606</f>
        <v>13</v>
      </c>
      <c r="G592" s="55">
        <f>'Stavební rozpočet'!G606</f>
        <v>0</v>
      </c>
      <c r="H592" s="55">
        <f t="shared" si="606"/>
        <v>0</v>
      </c>
      <c r="I592" s="55">
        <f t="shared" si="607"/>
        <v>0</v>
      </c>
      <c r="J592" s="55">
        <f t="shared" si="608"/>
        <v>0</v>
      </c>
      <c r="K592" s="55">
        <f>'Stavební rozpočet'!K606</f>
        <v>0</v>
      </c>
      <c r="L592" s="55">
        <f t="shared" si="609"/>
        <v>0</v>
      </c>
      <c r="M592" s="51" t="s">
        <v>622</v>
      </c>
      <c r="Z592" s="29">
        <f t="shared" si="610"/>
        <v>0</v>
      </c>
      <c r="AB592" s="29">
        <f t="shared" si="611"/>
        <v>0</v>
      </c>
      <c r="AC592" s="29">
        <f t="shared" si="612"/>
        <v>0</v>
      </c>
      <c r="AD592" s="29">
        <f t="shared" si="613"/>
        <v>0</v>
      </c>
      <c r="AE592" s="29">
        <f t="shared" si="614"/>
        <v>0</v>
      </c>
      <c r="AF592" s="29">
        <f t="shared" si="615"/>
        <v>0</v>
      </c>
      <c r="AG592" s="29">
        <f t="shared" si="616"/>
        <v>0</v>
      </c>
      <c r="AH592" s="29">
        <f t="shared" si="617"/>
        <v>0</v>
      </c>
      <c r="AI592" s="48" t="s">
        <v>60</v>
      </c>
      <c r="AJ592" s="55">
        <f t="shared" si="618"/>
        <v>0</v>
      </c>
      <c r="AK592" s="55">
        <f t="shared" si="619"/>
        <v>0</v>
      </c>
      <c r="AL592" s="55">
        <f t="shared" si="620"/>
        <v>0</v>
      </c>
      <c r="AN592" s="29">
        <v>15</v>
      </c>
      <c r="AO592" s="29">
        <f t="shared" si="621"/>
        <v>0</v>
      </c>
      <c r="AP592" s="29">
        <f t="shared" si="622"/>
        <v>0</v>
      </c>
      <c r="AQ592" s="51" t="s">
        <v>79</v>
      </c>
      <c r="AV592" s="29">
        <f t="shared" si="623"/>
        <v>0</v>
      </c>
      <c r="AW592" s="29">
        <f t="shared" si="624"/>
        <v>0</v>
      </c>
      <c r="AX592" s="29">
        <f t="shared" si="625"/>
        <v>0</v>
      </c>
      <c r="AY592" s="54" t="s">
        <v>649</v>
      </c>
      <c r="AZ592" s="54" t="s">
        <v>1536</v>
      </c>
      <c r="BA592" s="48" t="s">
        <v>1542</v>
      </c>
      <c r="BC592" s="29">
        <f t="shared" si="626"/>
        <v>0</v>
      </c>
      <c r="BD592" s="29">
        <f t="shared" si="627"/>
        <v>0</v>
      </c>
      <c r="BE592" s="29">
        <v>0</v>
      </c>
      <c r="BF592" s="29">
        <f t="shared" si="628"/>
        <v>0</v>
      </c>
      <c r="BH592" s="55">
        <f t="shared" si="629"/>
        <v>0</v>
      </c>
      <c r="BI592" s="55">
        <f t="shared" si="630"/>
        <v>0</v>
      </c>
      <c r="BJ592" s="55">
        <f t="shared" si="631"/>
        <v>0</v>
      </c>
    </row>
    <row r="593" spans="1:62" ht="12.75">
      <c r="A593" s="36" t="s">
        <v>1832</v>
      </c>
      <c r="B593" s="36" t="s">
        <v>60</v>
      </c>
      <c r="C593" s="36" t="s">
        <v>1181</v>
      </c>
      <c r="D593" s="36" t="s">
        <v>1490</v>
      </c>
      <c r="E593" s="36" t="s">
        <v>606</v>
      </c>
      <c r="F593" s="55">
        <f>'Stavební rozpočet'!F607</f>
        <v>6</v>
      </c>
      <c r="G593" s="55">
        <f>'Stavební rozpočet'!G607</f>
        <v>0</v>
      </c>
      <c r="H593" s="55">
        <f t="shared" si="606"/>
        <v>0</v>
      </c>
      <c r="I593" s="55">
        <f t="shared" si="607"/>
        <v>0</v>
      </c>
      <c r="J593" s="55">
        <f t="shared" si="608"/>
        <v>0</v>
      </c>
      <c r="K593" s="55">
        <f>'Stavební rozpočet'!K607</f>
        <v>0</v>
      </c>
      <c r="L593" s="55">
        <f t="shared" si="609"/>
        <v>0</v>
      </c>
      <c r="M593" s="51" t="s">
        <v>622</v>
      </c>
      <c r="Z593" s="29">
        <f t="shared" si="610"/>
        <v>0</v>
      </c>
      <c r="AB593" s="29">
        <f t="shared" si="611"/>
        <v>0</v>
      </c>
      <c r="AC593" s="29">
        <f t="shared" si="612"/>
        <v>0</v>
      </c>
      <c r="AD593" s="29">
        <f t="shared" si="613"/>
        <v>0</v>
      </c>
      <c r="AE593" s="29">
        <f t="shared" si="614"/>
        <v>0</v>
      </c>
      <c r="AF593" s="29">
        <f t="shared" si="615"/>
        <v>0</v>
      </c>
      <c r="AG593" s="29">
        <f t="shared" si="616"/>
        <v>0</v>
      </c>
      <c r="AH593" s="29">
        <f t="shared" si="617"/>
        <v>0</v>
      </c>
      <c r="AI593" s="48" t="s">
        <v>60</v>
      </c>
      <c r="AJ593" s="55">
        <f t="shared" si="618"/>
        <v>0</v>
      </c>
      <c r="AK593" s="55">
        <f t="shared" si="619"/>
        <v>0</v>
      </c>
      <c r="AL593" s="55">
        <f t="shared" si="620"/>
        <v>0</v>
      </c>
      <c r="AN593" s="29">
        <v>15</v>
      </c>
      <c r="AO593" s="29">
        <f t="shared" si="621"/>
        <v>0</v>
      </c>
      <c r="AP593" s="29">
        <f t="shared" si="622"/>
        <v>0</v>
      </c>
      <c r="AQ593" s="51" t="s">
        <v>79</v>
      </c>
      <c r="AV593" s="29">
        <f t="shared" si="623"/>
        <v>0</v>
      </c>
      <c r="AW593" s="29">
        <f t="shared" si="624"/>
        <v>0</v>
      </c>
      <c r="AX593" s="29">
        <f t="shared" si="625"/>
        <v>0</v>
      </c>
      <c r="AY593" s="54" t="s">
        <v>649</v>
      </c>
      <c r="AZ593" s="54" t="s">
        <v>1536</v>
      </c>
      <c r="BA593" s="48" t="s">
        <v>1542</v>
      </c>
      <c r="BC593" s="29">
        <f t="shared" si="626"/>
        <v>0</v>
      </c>
      <c r="BD593" s="29">
        <f t="shared" si="627"/>
        <v>0</v>
      </c>
      <c r="BE593" s="29">
        <v>0</v>
      </c>
      <c r="BF593" s="29">
        <f t="shared" si="628"/>
        <v>0</v>
      </c>
      <c r="BH593" s="55">
        <f t="shared" si="629"/>
        <v>0</v>
      </c>
      <c r="BI593" s="55">
        <f t="shared" si="630"/>
        <v>0</v>
      </c>
      <c r="BJ593" s="55">
        <f t="shared" si="631"/>
        <v>0</v>
      </c>
    </row>
    <row r="594" spans="1:62" ht="12.75">
      <c r="A594" s="36" t="s">
        <v>1833</v>
      </c>
      <c r="B594" s="36" t="s">
        <v>60</v>
      </c>
      <c r="C594" s="36" t="s">
        <v>1182</v>
      </c>
      <c r="D594" s="36" t="s">
        <v>1491</v>
      </c>
      <c r="E594" s="36" t="s">
        <v>606</v>
      </c>
      <c r="F594" s="55">
        <f>'Stavební rozpočet'!F608</f>
        <v>0</v>
      </c>
      <c r="G594" s="55">
        <f>'Stavební rozpočet'!G608</f>
        <v>0</v>
      </c>
      <c r="H594" s="55">
        <f aca="true" t="shared" si="632" ref="H594:H625">F594*AO594</f>
        <v>0</v>
      </c>
      <c r="I594" s="55">
        <f aca="true" t="shared" si="633" ref="I594:I625">F594*AP594</f>
        <v>0</v>
      </c>
      <c r="J594" s="55">
        <f aca="true" t="shared" si="634" ref="J594:J625">F594*G594</f>
        <v>0</v>
      </c>
      <c r="K594" s="55">
        <f>'Stavební rozpočet'!K608</f>
        <v>0</v>
      </c>
      <c r="L594" s="55">
        <f aca="true" t="shared" si="635" ref="L594:L625">F594*K594</f>
        <v>0</v>
      </c>
      <c r="M594" s="51" t="s">
        <v>622</v>
      </c>
      <c r="Z594" s="29">
        <f aca="true" t="shared" si="636" ref="Z594:Z625">IF(AQ594="5",BJ594,0)</f>
        <v>0</v>
      </c>
      <c r="AB594" s="29">
        <f aca="true" t="shared" si="637" ref="AB594:AB625">IF(AQ594="1",BH594,0)</f>
        <v>0</v>
      </c>
      <c r="AC594" s="29">
        <f aca="true" t="shared" si="638" ref="AC594:AC625">IF(AQ594="1",BI594,0)</f>
        <v>0</v>
      </c>
      <c r="AD594" s="29">
        <f aca="true" t="shared" si="639" ref="AD594:AD625">IF(AQ594="7",BH594,0)</f>
        <v>0</v>
      </c>
      <c r="AE594" s="29">
        <f aca="true" t="shared" si="640" ref="AE594:AE625">IF(AQ594="7",BI594,0)</f>
        <v>0</v>
      </c>
      <c r="AF594" s="29">
        <f aca="true" t="shared" si="641" ref="AF594:AF625">IF(AQ594="2",BH594,0)</f>
        <v>0</v>
      </c>
      <c r="AG594" s="29">
        <f aca="true" t="shared" si="642" ref="AG594:AG625">IF(AQ594="2",BI594,0)</f>
        <v>0</v>
      </c>
      <c r="AH594" s="29">
        <f aca="true" t="shared" si="643" ref="AH594:AH625">IF(AQ594="0",BJ594,0)</f>
        <v>0</v>
      </c>
      <c r="AI594" s="48" t="s">
        <v>60</v>
      </c>
      <c r="AJ594" s="55">
        <f aca="true" t="shared" si="644" ref="AJ594:AJ625">IF(AN594=0,J594,0)</f>
        <v>0</v>
      </c>
      <c r="AK594" s="55">
        <f aca="true" t="shared" si="645" ref="AK594:AK625">IF(AN594=15,J594,0)</f>
        <v>0</v>
      </c>
      <c r="AL594" s="55">
        <f aca="true" t="shared" si="646" ref="AL594:AL625">IF(AN594=21,J594,0)</f>
        <v>0</v>
      </c>
      <c r="AN594" s="29">
        <v>15</v>
      </c>
      <c r="AO594" s="29">
        <f aca="true" t="shared" si="647" ref="AO594:AO625">G594*0</f>
        <v>0</v>
      </c>
      <c r="AP594" s="29">
        <f aca="true" t="shared" si="648" ref="AP594:AP625">G594*(1-0)</f>
        <v>0</v>
      </c>
      <c r="AQ594" s="51" t="s">
        <v>79</v>
      </c>
      <c r="AV594" s="29">
        <f aca="true" t="shared" si="649" ref="AV594:AV625">AW594+AX594</f>
        <v>0</v>
      </c>
      <c r="AW594" s="29">
        <f aca="true" t="shared" si="650" ref="AW594:AW625">F594*AO594</f>
        <v>0</v>
      </c>
      <c r="AX594" s="29">
        <f aca="true" t="shared" si="651" ref="AX594:AX625">F594*AP594</f>
        <v>0</v>
      </c>
      <c r="AY594" s="54" t="s">
        <v>649</v>
      </c>
      <c r="AZ594" s="54" t="s">
        <v>1536</v>
      </c>
      <c r="BA594" s="48" t="s">
        <v>1542</v>
      </c>
      <c r="BC594" s="29">
        <f aca="true" t="shared" si="652" ref="BC594:BC625">AW594+AX594</f>
        <v>0</v>
      </c>
      <c r="BD594" s="29">
        <f aca="true" t="shared" si="653" ref="BD594:BD625">G594/(100-BE594)*100</f>
        <v>0</v>
      </c>
      <c r="BE594" s="29">
        <v>0</v>
      </c>
      <c r="BF594" s="29">
        <f aca="true" t="shared" si="654" ref="BF594:BF625">L594</f>
        <v>0</v>
      </c>
      <c r="BH594" s="55">
        <f aca="true" t="shared" si="655" ref="BH594:BH625">F594*AO594</f>
        <v>0</v>
      </c>
      <c r="BI594" s="55">
        <f aca="true" t="shared" si="656" ref="BI594:BI625">F594*AP594</f>
        <v>0</v>
      </c>
      <c r="BJ594" s="55">
        <f aca="true" t="shared" si="657" ref="BJ594:BJ625">F594*G594</f>
        <v>0</v>
      </c>
    </row>
    <row r="595" spans="1:62" ht="12.75">
      <c r="A595" s="36" t="s">
        <v>1834</v>
      </c>
      <c r="B595" s="36" t="s">
        <v>60</v>
      </c>
      <c r="C595" s="36" t="s">
        <v>1183</v>
      </c>
      <c r="D595" s="36" t="s">
        <v>1492</v>
      </c>
      <c r="E595" s="36" t="s">
        <v>606</v>
      </c>
      <c r="F595" s="55">
        <f>'Stavební rozpočet'!F609</f>
        <v>7</v>
      </c>
      <c r="G595" s="55">
        <f>'Stavební rozpočet'!G609</f>
        <v>0</v>
      </c>
      <c r="H595" s="55">
        <f t="shared" si="632"/>
        <v>0</v>
      </c>
      <c r="I595" s="55">
        <f t="shared" si="633"/>
        <v>0</v>
      </c>
      <c r="J595" s="55">
        <f t="shared" si="634"/>
        <v>0</v>
      </c>
      <c r="K595" s="55">
        <f>'Stavební rozpočet'!K609</f>
        <v>0</v>
      </c>
      <c r="L595" s="55">
        <f t="shared" si="635"/>
        <v>0</v>
      </c>
      <c r="M595" s="51" t="s">
        <v>622</v>
      </c>
      <c r="Z595" s="29">
        <f t="shared" si="636"/>
        <v>0</v>
      </c>
      <c r="AB595" s="29">
        <f t="shared" si="637"/>
        <v>0</v>
      </c>
      <c r="AC595" s="29">
        <f t="shared" si="638"/>
        <v>0</v>
      </c>
      <c r="AD595" s="29">
        <f t="shared" si="639"/>
        <v>0</v>
      </c>
      <c r="AE595" s="29">
        <f t="shared" si="640"/>
        <v>0</v>
      </c>
      <c r="AF595" s="29">
        <f t="shared" si="641"/>
        <v>0</v>
      </c>
      <c r="AG595" s="29">
        <f t="shared" si="642"/>
        <v>0</v>
      </c>
      <c r="AH595" s="29">
        <f t="shared" si="643"/>
        <v>0</v>
      </c>
      <c r="AI595" s="48" t="s">
        <v>60</v>
      </c>
      <c r="AJ595" s="55">
        <f t="shared" si="644"/>
        <v>0</v>
      </c>
      <c r="AK595" s="55">
        <f t="shared" si="645"/>
        <v>0</v>
      </c>
      <c r="AL595" s="55">
        <f t="shared" si="646"/>
        <v>0</v>
      </c>
      <c r="AN595" s="29">
        <v>15</v>
      </c>
      <c r="AO595" s="29">
        <f t="shared" si="647"/>
        <v>0</v>
      </c>
      <c r="AP595" s="29">
        <f t="shared" si="648"/>
        <v>0</v>
      </c>
      <c r="AQ595" s="51" t="s">
        <v>79</v>
      </c>
      <c r="AV595" s="29">
        <f t="shared" si="649"/>
        <v>0</v>
      </c>
      <c r="AW595" s="29">
        <f t="shared" si="650"/>
        <v>0</v>
      </c>
      <c r="AX595" s="29">
        <f t="shared" si="651"/>
        <v>0</v>
      </c>
      <c r="AY595" s="54" t="s">
        <v>649</v>
      </c>
      <c r="AZ595" s="54" t="s">
        <v>1536</v>
      </c>
      <c r="BA595" s="48" t="s">
        <v>1542</v>
      </c>
      <c r="BC595" s="29">
        <f t="shared" si="652"/>
        <v>0</v>
      </c>
      <c r="BD595" s="29">
        <f t="shared" si="653"/>
        <v>0</v>
      </c>
      <c r="BE595" s="29">
        <v>0</v>
      </c>
      <c r="BF595" s="29">
        <f t="shared" si="654"/>
        <v>0</v>
      </c>
      <c r="BH595" s="55">
        <f t="shared" si="655"/>
        <v>0</v>
      </c>
      <c r="BI595" s="55">
        <f t="shared" si="656"/>
        <v>0</v>
      </c>
      <c r="BJ595" s="55">
        <f t="shared" si="657"/>
        <v>0</v>
      </c>
    </row>
    <row r="596" spans="1:62" ht="12.75">
      <c r="A596" s="36" t="s">
        <v>1835</v>
      </c>
      <c r="B596" s="36" t="s">
        <v>60</v>
      </c>
      <c r="C596" s="36" t="s">
        <v>1184</v>
      </c>
      <c r="D596" s="36" t="s">
        <v>1493</v>
      </c>
      <c r="E596" s="36" t="s">
        <v>606</v>
      </c>
      <c r="F596" s="55">
        <f>'Stavební rozpočet'!F610</f>
        <v>7</v>
      </c>
      <c r="G596" s="55">
        <f>'Stavební rozpočet'!G610</f>
        <v>0</v>
      </c>
      <c r="H596" s="55">
        <f t="shared" si="632"/>
        <v>0</v>
      </c>
      <c r="I596" s="55">
        <f t="shared" si="633"/>
        <v>0</v>
      </c>
      <c r="J596" s="55">
        <f t="shared" si="634"/>
        <v>0</v>
      </c>
      <c r="K596" s="55">
        <f>'Stavební rozpočet'!K610</f>
        <v>0</v>
      </c>
      <c r="L596" s="55">
        <f t="shared" si="635"/>
        <v>0</v>
      </c>
      <c r="M596" s="51" t="s">
        <v>622</v>
      </c>
      <c r="Z596" s="29">
        <f t="shared" si="636"/>
        <v>0</v>
      </c>
      <c r="AB596" s="29">
        <f t="shared" si="637"/>
        <v>0</v>
      </c>
      <c r="AC596" s="29">
        <f t="shared" si="638"/>
        <v>0</v>
      </c>
      <c r="AD596" s="29">
        <f t="shared" si="639"/>
        <v>0</v>
      </c>
      <c r="AE596" s="29">
        <f t="shared" si="640"/>
        <v>0</v>
      </c>
      <c r="AF596" s="29">
        <f t="shared" si="641"/>
        <v>0</v>
      </c>
      <c r="AG596" s="29">
        <f t="shared" si="642"/>
        <v>0</v>
      </c>
      <c r="AH596" s="29">
        <f t="shared" si="643"/>
        <v>0</v>
      </c>
      <c r="AI596" s="48" t="s">
        <v>60</v>
      </c>
      <c r="AJ596" s="55">
        <f t="shared" si="644"/>
        <v>0</v>
      </c>
      <c r="AK596" s="55">
        <f t="shared" si="645"/>
        <v>0</v>
      </c>
      <c r="AL596" s="55">
        <f t="shared" si="646"/>
        <v>0</v>
      </c>
      <c r="AN596" s="29">
        <v>15</v>
      </c>
      <c r="AO596" s="29">
        <f t="shared" si="647"/>
        <v>0</v>
      </c>
      <c r="AP596" s="29">
        <f t="shared" si="648"/>
        <v>0</v>
      </c>
      <c r="AQ596" s="51" t="s">
        <v>79</v>
      </c>
      <c r="AV596" s="29">
        <f t="shared" si="649"/>
        <v>0</v>
      </c>
      <c r="AW596" s="29">
        <f t="shared" si="650"/>
        <v>0</v>
      </c>
      <c r="AX596" s="29">
        <f t="shared" si="651"/>
        <v>0</v>
      </c>
      <c r="AY596" s="54" t="s">
        <v>649</v>
      </c>
      <c r="AZ596" s="54" t="s">
        <v>1536</v>
      </c>
      <c r="BA596" s="48" t="s">
        <v>1542</v>
      </c>
      <c r="BC596" s="29">
        <f t="shared" si="652"/>
        <v>0</v>
      </c>
      <c r="BD596" s="29">
        <f t="shared" si="653"/>
        <v>0</v>
      </c>
      <c r="BE596" s="29">
        <v>0</v>
      </c>
      <c r="BF596" s="29">
        <f t="shared" si="654"/>
        <v>0</v>
      </c>
      <c r="BH596" s="55">
        <f t="shared" si="655"/>
        <v>0</v>
      </c>
      <c r="BI596" s="55">
        <f t="shared" si="656"/>
        <v>0</v>
      </c>
      <c r="BJ596" s="55">
        <f t="shared" si="657"/>
        <v>0</v>
      </c>
    </row>
    <row r="597" spans="1:62" ht="12.75">
      <c r="A597" s="36" t="s">
        <v>1836</v>
      </c>
      <c r="B597" s="36" t="s">
        <v>60</v>
      </c>
      <c r="C597" s="36" t="s">
        <v>1185</v>
      </c>
      <c r="D597" s="36" t="s">
        <v>1494</v>
      </c>
      <c r="E597" s="36" t="s">
        <v>606</v>
      </c>
      <c r="F597" s="55">
        <f>'Stavební rozpočet'!F611</f>
        <v>2</v>
      </c>
      <c r="G597" s="55">
        <f>'Stavební rozpočet'!G611</f>
        <v>0</v>
      </c>
      <c r="H597" s="55">
        <f t="shared" si="632"/>
        <v>0</v>
      </c>
      <c r="I597" s="55">
        <f t="shared" si="633"/>
        <v>0</v>
      </c>
      <c r="J597" s="55">
        <f t="shared" si="634"/>
        <v>0</v>
      </c>
      <c r="K597" s="55">
        <f>'Stavební rozpočet'!K611</f>
        <v>0</v>
      </c>
      <c r="L597" s="55">
        <f t="shared" si="635"/>
        <v>0</v>
      </c>
      <c r="M597" s="51" t="s">
        <v>622</v>
      </c>
      <c r="Z597" s="29">
        <f t="shared" si="636"/>
        <v>0</v>
      </c>
      <c r="AB597" s="29">
        <f t="shared" si="637"/>
        <v>0</v>
      </c>
      <c r="AC597" s="29">
        <f t="shared" si="638"/>
        <v>0</v>
      </c>
      <c r="AD597" s="29">
        <f t="shared" si="639"/>
        <v>0</v>
      </c>
      <c r="AE597" s="29">
        <f t="shared" si="640"/>
        <v>0</v>
      </c>
      <c r="AF597" s="29">
        <f t="shared" si="641"/>
        <v>0</v>
      </c>
      <c r="AG597" s="29">
        <f t="shared" si="642"/>
        <v>0</v>
      </c>
      <c r="AH597" s="29">
        <f t="shared" si="643"/>
        <v>0</v>
      </c>
      <c r="AI597" s="48" t="s">
        <v>60</v>
      </c>
      <c r="AJ597" s="55">
        <f t="shared" si="644"/>
        <v>0</v>
      </c>
      <c r="AK597" s="55">
        <f t="shared" si="645"/>
        <v>0</v>
      </c>
      <c r="AL597" s="55">
        <f t="shared" si="646"/>
        <v>0</v>
      </c>
      <c r="AN597" s="29">
        <v>15</v>
      </c>
      <c r="AO597" s="29">
        <f t="shared" si="647"/>
        <v>0</v>
      </c>
      <c r="AP597" s="29">
        <f t="shared" si="648"/>
        <v>0</v>
      </c>
      <c r="AQ597" s="51" t="s">
        <v>79</v>
      </c>
      <c r="AV597" s="29">
        <f t="shared" si="649"/>
        <v>0</v>
      </c>
      <c r="AW597" s="29">
        <f t="shared" si="650"/>
        <v>0</v>
      </c>
      <c r="AX597" s="29">
        <f t="shared" si="651"/>
        <v>0</v>
      </c>
      <c r="AY597" s="54" t="s">
        <v>649</v>
      </c>
      <c r="AZ597" s="54" t="s">
        <v>1536</v>
      </c>
      <c r="BA597" s="48" t="s">
        <v>1542</v>
      </c>
      <c r="BC597" s="29">
        <f t="shared" si="652"/>
        <v>0</v>
      </c>
      <c r="BD597" s="29">
        <f t="shared" si="653"/>
        <v>0</v>
      </c>
      <c r="BE597" s="29">
        <v>0</v>
      </c>
      <c r="BF597" s="29">
        <f t="shared" si="654"/>
        <v>0</v>
      </c>
      <c r="BH597" s="55">
        <f t="shared" si="655"/>
        <v>0</v>
      </c>
      <c r="BI597" s="55">
        <f t="shared" si="656"/>
        <v>0</v>
      </c>
      <c r="BJ597" s="55">
        <f t="shared" si="657"/>
        <v>0</v>
      </c>
    </row>
    <row r="598" spans="1:62" ht="12.75">
      <c r="A598" s="36" t="s">
        <v>1837</v>
      </c>
      <c r="B598" s="36" t="s">
        <v>60</v>
      </c>
      <c r="C598" s="36" t="s">
        <v>1186</v>
      </c>
      <c r="D598" s="36" t="s">
        <v>1495</v>
      </c>
      <c r="E598" s="36" t="s">
        <v>606</v>
      </c>
      <c r="F598" s="55">
        <f>'Stavební rozpočet'!F612</f>
        <v>1</v>
      </c>
      <c r="G598" s="55">
        <f>'Stavební rozpočet'!G612</f>
        <v>0</v>
      </c>
      <c r="H598" s="55">
        <f t="shared" si="632"/>
        <v>0</v>
      </c>
      <c r="I598" s="55">
        <f t="shared" si="633"/>
        <v>0</v>
      </c>
      <c r="J598" s="55">
        <f t="shared" si="634"/>
        <v>0</v>
      </c>
      <c r="K598" s="55">
        <f>'Stavební rozpočet'!K612</f>
        <v>0</v>
      </c>
      <c r="L598" s="55">
        <f t="shared" si="635"/>
        <v>0</v>
      </c>
      <c r="M598" s="51" t="s">
        <v>622</v>
      </c>
      <c r="Z598" s="29">
        <f t="shared" si="636"/>
        <v>0</v>
      </c>
      <c r="AB598" s="29">
        <f t="shared" si="637"/>
        <v>0</v>
      </c>
      <c r="AC598" s="29">
        <f t="shared" si="638"/>
        <v>0</v>
      </c>
      <c r="AD598" s="29">
        <f t="shared" si="639"/>
        <v>0</v>
      </c>
      <c r="AE598" s="29">
        <f t="shared" si="640"/>
        <v>0</v>
      </c>
      <c r="AF598" s="29">
        <f t="shared" si="641"/>
        <v>0</v>
      </c>
      <c r="AG598" s="29">
        <f t="shared" si="642"/>
        <v>0</v>
      </c>
      <c r="AH598" s="29">
        <f t="shared" si="643"/>
        <v>0</v>
      </c>
      <c r="AI598" s="48" t="s">
        <v>60</v>
      </c>
      <c r="AJ598" s="55">
        <f t="shared" si="644"/>
        <v>0</v>
      </c>
      <c r="AK598" s="55">
        <f t="shared" si="645"/>
        <v>0</v>
      </c>
      <c r="AL598" s="55">
        <f t="shared" si="646"/>
        <v>0</v>
      </c>
      <c r="AN598" s="29">
        <v>15</v>
      </c>
      <c r="AO598" s="29">
        <f t="shared" si="647"/>
        <v>0</v>
      </c>
      <c r="AP598" s="29">
        <f t="shared" si="648"/>
        <v>0</v>
      </c>
      <c r="AQ598" s="51" t="s">
        <v>79</v>
      </c>
      <c r="AV598" s="29">
        <f t="shared" si="649"/>
        <v>0</v>
      </c>
      <c r="AW598" s="29">
        <f t="shared" si="650"/>
        <v>0</v>
      </c>
      <c r="AX598" s="29">
        <f t="shared" si="651"/>
        <v>0</v>
      </c>
      <c r="AY598" s="54" t="s">
        <v>649</v>
      </c>
      <c r="AZ598" s="54" t="s">
        <v>1536</v>
      </c>
      <c r="BA598" s="48" t="s">
        <v>1542</v>
      </c>
      <c r="BC598" s="29">
        <f t="shared" si="652"/>
        <v>0</v>
      </c>
      <c r="BD598" s="29">
        <f t="shared" si="653"/>
        <v>0</v>
      </c>
      <c r="BE598" s="29">
        <v>0</v>
      </c>
      <c r="BF598" s="29">
        <f t="shared" si="654"/>
        <v>0</v>
      </c>
      <c r="BH598" s="55">
        <f t="shared" si="655"/>
        <v>0</v>
      </c>
      <c r="BI598" s="55">
        <f t="shared" si="656"/>
        <v>0</v>
      </c>
      <c r="BJ598" s="55">
        <f t="shared" si="657"/>
        <v>0</v>
      </c>
    </row>
    <row r="599" spans="1:62" ht="12.75">
      <c r="A599" s="36" t="s">
        <v>1838</v>
      </c>
      <c r="B599" s="36" t="s">
        <v>60</v>
      </c>
      <c r="C599" s="36" t="s">
        <v>1187</v>
      </c>
      <c r="D599" s="36" t="s">
        <v>1496</v>
      </c>
      <c r="E599" s="36" t="s">
        <v>606</v>
      </c>
      <c r="F599" s="55">
        <f>'Stavební rozpočet'!F613</f>
        <v>1</v>
      </c>
      <c r="G599" s="55">
        <f>'Stavební rozpočet'!G613</f>
        <v>0</v>
      </c>
      <c r="H599" s="55">
        <f t="shared" si="632"/>
        <v>0</v>
      </c>
      <c r="I599" s="55">
        <f t="shared" si="633"/>
        <v>0</v>
      </c>
      <c r="J599" s="55">
        <f t="shared" si="634"/>
        <v>0</v>
      </c>
      <c r="K599" s="55">
        <f>'Stavební rozpočet'!K613</f>
        <v>0</v>
      </c>
      <c r="L599" s="55">
        <f t="shared" si="635"/>
        <v>0</v>
      </c>
      <c r="M599" s="51" t="s">
        <v>622</v>
      </c>
      <c r="Z599" s="29">
        <f t="shared" si="636"/>
        <v>0</v>
      </c>
      <c r="AB599" s="29">
        <f t="shared" si="637"/>
        <v>0</v>
      </c>
      <c r="AC599" s="29">
        <f t="shared" si="638"/>
        <v>0</v>
      </c>
      <c r="AD599" s="29">
        <f t="shared" si="639"/>
        <v>0</v>
      </c>
      <c r="AE599" s="29">
        <f t="shared" si="640"/>
        <v>0</v>
      </c>
      <c r="AF599" s="29">
        <f t="shared" si="641"/>
        <v>0</v>
      </c>
      <c r="AG599" s="29">
        <f t="shared" si="642"/>
        <v>0</v>
      </c>
      <c r="AH599" s="29">
        <f t="shared" si="643"/>
        <v>0</v>
      </c>
      <c r="AI599" s="48" t="s">
        <v>60</v>
      </c>
      <c r="AJ599" s="55">
        <f t="shared" si="644"/>
        <v>0</v>
      </c>
      <c r="AK599" s="55">
        <f t="shared" si="645"/>
        <v>0</v>
      </c>
      <c r="AL599" s="55">
        <f t="shared" si="646"/>
        <v>0</v>
      </c>
      <c r="AN599" s="29">
        <v>15</v>
      </c>
      <c r="AO599" s="29">
        <f t="shared" si="647"/>
        <v>0</v>
      </c>
      <c r="AP599" s="29">
        <f t="shared" si="648"/>
        <v>0</v>
      </c>
      <c r="AQ599" s="51" t="s">
        <v>79</v>
      </c>
      <c r="AV599" s="29">
        <f t="shared" si="649"/>
        <v>0</v>
      </c>
      <c r="AW599" s="29">
        <f t="shared" si="650"/>
        <v>0</v>
      </c>
      <c r="AX599" s="29">
        <f t="shared" si="651"/>
        <v>0</v>
      </c>
      <c r="AY599" s="54" t="s">
        <v>649</v>
      </c>
      <c r="AZ599" s="54" t="s">
        <v>1536</v>
      </c>
      <c r="BA599" s="48" t="s">
        <v>1542</v>
      </c>
      <c r="BC599" s="29">
        <f t="shared" si="652"/>
        <v>0</v>
      </c>
      <c r="BD599" s="29">
        <f t="shared" si="653"/>
        <v>0</v>
      </c>
      <c r="BE599" s="29">
        <v>0</v>
      </c>
      <c r="BF599" s="29">
        <f t="shared" si="654"/>
        <v>0</v>
      </c>
      <c r="BH599" s="55">
        <f t="shared" si="655"/>
        <v>0</v>
      </c>
      <c r="BI599" s="55">
        <f t="shared" si="656"/>
        <v>0</v>
      </c>
      <c r="BJ599" s="55">
        <f t="shared" si="657"/>
        <v>0</v>
      </c>
    </row>
    <row r="600" spans="1:62" ht="12.75">
      <c r="A600" s="36" t="s">
        <v>1839</v>
      </c>
      <c r="B600" s="36" t="s">
        <v>60</v>
      </c>
      <c r="C600" s="36" t="s">
        <v>1188</v>
      </c>
      <c r="D600" s="36" t="s">
        <v>1497</v>
      </c>
      <c r="E600" s="36" t="s">
        <v>606</v>
      </c>
      <c r="F600" s="55">
        <f>'Stavební rozpočet'!F614</f>
        <v>1</v>
      </c>
      <c r="G600" s="55">
        <f>'Stavební rozpočet'!G614</f>
        <v>0</v>
      </c>
      <c r="H600" s="55">
        <f t="shared" si="632"/>
        <v>0</v>
      </c>
      <c r="I600" s="55">
        <f t="shared" si="633"/>
        <v>0</v>
      </c>
      <c r="J600" s="55">
        <f t="shared" si="634"/>
        <v>0</v>
      </c>
      <c r="K600" s="55">
        <f>'Stavební rozpočet'!K614</f>
        <v>0</v>
      </c>
      <c r="L600" s="55">
        <f t="shared" si="635"/>
        <v>0</v>
      </c>
      <c r="M600" s="51" t="s">
        <v>622</v>
      </c>
      <c r="Z600" s="29">
        <f t="shared" si="636"/>
        <v>0</v>
      </c>
      <c r="AB600" s="29">
        <f t="shared" si="637"/>
        <v>0</v>
      </c>
      <c r="AC600" s="29">
        <f t="shared" si="638"/>
        <v>0</v>
      </c>
      <c r="AD600" s="29">
        <f t="shared" si="639"/>
        <v>0</v>
      </c>
      <c r="AE600" s="29">
        <f t="shared" si="640"/>
        <v>0</v>
      </c>
      <c r="AF600" s="29">
        <f t="shared" si="641"/>
        <v>0</v>
      </c>
      <c r="AG600" s="29">
        <f t="shared" si="642"/>
        <v>0</v>
      </c>
      <c r="AH600" s="29">
        <f t="shared" si="643"/>
        <v>0</v>
      </c>
      <c r="AI600" s="48" t="s">
        <v>60</v>
      </c>
      <c r="AJ600" s="55">
        <f t="shared" si="644"/>
        <v>0</v>
      </c>
      <c r="AK600" s="55">
        <f t="shared" si="645"/>
        <v>0</v>
      </c>
      <c r="AL600" s="55">
        <f t="shared" si="646"/>
        <v>0</v>
      </c>
      <c r="AN600" s="29">
        <v>15</v>
      </c>
      <c r="AO600" s="29">
        <f t="shared" si="647"/>
        <v>0</v>
      </c>
      <c r="AP600" s="29">
        <f t="shared" si="648"/>
        <v>0</v>
      </c>
      <c r="AQ600" s="51" t="s">
        <v>79</v>
      </c>
      <c r="AV600" s="29">
        <f t="shared" si="649"/>
        <v>0</v>
      </c>
      <c r="AW600" s="29">
        <f t="shared" si="650"/>
        <v>0</v>
      </c>
      <c r="AX600" s="29">
        <f t="shared" si="651"/>
        <v>0</v>
      </c>
      <c r="AY600" s="54" t="s">
        <v>649</v>
      </c>
      <c r="AZ600" s="54" t="s">
        <v>1536</v>
      </c>
      <c r="BA600" s="48" t="s">
        <v>1542</v>
      </c>
      <c r="BC600" s="29">
        <f t="shared" si="652"/>
        <v>0</v>
      </c>
      <c r="BD600" s="29">
        <f t="shared" si="653"/>
        <v>0</v>
      </c>
      <c r="BE600" s="29">
        <v>0</v>
      </c>
      <c r="BF600" s="29">
        <f t="shared" si="654"/>
        <v>0</v>
      </c>
      <c r="BH600" s="55">
        <f t="shared" si="655"/>
        <v>0</v>
      </c>
      <c r="BI600" s="55">
        <f t="shared" si="656"/>
        <v>0</v>
      </c>
      <c r="BJ600" s="55">
        <f t="shared" si="657"/>
        <v>0</v>
      </c>
    </row>
    <row r="601" spans="1:62" ht="12.75">
      <c r="A601" s="36" t="s">
        <v>1840</v>
      </c>
      <c r="B601" s="36" t="s">
        <v>60</v>
      </c>
      <c r="C601" s="36" t="s">
        <v>1189</v>
      </c>
      <c r="D601" s="36" t="s">
        <v>1498</v>
      </c>
      <c r="E601" s="36" t="s">
        <v>606</v>
      </c>
      <c r="F601" s="55">
        <f>'Stavební rozpočet'!F615</f>
        <v>1</v>
      </c>
      <c r="G601" s="55">
        <f>'Stavební rozpočet'!G615</f>
        <v>0</v>
      </c>
      <c r="H601" s="55">
        <f t="shared" si="632"/>
        <v>0</v>
      </c>
      <c r="I601" s="55">
        <f t="shared" si="633"/>
        <v>0</v>
      </c>
      <c r="J601" s="55">
        <f t="shared" si="634"/>
        <v>0</v>
      </c>
      <c r="K601" s="55">
        <f>'Stavební rozpočet'!K615</f>
        <v>0</v>
      </c>
      <c r="L601" s="55">
        <f t="shared" si="635"/>
        <v>0</v>
      </c>
      <c r="M601" s="51" t="s">
        <v>622</v>
      </c>
      <c r="Z601" s="29">
        <f t="shared" si="636"/>
        <v>0</v>
      </c>
      <c r="AB601" s="29">
        <f t="shared" si="637"/>
        <v>0</v>
      </c>
      <c r="AC601" s="29">
        <f t="shared" si="638"/>
        <v>0</v>
      </c>
      <c r="AD601" s="29">
        <f t="shared" si="639"/>
        <v>0</v>
      </c>
      <c r="AE601" s="29">
        <f t="shared" si="640"/>
        <v>0</v>
      </c>
      <c r="AF601" s="29">
        <f t="shared" si="641"/>
        <v>0</v>
      </c>
      <c r="AG601" s="29">
        <f t="shared" si="642"/>
        <v>0</v>
      </c>
      <c r="AH601" s="29">
        <f t="shared" si="643"/>
        <v>0</v>
      </c>
      <c r="AI601" s="48" t="s">
        <v>60</v>
      </c>
      <c r="AJ601" s="55">
        <f t="shared" si="644"/>
        <v>0</v>
      </c>
      <c r="AK601" s="55">
        <f t="shared" si="645"/>
        <v>0</v>
      </c>
      <c r="AL601" s="55">
        <f t="shared" si="646"/>
        <v>0</v>
      </c>
      <c r="AN601" s="29">
        <v>15</v>
      </c>
      <c r="AO601" s="29">
        <f t="shared" si="647"/>
        <v>0</v>
      </c>
      <c r="AP601" s="29">
        <f t="shared" si="648"/>
        <v>0</v>
      </c>
      <c r="AQ601" s="51" t="s">
        <v>79</v>
      </c>
      <c r="AV601" s="29">
        <f t="shared" si="649"/>
        <v>0</v>
      </c>
      <c r="AW601" s="29">
        <f t="shared" si="650"/>
        <v>0</v>
      </c>
      <c r="AX601" s="29">
        <f t="shared" si="651"/>
        <v>0</v>
      </c>
      <c r="AY601" s="54" t="s">
        <v>649</v>
      </c>
      <c r="AZ601" s="54" t="s">
        <v>1536</v>
      </c>
      <c r="BA601" s="48" t="s">
        <v>1542</v>
      </c>
      <c r="BC601" s="29">
        <f t="shared" si="652"/>
        <v>0</v>
      </c>
      <c r="BD601" s="29">
        <f t="shared" si="653"/>
        <v>0</v>
      </c>
      <c r="BE601" s="29">
        <v>0</v>
      </c>
      <c r="BF601" s="29">
        <f t="shared" si="654"/>
        <v>0</v>
      </c>
      <c r="BH601" s="55">
        <f t="shared" si="655"/>
        <v>0</v>
      </c>
      <c r="BI601" s="55">
        <f t="shared" si="656"/>
        <v>0</v>
      </c>
      <c r="BJ601" s="55">
        <f t="shared" si="657"/>
        <v>0</v>
      </c>
    </row>
    <row r="602" spans="1:62" ht="12.75">
      <c r="A602" s="36" t="s">
        <v>1841</v>
      </c>
      <c r="B602" s="36" t="s">
        <v>60</v>
      </c>
      <c r="C602" s="36" t="s">
        <v>1190</v>
      </c>
      <c r="D602" s="36" t="s">
        <v>1499</v>
      </c>
      <c r="E602" s="36" t="s">
        <v>606</v>
      </c>
      <c r="F602" s="55">
        <f>'Stavební rozpočet'!F616</f>
        <v>2</v>
      </c>
      <c r="G602" s="55">
        <f>'Stavební rozpočet'!G616</f>
        <v>0</v>
      </c>
      <c r="H602" s="55">
        <f t="shared" si="632"/>
        <v>0</v>
      </c>
      <c r="I602" s="55">
        <f t="shared" si="633"/>
        <v>0</v>
      </c>
      <c r="J602" s="55">
        <f t="shared" si="634"/>
        <v>0</v>
      </c>
      <c r="K602" s="55">
        <f>'Stavební rozpočet'!K616</f>
        <v>0</v>
      </c>
      <c r="L602" s="55">
        <f t="shared" si="635"/>
        <v>0</v>
      </c>
      <c r="M602" s="51" t="s">
        <v>622</v>
      </c>
      <c r="Z602" s="29">
        <f t="shared" si="636"/>
        <v>0</v>
      </c>
      <c r="AB602" s="29">
        <f t="shared" si="637"/>
        <v>0</v>
      </c>
      <c r="AC602" s="29">
        <f t="shared" si="638"/>
        <v>0</v>
      </c>
      <c r="AD602" s="29">
        <f t="shared" si="639"/>
        <v>0</v>
      </c>
      <c r="AE602" s="29">
        <f t="shared" si="640"/>
        <v>0</v>
      </c>
      <c r="AF602" s="29">
        <f t="shared" si="641"/>
        <v>0</v>
      </c>
      <c r="AG602" s="29">
        <f t="shared" si="642"/>
        <v>0</v>
      </c>
      <c r="AH602" s="29">
        <f t="shared" si="643"/>
        <v>0</v>
      </c>
      <c r="AI602" s="48" t="s">
        <v>60</v>
      </c>
      <c r="AJ602" s="55">
        <f t="shared" si="644"/>
        <v>0</v>
      </c>
      <c r="AK602" s="55">
        <f t="shared" si="645"/>
        <v>0</v>
      </c>
      <c r="AL602" s="55">
        <f t="shared" si="646"/>
        <v>0</v>
      </c>
      <c r="AN602" s="29">
        <v>15</v>
      </c>
      <c r="AO602" s="29">
        <f t="shared" si="647"/>
        <v>0</v>
      </c>
      <c r="AP602" s="29">
        <f t="shared" si="648"/>
        <v>0</v>
      </c>
      <c r="AQ602" s="51" t="s">
        <v>79</v>
      </c>
      <c r="AV602" s="29">
        <f t="shared" si="649"/>
        <v>0</v>
      </c>
      <c r="AW602" s="29">
        <f t="shared" si="650"/>
        <v>0</v>
      </c>
      <c r="AX602" s="29">
        <f t="shared" si="651"/>
        <v>0</v>
      </c>
      <c r="AY602" s="54" t="s">
        <v>649</v>
      </c>
      <c r="AZ602" s="54" t="s">
        <v>1536</v>
      </c>
      <c r="BA602" s="48" t="s">
        <v>1542</v>
      </c>
      <c r="BC602" s="29">
        <f t="shared" si="652"/>
        <v>0</v>
      </c>
      <c r="BD602" s="29">
        <f t="shared" si="653"/>
        <v>0</v>
      </c>
      <c r="BE602" s="29">
        <v>0</v>
      </c>
      <c r="BF602" s="29">
        <f t="shared" si="654"/>
        <v>0</v>
      </c>
      <c r="BH602" s="55">
        <f t="shared" si="655"/>
        <v>0</v>
      </c>
      <c r="BI602" s="55">
        <f t="shared" si="656"/>
        <v>0</v>
      </c>
      <c r="BJ602" s="55">
        <f t="shared" si="657"/>
        <v>0</v>
      </c>
    </row>
    <row r="603" spans="1:62" ht="12.75">
      <c r="A603" s="36" t="s">
        <v>1842</v>
      </c>
      <c r="B603" s="36" t="s">
        <v>60</v>
      </c>
      <c r="C603" s="36" t="s">
        <v>1191</v>
      </c>
      <c r="D603" s="36" t="s">
        <v>1499</v>
      </c>
      <c r="E603" s="36" t="s">
        <v>606</v>
      </c>
      <c r="F603" s="55">
        <f>'Stavební rozpočet'!F617</f>
        <v>2</v>
      </c>
      <c r="G603" s="55">
        <f>'Stavební rozpočet'!G617</f>
        <v>0</v>
      </c>
      <c r="H603" s="55">
        <f t="shared" si="632"/>
        <v>0</v>
      </c>
      <c r="I603" s="55">
        <f t="shared" si="633"/>
        <v>0</v>
      </c>
      <c r="J603" s="55">
        <f t="shared" si="634"/>
        <v>0</v>
      </c>
      <c r="K603" s="55">
        <f>'Stavební rozpočet'!K617</f>
        <v>0</v>
      </c>
      <c r="L603" s="55">
        <f t="shared" si="635"/>
        <v>0</v>
      </c>
      <c r="M603" s="51" t="s">
        <v>622</v>
      </c>
      <c r="Z603" s="29">
        <f t="shared" si="636"/>
        <v>0</v>
      </c>
      <c r="AB603" s="29">
        <f t="shared" si="637"/>
        <v>0</v>
      </c>
      <c r="AC603" s="29">
        <f t="shared" si="638"/>
        <v>0</v>
      </c>
      <c r="AD603" s="29">
        <f t="shared" si="639"/>
        <v>0</v>
      </c>
      <c r="AE603" s="29">
        <f t="shared" si="640"/>
        <v>0</v>
      </c>
      <c r="AF603" s="29">
        <f t="shared" si="641"/>
        <v>0</v>
      </c>
      <c r="AG603" s="29">
        <f t="shared" si="642"/>
        <v>0</v>
      </c>
      <c r="AH603" s="29">
        <f t="shared" si="643"/>
        <v>0</v>
      </c>
      <c r="AI603" s="48" t="s">
        <v>60</v>
      </c>
      <c r="AJ603" s="55">
        <f t="shared" si="644"/>
        <v>0</v>
      </c>
      <c r="AK603" s="55">
        <f t="shared" si="645"/>
        <v>0</v>
      </c>
      <c r="AL603" s="55">
        <f t="shared" si="646"/>
        <v>0</v>
      </c>
      <c r="AN603" s="29">
        <v>15</v>
      </c>
      <c r="AO603" s="29">
        <f t="shared" si="647"/>
        <v>0</v>
      </c>
      <c r="AP603" s="29">
        <f t="shared" si="648"/>
        <v>0</v>
      </c>
      <c r="AQ603" s="51" t="s">
        <v>79</v>
      </c>
      <c r="AV603" s="29">
        <f t="shared" si="649"/>
        <v>0</v>
      </c>
      <c r="AW603" s="29">
        <f t="shared" si="650"/>
        <v>0</v>
      </c>
      <c r="AX603" s="29">
        <f t="shared" si="651"/>
        <v>0</v>
      </c>
      <c r="AY603" s="54" t="s">
        <v>649</v>
      </c>
      <c r="AZ603" s="54" t="s">
        <v>1536</v>
      </c>
      <c r="BA603" s="48" t="s">
        <v>1542</v>
      </c>
      <c r="BC603" s="29">
        <f t="shared" si="652"/>
        <v>0</v>
      </c>
      <c r="BD603" s="29">
        <f t="shared" si="653"/>
        <v>0</v>
      </c>
      <c r="BE603" s="29">
        <v>0</v>
      </c>
      <c r="BF603" s="29">
        <f t="shared" si="654"/>
        <v>0</v>
      </c>
      <c r="BH603" s="55">
        <f t="shared" si="655"/>
        <v>0</v>
      </c>
      <c r="BI603" s="55">
        <f t="shared" si="656"/>
        <v>0</v>
      </c>
      <c r="BJ603" s="55">
        <f t="shared" si="657"/>
        <v>0</v>
      </c>
    </row>
    <row r="604" spans="1:62" ht="12.75">
      <c r="A604" s="36" t="s">
        <v>1843</v>
      </c>
      <c r="B604" s="36" t="s">
        <v>60</v>
      </c>
      <c r="C604" s="36" t="s">
        <v>1192</v>
      </c>
      <c r="D604" s="36" t="s">
        <v>1500</v>
      </c>
      <c r="E604" s="36" t="s">
        <v>606</v>
      </c>
      <c r="F604" s="55">
        <f>'Stavební rozpočet'!F618</f>
        <v>2</v>
      </c>
      <c r="G604" s="55">
        <f>'Stavební rozpočet'!G618</f>
        <v>0</v>
      </c>
      <c r="H604" s="55">
        <f t="shared" si="632"/>
        <v>0</v>
      </c>
      <c r="I604" s="55">
        <f t="shared" si="633"/>
        <v>0</v>
      </c>
      <c r="J604" s="55">
        <f t="shared" si="634"/>
        <v>0</v>
      </c>
      <c r="K604" s="55">
        <f>'Stavební rozpočet'!K618</f>
        <v>0</v>
      </c>
      <c r="L604" s="55">
        <f t="shared" si="635"/>
        <v>0</v>
      </c>
      <c r="M604" s="51" t="s">
        <v>622</v>
      </c>
      <c r="Z604" s="29">
        <f t="shared" si="636"/>
        <v>0</v>
      </c>
      <c r="AB604" s="29">
        <f t="shared" si="637"/>
        <v>0</v>
      </c>
      <c r="AC604" s="29">
        <f t="shared" si="638"/>
        <v>0</v>
      </c>
      <c r="AD604" s="29">
        <f t="shared" si="639"/>
        <v>0</v>
      </c>
      <c r="AE604" s="29">
        <f t="shared" si="640"/>
        <v>0</v>
      </c>
      <c r="AF604" s="29">
        <f t="shared" si="641"/>
        <v>0</v>
      </c>
      <c r="AG604" s="29">
        <f t="shared" si="642"/>
        <v>0</v>
      </c>
      <c r="AH604" s="29">
        <f t="shared" si="643"/>
        <v>0</v>
      </c>
      <c r="AI604" s="48" t="s">
        <v>60</v>
      </c>
      <c r="AJ604" s="55">
        <f t="shared" si="644"/>
        <v>0</v>
      </c>
      <c r="AK604" s="55">
        <f t="shared" si="645"/>
        <v>0</v>
      </c>
      <c r="AL604" s="55">
        <f t="shared" si="646"/>
        <v>0</v>
      </c>
      <c r="AN604" s="29">
        <v>15</v>
      </c>
      <c r="AO604" s="29">
        <f t="shared" si="647"/>
        <v>0</v>
      </c>
      <c r="AP604" s="29">
        <f t="shared" si="648"/>
        <v>0</v>
      </c>
      <c r="AQ604" s="51" t="s">
        <v>79</v>
      </c>
      <c r="AV604" s="29">
        <f t="shared" si="649"/>
        <v>0</v>
      </c>
      <c r="AW604" s="29">
        <f t="shared" si="650"/>
        <v>0</v>
      </c>
      <c r="AX604" s="29">
        <f t="shared" si="651"/>
        <v>0</v>
      </c>
      <c r="AY604" s="54" t="s">
        <v>649</v>
      </c>
      <c r="AZ604" s="54" t="s">
        <v>1536</v>
      </c>
      <c r="BA604" s="48" t="s">
        <v>1542</v>
      </c>
      <c r="BC604" s="29">
        <f t="shared" si="652"/>
        <v>0</v>
      </c>
      <c r="BD604" s="29">
        <f t="shared" si="653"/>
        <v>0</v>
      </c>
      <c r="BE604" s="29">
        <v>0</v>
      </c>
      <c r="BF604" s="29">
        <f t="shared" si="654"/>
        <v>0</v>
      </c>
      <c r="BH604" s="55">
        <f t="shared" si="655"/>
        <v>0</v>
      </c>
      <c r="BI604" s="55">
        <f t="shared" si="656"/>
        <v>0</v>
      </c>
      <c r="BJ604" s="55">
        <f t="shared" si="657"/>
        <v>0</v>
      </c>
    </row>
    <row r="605" spans="1:62" ht="12.75">
      <c r="A605" s="36" t="s">
        <v>1844</v>
      </c>
      <c r="B605" s="36" t="s">
        <v>60</v>
      </c>
      <c r="C605" s="36" t="s">
        <v>1193</v>
      </c>
      <c r="D605" s="36" t="s">
        <v>1500</v>
      </c>
      <c r="E605" s="36" t="s">
        <v>606</v>
      </c>
      <c r="F605" s="55">
        <f>'Stavební rozpočet'!F619</f>
        <v>2</v>
      </c>
      <c r="G605" s="55">
        <f>'Stavební rozpočet'!G619</f>
        <v>0</v>
      </c>
      <c r="H605" s="55">
        <f t="shared" si="632"/>
        <v>0</v>
      </c>
      <c r="I605" s="55">
        <f t="shared" si="633"/>
        <v>0</v>
      </c>
      <c r="J605" s="55">
        <f t="shared" si="634"/>
        <v>0</v>
      </c>
      <c r="K605" s="55">
        <f>'Stavební rozpočet'!K619</f>
        <v>0</v>
      </c>
      <c r="L605" s="55">
        <f t="shared" si="635"/>
        <v>0</v>
      </c>
      <c r="M605" s="51" t="s">
        <v>622</v>
      </c>
      <c r="Z605" s="29">
        <f t="shared" si="636"/>
        <v>0</v>
      </c>
      <c r="AB605" s="29">
        <f t="shared" si="637"/>
        <v>0</v>
      </c>
      <c r="AC605" s="29">
        <f t="shared" si="638"/>
        <v>0</v>
      </c>
      <c r="AD605" s="29">
        <f t="shared" si="639"/>
        <v>0</v>
      </c>
      <c r="AE605" s="29">
        <f t="shared" si="640"/>
        <v>0</v>
      </c>
      <c r="AF605" s="29">
        <f t="shared" si="641"/>
        <v>0</v>
      </c>
      <c r="AG605" s="29">
        <f t="shared" si="642"/>
        <v>0</v>
      </c>
      <c r="AH605" s="29">
        <f t="shared" si="643"/>
        <v>0</v>
      </c>
      <c r="AI605" s="48" t="s">
        <v>60</v>
      </c>
      <c r="AJ605" s="55">
        <f t="shared" si="644"/>
        <v>0</v>
      </c>
      <c r="AK605" s="55">
        <f t="shared" si="645"/>
        <v>0</v>
      </c>
      <c r="AL605" s="55">
        <f t="shared" si="646"/>
        <v>0</v>
      </c>
      <c r="AN605" s="29">
        <v>15</v>
      </c>
      <c r="AO605" s="29">
        <f t="shared" si="647"/>
        <v>0</v>
      </c>
      <c r="AP605" s="29">
        <f t="shared" si="648"/>
        <v>0</v>
      </c>
      <c r="AQ605" s="51" t="s">
        <v>79</v>
      </c>
      <c r="AV605" s="29">
        <f t="shared" si="649"/>
        <v>0</v>
      </c>
      <c r="AW605" s="29">
        <f t="shared" si="650"/>
        <v>0</v>
      </c>
      <c r="AX605" s="29">
        <f t="shared" si="651"/>
        <v>0</v>
      </c>
      <c r="AY605" s="54" t="s">
        <v>649</v>
      </c>
      <c r="AZ605" s="54" t="s">
        <v>1536</v>
      </c>
      <c r="BA605" s="48" t="s">
        <v>1542</v>
      </c>
      <c r="BC605" s="29">
        <f t="shared" si="652"/>
        <v>0</v>
      </c>
      <c r="BD605" s="29">
        <f t="shared" si="653"/>
        <v>0</v>
      </c>
      <c r="BE605" s="29">
        <v>0</v>
      </c>
      <c r="BF605" s="29">
        <f t="shared" si="654"/>
        <v>0</v>
      </c>
      <c r="BH605" s="55">
        <f t="shared" si="655"/>
        <v>0</v>
      </c>
      <c r="BI605" s="55">
        <f t="shared" si="656"/>
        <v>0</v>
      </c>
      <c r="BJ605" s="55">
        <f t="shared" si="657"/>
        <v>0</v>
      </c>
    </row>
    <row r="606" spans="1:62" ht="12.75">
      <c r="A606" s="36" t="s">
        <v>1845</v>
      </c>
      <c r="B606" s="36" t="s">
        <v>60</v>
      </c>
      <c r="C606" s="36" t="s">
        <v>1194</v>
      </c>
      <c r="D606" s="36" t="s">
        <v>1501</v>
      </c>
      <c r="E606" s="36" t="s">
        <v>606</v>
      </c>
      <c r="F606" s="55">
        <f>'Stavební rozpočet'!F620</f>
        <v>3</v>
      </c>
      <c r="G606" s="55">
        <f>'Stavební rozpočet'!G620</f>
        <v>0</v>
      </c>
      <c r="H606" s="55">
        <f t="shared" si="632"/>
        <v>0</v>
      </c>
      <c r="I606" s="55">
        <f t="shared" si="633"/>
        <v>0</v>
      </c>
      <c r="J606" s="55">
        <f t="shared" si="634"/>
        <v>0</v>
      </c>
      <c r="K606" s="55">
        <f>'Stavební rozpočet'!K620</f>
        <v>0</v>
      </c>
      <c r="L606" s="55">
        <f t="shared" si="635"/>
        <v>0</v>
      </c>
      <c r="M606" s="51" t="s">
        <v>622</v>
      </c>
      <c r="Z606" s="29">
        <f t="shared" si="636"/>
        <v>0</v>
      </c>
      <c r="AB606" s="29">
        <f t="shared" si="637"/>
        <v>0</v>
      </c>
      <c r="AC606" s="29">
        <f t="shared" si="638"/>
        <v>0</v>
      </c>
      <c r="AD606" s="29">
        <f t="shared" si="639"/>
        <v>0</v>
      </c>
      <c r="AE606" s="29">
        <f t="shared" si="640"/>
        <v>0</v>
      </c>
      <c r="AF606" s="29">
        <f t="shared" si="641"/>
        <v>0</v>
      </c>
      <c r="AG606" s="29">
        <f t="shared" si="642"/>
        <v>0</v>
      </c>
      <c r="AH606" s="29">
        <f t="shared" si="643"/>
        <v>0</v>
      </c>
      <c r="AI606" s="48" t="s">
        <v>60</v>
      </c>
      <c r="AJ606" s="55">
        <f t="shared" si="644"/>
        <v>0</v>
      </c>
      <c r="AK606" s="55">
        <f t="shared" si="645"/>
        <v>0</v>
      </c>
      <c r="AL606" s="55">
        <f t="shared" si="646"/>
        <v>0</v>
      </c>
      <c r="AN606" s="29">
        <v>15</v>
      </c>
      <c r="AO606" s="29">
        <f t="shared" si="647"/>
        <v>0</v>
      </c>
      <c r="AP606" s="29">
        <f t="shared" si="648"/>
        <v>0</v>
      </c>
      <c r="AQ606" s="51" t="s">
        <v>79</v>
      </c>
      <c r="AV606" s="29">
        <f t="shared" si="649"/>
        <v>0</v>
      </c>
      <c r="AW606" s="29">
        <f t="shared" si="650"/>
        <v>0</v>
      </c>
      <c r="AX606" s="29">
        <f t="shared" si="651"/>
        <v>0</v>
      </c>
      <c r="AY606" s="54" t="s">
        <v>649</v>
      </c>
      <c r="AZ606" s="54" t="s">
        <v>1536</v>
      </c>
      <c r="BA606" s="48" t="s">
        <v>1542</v>
      </c>
      <c r="BC606" s="29">
        <f t="shared" si="652"/>
        <v>0</v>
      </c>
      <c r="BD606" s="29">
        <f t="shared" si="653"/>
        <v>0</v>
      </c>
      <c r="BE606" s="29">
        <v>0</v>
      </c>
      <c r="BF606" s="29">
        <f t="shared" si="654"/>
        <v>0</v>
      </c>
      <c r="BH606" s="55">
        <f t="shared" si="655"/>
        <v>0</v>
      </c>
      <c r="BI606" s="55">
        <f t="shared" si="656"/>
        <v>0</v>
      </c>
      <c r="BJ606" s="55">
        <f t="shared" si="657"/>
        <v>0</v>
      </c>
    </row>
    <row r="607" spans="1:62" ht="12.75">
      <c r="A607" s="36" t="s">
        <v>1846</v>
      </c>
      <c r="B607" s="36" t="s">
        <v>60</v>
      </c>
      <c r="C607" s="36" t="s">
        <v>1195</v>
      </c>
      <c r="D607" s="36" t="s">
        <v>1501</v>
      </c>
      <c r="E607" s="36" t="s">
        <v>606</v>
      </c>
      <c r="F607" s="55">
        <f>'Stavební rozpočet'!F621</f>
        <v>3</v>
      </c>
      <c r="G607" s="55">
        <f>'Stavební rozpočet'!G621</f>
        <v>0</v>
      </c>
      <c r="H607" s="55">
        <f t="shared" si="632"/>
        <v>0</v>
      </c>
      <c r="I607" s="55">
        <f t="shared" si="633"/>
        <v>0</v>
      </c>
      <c r="J607" s="55">
        <f t="shared" si="634"/>
        <v>0</v>
      </c>
      <c r="K607" s="55">
        <f>'Stavební rozpočet'!K621</f>
        <v>0</v>
      </c>
      <c r="L607" s="55">
        <f t="shared" si="635"/>
        <v>0</v>
      </c>
      <c r="M607" s="51" t="s">
        <v>622</v>
      </c>
      <c r="Z607" s="29">
        <f t="shared" si="636"/>
        <v>0</v>
      </c>
      <c r="AB607" s="29">
        <f t="shared" si="637"/>
        <v>0</v>
      </c>
      <c r="AC607" s="29">
        <f t="shared" si="638"/>
        <v>0</v>
      </c>
      <c r="AD607" s="29">
        <f t="shared" si="639"/>
        <v>0</v>
      </c>
      <c r="AE607" s="29">
        <f t="shared" si="640"/>
        <v>0</v>
      </c>
      <c r="AF607" s="29">
        <f t="shared" si="641"/>
        <v>0</v>
      </c>
      <c r="AG607" s="29">
        <f t="shared" si="642"/>
        <v>0</v>
      </c>
      <c r="AH607" s="29">
        <f t="shared" si="643"/>
        <v>0</v>
      </c>
      <c r="AI607" s="48" t="s">
        <v>60</v>
      </c>
      <c r="AJ607" s="55">
        <f t="shared" si="644"/>
        <v>0</v>
      </c>
      <c r="AK607" s="55">
        <f t="shared" si="645"/>
        <v>0</v>
      </c>
      <c r="AL607" s="55">
        <f t="shared" si="646"/>
        <v>0</v>
      </c>
      <c r="AN607" s="29">
        <v>15</v>
      </c>
      <c r="AO607" s="29">
        <f t="shared" si="647"/>
        <v>0</v>
      </c>
      <c r="AP607" s="29">
        <f t="shared" si="648"/>
        <v>0</v>
      </c>
      <c r="AQ607" s="51" t="s">
        <v>79</v>
      </c>
      <c r="AV607" s="29">
        <f t="shared" si="649"/>
        <v>0</v>
      </c>
      <c r="AW607" s="29">
        <f t="shared" si="650"/>
        <v>0</v>
      </c>
      <c r="AX607" s="29">
        <f t="shared" si="651"/>
        <v>0</v>
      </c>
      <c r="AY607" s="54" t="s">
        <v>649</v>
      </c>
      <c r="AZ607" s="54" t="s">
        <v>1536</v>
      </c>
      <c r="BA607" s="48" t="s">
        <v>1542</v>
      </c>
      <c r="BC607" s="29">
        <f t="shared" si="652"/>
        <v>0</v>
      </c>
      <c r="BD607" s="29">
        <f t="shared" si="653"/>
        <v>0</v>
      </c>
      <c r="BE607" s="29">
        <v>0</v>
      </c>
      <c r="BF607" s="29">
        <f t="shared" si="654"/>
        <v>0</v>
      </c>
      <c r="BH607" s="55">
        <f t="shared" si="655"/>
        <v>0</v>
      </c>
      <c r="BI607" s="55">
        <f t="shared" si="656"/>
        <v>0</v>
      </c>
      <c r="BJ607" s="55">
        <f t="shared" si="657"/>
        <v>0</v>
      </c>
    </row>
    <row r="608" spans="1:62" ht="12.75">
      <c r="A608" s="36" t="s">
        <v>1847</v>
      </c>
      <c r="B608" s="36" t="s">
        <v>60</v>
      </c>
      <c r="C608" s="36" t="s">
        <v>1196</v>
      </c>
      <c r="D608" s="36" t="s">
        <v>1502</v>
      </c>
      <c r="E608" s="36" t="s">
        <v>606</v>
      </c>
      <c r="F608" s="55">
        <f>'Stavební rozpočet'!F622</f>
        <v>3</v>
      </c>
      <c r="G608" s="55">
        <f>'Stavební rozpočet'!G622</f>
        <v>0</v>
      </c>
      <c r="H608" s="55">
        <f t="shared" si="632"/>
        <v>0</v>
      </c>
      <c r="I608" s="55">
        <f t="shared" si="633"/>
        <v>0</v>
      </c>
      <c r="J608" s="55">
        <f t="shared" si="634"/>
        <v>0</v>
      </c>
      <c r="K608" s="55">
        <f>'Stavební rozpočet'!K622</f>
        <v>0</v>
      </c>
      <c r="L608" s="55">
        <f t="shared" si="635"/>
        <v>0</v>
      </c>
      <c r="M608" s="51" t="s">
        <v>622</v>
      </c>
      <c r="Z608" s="29">
        <f t="shared" si="636"/>
        <v>0</v>
      </c>
      <c r="AB608" s="29">
        <f t="shared" si="637"/>
        <v>0</v>
      </c>
      <c r="AC608" s="29">
        <f t="shared" si="638"/>
        <v>0</v>
      </c>
      <c r="AD608" s="29">
        <f t="shared" si="639"/>
        <v>0</v>
      </c>
      <c r="AE608" s="29">
        <f t="shared" si="640"/>
        <v>0</v>
      </c>
      <c r="AF608" s="29">
        <f t="shared" si="641"/>
        <v>0</v>
      </c>
      <c r="AG608" s="29">
        <f t="shared" si="642"/>
        <v>0</v>
      </c>
      <c r="AH608" s="29">
        <f t="shared" si="643"/>
        <v>0</v>
      </c>
      <c r="AI608" s="48" t="s">
        <v>60</v>
      </c>
      <c r="AJ608" s="55">
        <f t="shared" si="644"/>
        <v>0</v>
      </c>
      <c r="AK608" s="55">
        <f t="shared" si="645"/>
        <v>0</v>
      </c>
      <c r="AL608" s="55">
        <f t="shared" si="646"/>
        <v>0</v>
      </c>
      <c r="AN608" s="29">
        <v>15</v>
      </c>
      <c r="AO608" s="29">
        <f t="shared" si="647"/>
        <v>0</v>
      </c>
      <c r="AP608" s="29">
        <f t="shared" si="648"/>
        <v>0</v>
      </c>
      <c r="AQ608" s="51" t="s">
        <v>79</v>
      </c>
      <c r="AV608" s="29">
        <f t="shared" si="649"/>
        <v>0</v>
      </c>
      <c r="AW608" s="29">
        <f t="shared" si="650"/>
        <v>0</v>
      </c>
      <c r="AX608" s="29">
        <f t="shared" si="651"/>
        <v>0</v>
      </c>
      <c r="AY608" s="54" t="s">
        <v>649</v>
      </c>
      <c r="AZ608" s="54" t="s">
        <v>1536</v>
      </c>
      <c r="BA608" s="48" t="s">
        <v>1542</v>
      </c>
      <c r="BC608" s="29">
        <f t="shared" si="652"/>
        <v>0</v>
      </c>
      <c r="BD608" s="29">
        <f t="shared" si="653"/>
        <v>0</v>
      </c>
      <c r="BE608" s="29">
        <v>0</v>
      </c>
      <c r="BF608" s="29">
        <f t="shared" si="654"/>
        <v>0</v>
      </c>
      <c r="BH608" s="55">
        <f t="shared" si="655"/>
        <v>0</v>
      </c>
      <c r="BI608" s="55">
        <f t="shared" si="656"/>
        <v>0</v>
      </c>
      <c r="BJ608" s="55">
        <f t="shared" si="657"/>
        <v>0</v>
      </c>
    </row>
    <row r="609" spans="1:62" ht="12.75">
      <c r="A609" s="36" t="s">
        <v>1848</v>
      </c>
      <c r="B609" s="36" t="s">
        <v>60</v>
      </c>
      <c r="C609" s="36" t="s">
        <v>1197</v>
      </c>
      <c r="D609" s="36" t="s">
        <v>1502</v>
      </c>
      <c r="E609" s="36" t="s">
        <v>606</v>
      </c>
      <c r="F609" s="55">
        <f>'Stavební rozpočet'!F623</f>
        <v>3</v>
      </c>
      <c r="G609" s="55">
        <f>'Stavební rozpočet'!G623</f>
        <v>0</v>
      </c>
      <c r="H609" s="55">
        <f t="shared" si="632"/>
        <v>0</v>
      </c>
      <c r="I609" s="55">
        <f t="shared" si="633"/>
        <v>0</v>
      </c>
      <c r="J609" s="55">
        <f t="shared" si="634"/>
        <v>0</v>
      </c>
      <c r="K609" s="55">
        <f>'Stavební rozpočet'!K623</f>
        <v>0</v>
      </c>
      <c r="L609" s="55">
        <f t="shared" si="635"/>
        <v>0</v>
      </c>
      <c r="M609" s="51" t="s">
        <v>622</v>
      </c>
      <c r="Z609" s="29">
        <f t="shared" si="636"/>
        <v>0</v>
      </c>
      <c r="AB609" s="29">
        <f t="shared" si="637"/>
        <v>0</v>
      </c>
      <c r="AC609" s="29">
        <f t="shared" si="638"/>
        <v>0</v>
      </c>
      <c r="AD609" s="29">
        <f t="shared" si="639"/>
        <v>0</v>
      </c>
      <c r="AE609" s="29">
        <f t="shared" si="640"/>
        <v>0</v>
      </c>
      <c r="AF609" s="29">
        <f t="shared" si="641"/>
        <v>0</v>
      </c>
      <c r="AG609" s="29">
        <f t="shared" si="642"/>
        <v>0</v>
      </c>
      <c r="AH609" s="29">
        <f t="shared" si="643"/>
        <v>0</v>
      </c>
      <c r="AI609" s="48" t="s">
        <v>60</v>
      </c>
      <c r="AJ609" s="55">
        <f t="shared" si="644"/>
        <v>0</v>
      </c>
      <c r="AK609" s="55">
        <f t="shared" si="645"/>
        <v>0</v>
      </c>
      <c r="AL609" s="55">
        <f t="shared" si="646"/>
        <v>0</v>
      </c>
      <c r="AN609" s="29">
        <v>15</v>
      </c>
      <c r="AO609" s="29">
        <f t="shared" si="647"/>
        <v>0</v>
      </c>
      <c r="AP609" s="29">
        <f t="shared" si="648"/>
        <v>0</v>
      </c>
      <c r="AQ609" s="51" t="s">
        <v>79</v>
      </c>
      <c r="AV609" s="29">
        <f t="shared" si="649"/>
        <v>0</v>
      </c>
      <c r="AW609" s="29">
        <f t="shared" si="650"/>
        <v>0</v>
      </c>
      <c r="AX609" s="29">
        <f t="shared" si="651"/>
        <v>0</v>
      </c>
      <c r="AY609" s="54" t="s">
        <v>649</v>
      </c>
      <c r="AZ609" s="54" t="s">
        <v>1536</v>
      </c>
      <c r="BA609" s="48" t="s">
        <v>1542</v>
      </c>
      <c r="BC609" s="29">
        <f t="shared" si="652"/>
        <v>0</v>
      </c>
      <c r="BD609" s="29">
        <f t="shared" si="653"/>
        <v>0</v>
      </c>
      <c r="BE609" s="29">
        <v>0</v>
      </c>
      <c r="BF609" s="29">
        <f t="shared" si="654"/>
        <v>0</v>
      </c>
      <c r="BH609" s="55">
        <f t="shared" si="655"/>
        <v>0</v>
      </c>
      <c r="BI609" s="55">
        <f t="shared" si="656"/>
        <v>0</v>
      </c>
      <c r="BJ609" s="55">
        <f t="shared" si="657"/>
        <v>0</v>
      </c>
    </row>
    <row r="610" spans="1:62" ht="12.75">
      <c r="A610" s="36" t="s">
        <v>1849</v>
      </c>
      <c r="B610" s="36" t="s">
        <v>60</v>
      </c>
      <c r="C610" s="36" t="s">
        <v>1198</v>
      </c>
      <c r="D610" s="36" t="s">
        <v>1503</v>
      </c>
      <c r="E610" s="36" t="s">
        <v>606</v>
      </c>
      <c r="F610" s="55">
        <f>'Stavební rozpočet'!F624</f>
        <v>2</v>
      </c>
      <c r="G610" s="55">
        <f>'Stavební rozpočet'!G624</f>
        <v>0</v>
      </c>
      <c r="H610" s="55">
        <f t="shared" si="632"/>
        <v>0</v>
      </c>
      <c r="I610" s="55">
        <f t="shared" si="633"/>
        <v>0</v>
      </c>
      <c r="J610" s="55">
        <f t="shared" si="634"/>
        <v>0</v>
      </c>
      <c r="K610" s="55">
        <f>'Stavební rozpočet'!K624</f>
        <v>0</v>
      </c>
      <c r="L610" s="55">
        <f t="shared" si="635"/>
        <v>0</v>
      </c>
      <c r="M610" s="51" t="s">
        <v>622</v>
      </c>
      <c r="Z610" s="29">
        <f t="shared" si="636"/>
        <v>0</v>
      </c>
      <c r="AB610" s="29">
        <f t="shared" si="637"/>
        <v>0</v>
      </c>
      <c r="AC610" s="29">
        <f t="shared" si="638"/>
        <v>0</v>
      </c>
      <c r="AD610" s="29">
        <f t="shared" si="639"/>
        <v>0</v>
      </c>
      <c r="AE610" s="29">
        <f t="shared" si="640"/>
        <v>0</v>
      </c>
      <c r="AF610" s="29">
        <f t="shared" si="641"/>
        <v>0</v>
      </c>
      <c r="AG610" s="29">
        <f t="shared" si="642"/>
        <v>0</v>
      </c>
      <c r="AH610" s="29">
        <f t="shared" si="643"/>
        <v>0</v>
      </c>
      <c r="AI610" s="48" t="s">
        <v>60</v>
      </c>
      <c r="AJ610" s="55">
        <f t="shared" si="644"/>
        <v>0</v>
      </c>
      <c r="AK610" s="55">
        <f t="shared" si="645"/>
        <v>0</v>
      </c>
      <c r="AL610" s="55">
        <f t="shared" si="646"/>
        <v>0</v>
      </c>
      <c r="AN610" s="29">
        <v>15</v>
      </c>
      <c r="AO610" s="29">
        <f t="shared" si="647"/>
        <v>0</v>
      </c>
      <c r="AP610" s="29">
        <f t="shared" si="648"/>
        <v>0</v>
      </c>
      <c r="AQ610" s="51" t="s">
        <v>79</v>
      </c>
      <c r="AV610" s="29">
        <f t="shared" si="649"/>
        <v>0</v>
      </c>
      <c r="AW610" s="29">
        <f t="shared" si="650"/>
        <v>0</v>
      </c>
      <c r="AX610" s="29">
        <f t="shared" si="651"/>
        <v>0</v>
      </c>
      <c r="AY610" s="54" t="s">
        <v>649</v>
      </c>
      <c r="AZ610" s="54" t="s">
        <v>1536</v>
      </c>
      <c r="BA610" s="48" t="s">
        <v>1542</v>
      </c>
      <c r="BC610" s="29">
        <f t="shared" si="652"/>
        <v>0</v>
      </c>
      <c r="BD610" s="29">
        <f t="shared" si="653"/>
        <v>0</v>
      </c>
      <c r="BE610" s="29">
        <v>0</v>
      </c>
      <c r="BF610" s="29">
        <f t="shared" si="654"/>
        <v>0</v>
      </c>
      <c r="BH610" s="55">
        <f t="shared" si="655"/>
        <v>0</v>
      </c>
      <c r="BI610" s="55">
        <f t="shared" si="656"/>
        <v>0</v>
      </c>
      <c r="BJ610" s="55">
        <f t="shared" si="657"/>
        <v>0</v>
      </c>
    </row>
    <row r="611" spans="1:62" ht="12.75">
      <c r="A611" s="36" t="s">
        <v>1850</v>
      </c>
      <c r="B611" s="36" t="s">
        <v>60</v>
      </c>
      <c r="C611" s="36" t="s">
        <v>1199</v>
      </c>
      <c r="D611" s="36" t="s">
        <v>1503</v>
      </c>
      <c r="E611" s="36" t="s">
        <v>606</v>
      </c>
      <c r="F611" s="55">
        <f>'Stavební rozpočet'!F625</f>
        <v>2</v>
      </c>
      <c r="G611" s="55">
        <f>'Stavební rozpočet'!G625</f>
        <v>0</v>
      </c>
      <c r="H611" s="55">
        <f t="shared" si="632"/>
        <v>0</v>
      </c>
      <c r="I611" s="55">
        <f t="shared" si="633"/>
        <v>0</v>
      </c>
      <c r="J611" s="55">
        <f t="shared" si="634"/>
        <v>0</v>
      </c>
      <c r="K611" s="55">
        <f>'Stavební rozpočet'!K625</f>
        <v>0</v>
      </c>
      <c r="L611" s="55">
        <f t="shared" si="635"/>
        <v>0</v>
      </c>
      <c r="M611" s="51" t="s">
        <v>622</v>
      </c>
      <c r="Z611" s="29">
        <f t="shared" si="636"/>
        <v>0</v>
      </c>
      <c r="AB611" s="29">
        <f t="shared" si="637"/>
        <v>0</v>
      </c>
      <c r="AC611" s="29">
        <f t="shared" si="638"/>
        <v>0</v>
      </c>
      <c r="AD611" s="29">
        <f t="shared" si="639"/>
        <v>0</v>
      </c>
      <c r="AE611" s="29">
        <f t="shared" si="640"/>
        <v>0</v>
      </c>
      <c r="AF611" s="29">
        <f t="shared" si="641"/>
        <v>0</v>
      </c>
      <c r="AG611" s="29">
        <f t="shared" si="642"/>
        <v>0</v>
      </c>
      <c r="AH611" s="29">
        <f t="shared" si="643"/>
        <v>0</v>
      </c>
      <c r="AI611" s="48" t="s">
        <v>60</v>
      </c>
      <c r="AJ611" s="55">
        <f t="shared" si="644"/>
        <v>0</v>
      </c>
      <c r="AK611" s="55">
        <f t="shared" si="645"/>
        <v>0</v>
      </c>
      <c r="AL611" s="55">
        <f t="shared" si="646"/>
        <v>0</v>
      </c>
      <c r="AN611" s="29">
        <v>15</v>
      </c>
      <c r="AO611" s="29">
        <f t="shared" si="647"/>
        <v>0</v>
      </c>
      <c r="AP611" s="29">
        <f t="shared" si="648"/>
        <v>0</v>
      </c>
      <c r="AQ611" s="51" t="s">
        <v>79</v>
      </c>
      <c r="AV611" s="29">
        <f t="shared" si="649"/>
        <v>0</v>
      </c>
      <c r="AW611" s="29">
        <f t="shared" si="650"/>
        <v>0</v>
      </c>
      <c r="AX611" s="29">
        <f t="shared" si="651"/>
        <v>0</v>
      </c>
      <c r="AY611" s="54" t="s">
        <v>649</v>
      </c>
      <c r="AZ611" s="54" t="s">
        <v>1536</v>
      </c>
      <c r="BA611" s="48" t="s">
        <v>1542</v>
      </c>
      <c r="BC611" s="29">
        <f t="shared" si="652"/>
        <v>0</v>
      </c>
      <c r="BD611" s="29">
        <f t="shared" si="653"/>
        <v>0</v>
      </c>
      <c r="BE611" s="29">
        <v>0</v>
      </c>
      <c r="BF611" s="29">
        <f t="shared" si="654"/>
        <v>0</v>
      </c>
      <c r="BH611" s="55">
        <f t="shared" si="655"/>
        <v>0</v>
      </c>
      <c r="BI611" s="55">
        <f t="shared" si="656"/>
        <v>0</v>
      </c>
      <c r="BJ611" s="55">
        <f t="shared" si="657"/>
        <v>0</v>
      </c>
    </row>
    <row r="612" spans="1:62" ht="12.75">
      <c r="A612" s="36" t="s">
        <v>1851</v>
      </c>
      <c r="B612" s="36" t="s">
        <v>60</v>
      </c>
      <c r="C612" s="36" t="s">
        <v>1200</v>
      </c>
      <c r="D612" s="36" t="s">
        <v>1504</v>
      </c>
      <c r="E612" s="36" t="s">
        <v>606</v>
      </c>
      <c r="F612" s="55">
        <f>'Stavební rozpočet'!F626</f>
        <v>9</v>
      </c>
      <c r="G612" s="55">
        <f>'Stavební rozpočet'!G626</f>
        <v>0</v>
      </c>
      <c r="H612" s="55">
        <f t="shared" si="632"/>
        <v>0</v>
      </c>
      <c r="I612" s="55">
        <f t="shared" si="633"/>
        <v>0</v>
      </c>
      <c r="J612" s="55">
        <f t="shared" si="634"/>
        <v>0</v>
      </c>
      <c r="K612" s="55">
        <f>'Stavební rozpočet'!K626</f>
        <v>0</v>
      </c>
      <c r="L612" s="55">
        <f t="shared" si="635"/>
        <v>0</v>
      </c>
      <c r="M612" s="51" t="s">
        <v>622</v>
      </c>
      <c r="Z612" s="29">
        <f t="shared" si="636"/>
        <v>0</v>
      </c>
      <c r="AB612" s="29">
        <f t="shared" si="637"/>
        <v>0</v>
      </c>
      <c r="AC612" s="29">
        <f t="shared" si="638"/>
        <v>0</v>
      </c>
      <c r="AD612" s="29">
        <f t="shared" si="639"/>
        <v>0</v>
      </c>
      <c r="AE612" s="29">
        <f t="shared" si="640"/>
        <v>0</v>
      </c>
      <c r="AF612" s="29">
        <f t="shared" si="641"/>
        <v>0</v>
      </c>
      <c r="AG612" s="29">
        <f t="shared" si="642"/>
        <v>0</v>
      </c>
      <c r="AH612" s="29">
        <f t="shared" si="643"/>
        <v>0</v>
      </c>
      <c r="AI612" s="48" t="s">
        <v>60</v>
      </c>
      <c r="AJ612" s="55">
        <f t="shared" si="644"/>
        <v>0</v>
      </c>
      <c r="AK612" s="55">
        <f t="shared" si="645"/>
        <v>0</v>
      </c>
      <c r="AL612" s="55">
        <f t="shared" si="646"/>
        <v>0</v>
      </c>
      <c r="AN612" s="29">
        <v>15</v>
      </c>
      <c r="AO612" s="29">
        <f t="shared" si="647"/>
        <v>0</v>
      </c>
      <c r="AP612" s="29">
        <f t="shared" si="648"/>
        <v>0</v>
      </c>
      <c r="AQ612" s="51" t="s">
        <v>79</v>
      </c>
      <c r="AV612" s="29">
        <f t="shared" si="649"/>
        <v>0</v>
      </c>
      <c r="AW612" s="29">
        <f t="shared" si="650"/>
        <v>0</v>
      </c>
      <c r="AX612" s="29">
        <f t="shared" si="651"/>
        <v>0</v>
      </c>
      <c r="AY612" s="54" t="s">
        <v>649</v>
      </c>
      <c r="AZ612" s="54" t="s">
        <v>1536</v>
      </c>
      <c r="BA612" s="48" t="s">
        <v>1542</v>
      </c>
      <c r="BC612" s="29">
        <f t="shared" si="652"/>
        <v>0</v>
      </c>
      <c r="BD612" s="29">
        <f t="shared" si="653"/>
        <v>0</v>
      </c>
      <c r="BE612" s="29">
        <v>0</v>
      </c>
      <c r="BF612" s="29">
        <f t="shared" si="654"/>
        <v>0</v>
      </c>
      <c r="BH612" s="55">
        <f t="shared" si="655"/>
        <v>0</v>
      </c>
      <c r="BI612" s="55">
        <f t="shared" si="656"/>
        <v>0</v>
      </c>
      <c r="BJ612" s="55">
        <f t="shared" si="657"/>
        <v>0</v>
      </c>
    </row>
    <row r="613" spans="1:62" ht="12.75">
      <c r="A613" s="36" t="s">
        <v>1852</v>
      </c>
      <c r="B613" s="36" t="s">
        <v>60</v>
      </c>
      <c r="C613" s="36" t="s">
        <v>1201</v>
      </c>
      <c r="D613" s="36" t="s">
        <v>1504</v>
      </c>
      <c r="E613" s="36" t="s">
        <v>606</v>
      </c>
      <c r="F613" s="55">
        <f>'Stavební rozpočet'!F627</f>
        <v>9</v>
      </c>
      <c r="G613" s="55">
        <f>'Stavební rozpočet'!G627</f>
        <v>0</v>
      </c>
      <c r="H613" s="55">
        <f t="shared" si="632"/>
        <v>0</v>
      </c>
      <c r="I613" s="55">
        <f t="shared" si="633"/>
        <v>0</v>
      </c>
      <c r="J613" s="55">
        <f t="shared" si="634"/>
        <v>0</v>
      </c>
      <c r="K613" s="55">
        <f>'Stavební rozpočet'!K627</f>
        <v>0</v>
      </c>
      <c r="L613" s="55">
        <f t="shared" si="635"/>
        <v>0</v>
      </c>
      <c r="M613" s="51" t="s">
        <v>622</v>
      </c>
      <c r="Z613" s="29">
        <f t="shared" si="636"/>
        <v>0</v>
      </c>
      <c r="AB613" s="29">
        <f t="shared" si="637"/>
        <v>0</v>
      </c>
      <c r="AC613" s="29">
        <f t="shared" si="638"/>
        <v>0</v>
      </c>
      <c r="AD613" s="29">
        <f t="shared" si="639"/>
        <v>0</v>
      </c>
      <c r="AE613" s="29">
        <f t="shared" si="640"/>
        <v>0</v>
      </c>
      <c r="AF613" s="29">
        <f t="shared" si="641"/>
        <v>0</v>
      </c>
      <c r="AG613" s="29">
        <f t="shared" si="642"/>
        <v>0</v>
      </c>
      <c r="AH613" s="29">
        <f t="shared" si="643"/>
        <v>0</v>
      </c>
      <c r="AI613" s="48" t="s">
        <v>60</v>
      </c>
      <c r="AJ613" s="55">
        <f t="shared" si="644"/>
        <v>0</v>
      </c>
      <c r="AK613" s="55">
        <f t="shared" si="645"/>
        <v>0</v>
      </c>
      <c r="AL613" s="55">
        <f t="shared" si="646"/>
        <v>0</v>
      </c>
      <c r="AN613" s="29">
        <v>15</v>
      </c>
      <c r="AO613" s="29">
        <f t="shared" si="647"/>
        <v>0</v>
      </c>
      <c r="AP613" s="29">
        <f t="shared" si="648"/>
        <v>0</v>
      </c>
      <c r="AQ613" s="51" t="s">
        <v>79</v>
      </c>
      <c r="AV613" s="29">
        <f t="shared" si="649"/>
        <v>0</v>
      </c>
      <c r="AW613" s="29">
        <f t="shared" si="650"/>
        <v>0</v>
      </c>
      <c r="AX613" s="29">
        <f t="shared" si="651"/>
        <v>0</v>
      </c>
      <c r="AY613" s="54" t="s">
        <v>649</v>
      </c>
      <c r="AZ613" s="54" t="s">
        <v>1536</v>
      </c>
      <c r="BA613" s="48" t="s">
        <v>1542</v>
      </c>
      <c r="BC613" s="29">
        <f t="shared" si="652"/>
        <v>0</v>
      </c>
      <c r="BD613" s="29">
        <f t="shared" si="653"/>
        <v>0</v>
      </c>
      <c r="BE613" s="29">
        <v>0</v>
      </c>
      <c r="BF613" s="29">
        <f t="shared" si="654"/>
        <v>0</v>
      </c>
      <c r="BH613" s="55">
        <f t="shared" si="655"/>
        <v>0</v>
      </c>
      <c r="BI613" s="55">
        <f t="shared" si="656"/>
        <v>0</v>
      </c>
      <c r="BJ613" s="55">
        <f t="shared" si="657"/>
        <v>0</v>
      </c>
    </row>
    <row r="614" spans="1:62" ht="12.75">
      <c r="A614" s="36" t="s">
        <v>1853</v>
      </c>
      <c r="B614" s="36" t="s">
        <v>60</v>
      </c>
      <c r="C614" s="36" t="s">
        <v>1202</v>
      </c>
      <c r="D614" s="36" t="s">
        <v>1505</v>
      </c>
      <c r="E614" s="36" t="s">
        <v>606</v>
      </c>
      <c r="F614" s="55">
        <f>'Stavební rozpočet'!F628</f>
        <v>1</v>
      </c>
      <c r="G614" s="55">
        <f>'Stavební rozpočet'!G628</f>
        <v>0</v>
      </c>
      <c r="H614" s="55">
        <f t="shared" si="632"/>
        <v>0</v>
      </c>
      <c r="I614" s="55">
        <f t="shared" si="633"/>
        <v>0</v>
      </c>
      <c r="J614" s="55">
        <f t="shared" si="634"/>
        <v>0</v>
      </c>
      <c r="K614" s="55">
        <f>'Stavební rozpočet'!K628</f>
        <v>0</v>
      </c>
      <c r="L614" s="55">
        <f t="shared" si="635"/>
        <v>0</v>
      </c>
      <c r="M614" s="51" t="s">
        <v>622</v>
      </c>
      <c r="Z614" s="29">
        <f t="shared" si="636"/>
        <v>0</v>
      </c>
      <c r="AB614" s="29">
        <f t="shared" si="637"/>
        <v>0</v>
      </c>
      <c r="AC614" s="29">
        <f t="shared" si="638"/>
        <v>0</v>
      </c>
      <c r="AD614" s="29">
        <f t="shared" si="639"/>
        <v>0</v>
      </c>
      <c r="AE614" s="29">
        <f t="shared" si="640"/>
        <v>0</v>
      </c>
      <c r="AF614" s="29">
        <f t="shared" si="641"/>
        <v>0</v>
      </c>
      <c r="AG614" s="29">
        <f t="shared" si="642"/>
        <v>0</v>
      </c>
      <c r="AH614" s="29">
        <f t="shared" si="643"/>
        <v>0</v>
      </c>
      <c r="AI614" s="48" t="s">
        <v>60</v>
      </c>
      <c r="AJ614" s="55">
        <f t="shared" si="644"/>
        <v>0</v>
      </c>
      <c r="AK614" s="55">
        <f t="shared" si="645"/>
        <v>0</v>
      </c>
      <c r="AL614" s="55">
        <f t="shared" si="646"/>
        <v>0</v>
      </c>
      <c r="AN614" s="29">
        <v>15</v>
      </c>
      <c r="AO614" s="29">
        <f t="shared" si="647"/>
        <v>0</v>
      </c>
      <c r="AP614" s="29">
        <f t="shared" si="648"/>
        <v>0</v>
      </c>
      <c r="AQ614" s="51" t="s">
        <v>79</v>
      </c>
      <c r="AV614" s="29">
        <f t="shared" si="649"/>
        <v>0</v>
      </c>
      <c r="AW614" s="29">
        <f t="shared" si="650"/>
        <v>0</v>
      </c>
      <c r="AX614" s="29">
        <f t="shared" si="651"/>
        <v>0</v>
      </c>
      <c r="AY614" s="54" t="s">
        <v>649</v>
      </c>
      <c r="AZ614" s="54" t="s">
        <v>1536</v>
      </c>
      <c r="BA614" s="48" t="s">
        <v>1542</v>
      </c>
      <c r="BC614" s="29">
        <f t="shared" si="652"/>
        <v>0</v>
      </c>
      <c r="BD614" s="29">
        <f t="shared" si="653"/>
        <v>0</v>
      </c>
      <c r="BE614" s="29">
        <v>0</v>
      </c>
      <c r="BF614" s="29">
        <f t="shared" si="654"/>
        <v>0</v>
      </c>
      <c r="BH614" s="55">
        <f t="shared" si="655"/>
        <v>0</v>
      </c>
      <c r="BI614" s="55">
        <f t="shared" si="656"/>
        <v>0</v>
      </c>
      <c r="BJ614" s="55">
        <f t="shared" si="657"/>
        <v>0</v>
      </c>
    </row>
    <row r="615" spans="1:62" ht="12.75">
      <c r="A615" s="36" t="s">
        <v>1854</v>
      </c>
      <c r="B615" s="36" t="s">
        <v>60</v>
      </c>
      <c r="C615" s="36" t="s">
        <v>1203</v>
      </c>
      <c r="D615" s="36" t="s">
        <v>1506</v>
      </c>
      <c r="E615" s="36" t="s">
        <v>606</v>
      </c>
      <c r="F615" s="55">
        <f>'Stavební rozpočet'!F629</f>
        <v>1</v>
      </c>
      <c r="G615" s="55">
        <f>'Stavební rozpočet'!G629</f>
        <v>0</v>
      </c>
      <c r="H615" s="55">
        <f t="shared" si="632"/>
        <v>0</v>
      </c>
      <c r="I615" s="55">
        <f t="shared" si="633"/>
        <v>0</v>
      </c>
      <c r="J615" s="55">
        <f t="shared" si="634"/>
        <v>0</v>
      </c>
      <c r="K615" s="55">
        <f>'Stavební rozpočet'!K629</f>
        <v>0</v>
      </c>
      <c r="L615" s="55">
        <f t="shared" si="635"/>
        <v>0</v>
      </c>
      <c r="M615" s="51" t="s">
        <v>622</v>
      </c>
      <c r="Z615" s="29">
        <f t="shared" si="636"/>
        <v>0</v>
      </c>
      <c r="AB615" s="29">
        <f t="shared" si="637"/>
        <v>0</v>
      </c>
      <c r="AC615" s="29">
        <f t="shared" si="638"/>
        <v>0</v>
      </c>
      <c r="AD615" s="29">
        <f t="shared" si="639"/>
        <v>0</v>
      </c>
      <c r="AE615" s="29">
        <f t="shared" si="640"/>
        <v>0</v>
      </c>
      <c r="AF615" s="29">
        <f t="shared" si="641"/>
        <v>0</v>
      </c>
      <c r="AG615" s="29">
        <f t="shared" si="642"/>
        <v>0</v>
      </c>
      <c r="AH615" s="29">
        <f t="shared" si="643"/>
        <v>0</v>
      </c>
      <c r="AI615" s="48" t="s">
        <v>60</v>
      </c>
      <c r="AJ615" s="55">
        <f t="shared" si="644"/>
        <v>0</v>
      </c>
      <c r="AK615" s="55">
        <f t="shared" si="645"/>
        <v>0</v>
      </c>
      <c r="AL615" s="55">
        <f t="shared" si="646"/>
        <v>0</v>
      </c>
      <c r="AN615" s="29">
        <v>15</v>
      </c>
      <c r="AO615" s="29">
        <f t="shared" si="647"/>
        <v>0</v>
      </c>
      <c r="AP615" s="29">
        <f t="shared" si="648"/>
        <v>0</v>
      </c>
      <c r="AQ615" s="51" t="s">
        <v>79</v>
      </c>
      <c r="AV615" s="29">
        <f t="shared" si="649"/>
        <v>0</v>
      </c>
      <c r="AW615" s="29">
        <f t="shared" si="650"/>
        <v>0</v>
      </c>
      <c r="AX615" s="29">
        <f t="shared" si="651"/>
        <v>0</v>
      </c>
      <c r="AY615" s="54" t="s">
        <v>649</v>
      </c>
      <c r="AZ615" s="54" t="s">
        <v>1536</v>
      </c>
      <c r="BA615" s="48" t="s">
        <v>1542</v>
      </c>
      <c r="BC615" s="29">
        <f t="shared" si="652"/>
        <v>0</v>
      </c>
      <c r="BD615" s="29">
        <f t="shared" si="653"/>
        <v>0</v>
      </c>
      <c r="BE615" s="29">
        <v>0</v>
      </c>
      <c r="BF615" s="29">
        <f t="shared" si="654"/>
        <v>0</v>
      </c>
      <c r="BH615" s="55">
        <f t="shared" si="655"/>
        <v>0</v>
      </c>
      <c r="BI615" s="55">
        <f t="shared" si="656"/>
        <v>0</v>
      </c>
      <c r="BJ615" s="55">
        <f t="shared" si="657"/>
        <v>0</v>
      </c>
    </row>
    <row r="616" spans="1:62" ht="12.75">
      <c r="A616" s="36" t="s">
        <v>1855</v>
      </c>
      <c r="B616" s="36" t="s">
        <v>60</v>
      </c>
      <c r="C616" s="36" t="s">
        <v>1204</v>
      </c>
      <c r="D616" s="36" t="s">
        <v>1507</v>
      </c>
      <c r="E616" s="36" t="s">
        <v>606</v>
      </c>
      <c r="F616" s="55">
        <f>'Stavební rozpočet'!F630</f>
        <v>2</v>
      </c>
      <c r="G616" s="55">
        <f>'Stavební rozpočet'!G630</f>
        <v>0</v>
      </c>
      <c r="H616" s="55">
        <f t="shared" si="632"/>
        <v>0</v>
      </c>
      <c r="I616" s="55">
        <f t="shared" si="633"/>
        <v>0</v>
      </c>
      <c r="J616" s="55">
        <f t="shared" si="634"/>
        <v>0</v>
      </c>
      <c r="K616" s="55">
        <f>'Stavební rozpočet'!K630</f>
        <v>0</v>
      </c>
      <c r="L616" s="55">
        <f t="shared" si="635"/>
        <v>0</v>
      </c>
      <c r="M616" s="51" t="s">
        <v>622</v>
      </c>
      <c r="Z616" s="29">
        <f t="shared" si="636"/>
        <v>0</v>
      </c>
      <c r="AB616" s="29">
        <f t="shared" si="637"/>
        <v>0</v>
      </c>
      <c r="AC616" s="29">
        <f t="shared" si="638"/>
        <v>0</v>
      </c>
      <c r="AD616" s="29">
        <f t="shared" si="639"/>
        <v>0</v>
      </c>
      <c r="AE616" s="29">
        <f t="shared" si="640"/>
        <v>0</v>
      </c>
      <c r="AF616" s="29">
        <f t="shared" si="641"/>
        <v>0</v>
      </c>
      <c r="AG616" s="29">
        <f t="shared" si="642"/>
        <v>0</v>
      </c>
      <c r="AH616" s="29">
        <f t="shared" si="643"/>
        <v>0</v>
      </c>
      <c r="AI616" s="48" t="s">
        <v>60</v>
      </c>
      <c r="AJ616" s="55">
        <f t="shared" si="644"/>
        <v>0</v>
      </c>
      <c r="AK616" s="55">
        <f t="shared" si="645"/>
        <v>0</v>
      </c>
      <c r="AL616" s="55">
        <f t="shared" si="646"/>
        <v>0</v>
      </c>
      <c r="AN616" s="29">
        <v>15</v>
      </c>
      <c r="AO616" s="29">
        <f t="shared" si="647"/>
        <v>0</v>
      </c>
      <c r="AP616" s="29">
        <f t="shared" si="648"/>
        <v>0</v>
      </c>
      <c r="AQ616" s="51" t="s">
        <v>79</v>
      </c>
      <c r="AV616" s="29">
        <f t="shared" si="649"/>
        <v>0</v>
      </c>
      <c r="AW616" s="29">
        <f t="shared" si="650"/>
        <v>0</v>
      </c>
      <c r="AX616" s="29">
        <f t="shared" si="651"/>
        <v>0</v>
      </c>
      <c r="AY616" s="54" t="s">
        <v>649</v>
      </c>
      <c r="AZ616" s="54" t="s">
        <v>1536</v>
      </c>
      <c r="BA616" s="48" t="s">
        <v>1542</v>
      </c>
      <c r="BC616" s="29">
        <f t="shared" si="652"/>
        <v>0</v>
      </c>
      <c r="BD616" s="29">
        <f t="shared" si="653"/>
        <v>0</v>
      </c>
      <c r="BE616" s="29">
        <v>0</v>
      </c>
      <c r="BF616" s="29">
        <f t="shared" si="654"/>
        <v>0</v>
      </c>
      <c r="BH616" s="55">
        <f t="shared" si="655"/>
        <v>0</v>
      </c>
      <c r="BI616" s="55">
        <f t="shared" si="656"/>
        <v>0</v>
      </c>
      <c r="BJ616" s="55">
        <f t="shared" si="657"/>
        <v>0</v>
      </c>
    </row>
    <row r="617" spans="1:62" ht="12.75">
      <c r="A617" s="36" t="s">
        <v>1856</v>
      </c>
      <c r="B617" s="36" t="s">
        <v>60</v>
      </c>
      <c r="C617" s="36" t="s">
        <v>1205</v>
      </c>
      <c r="D617" s="36" t="s">
        <v>1508</v>
      </c>
      <c r="E617" s="36" t="s">
        <v>606</v>
      </c>
      <c r="F617" s="55">
        <f>'Stavební rozpočet'!F631</f>
        <v>2</v>
      </c>
      <c r="G617" s="55">
        <f>'Stavební rozpočet'!G631</f>
        <v>0</v>
      </c>
      <c r="H617" s="55">
        <f t="shared" si="632"/>
        <v>0</v>
      </c>
      <c r="I617" s="55">
        <f t="shared" si="633"/>
        <v>0</v>
      </c>
      <c r="J617" s="55">
        <f t="shared" si="634"/>
        <v>0</v>
      </c>
      <c r="K617" s="55">
        <f>'Stavební rozpočet'!K631</f>
        <v>0</v>
      </c>
      <c r="L617" s="55">
        <f t="shared" si="635"/>
        <v>0</v>
      </c>
      <c r="M617" s="51" t="s">
        <v>622</v>
      </c>
      <c r="Z617" s="29">
        <f t="shared" si="636"/>
        <v>0</v>
      </c>
      <c r="AB617" s="29">
        <f t="shared" si="637"/>
        <v>0</v>
      </c>
      <c r="AC617" s="29">
        <f t="shared" si="638"/>
        <v>0</v>
      </c>
      <c r="AD617" s="29">
        <f t="shared" si="639"/>
        <v>0</v>
      </c>
      <c r="AE617" s="29">
        <f t="shared" si="640"/>
        <v>0</v>
      </c>
      <c r="AF617" s="29">
        <f t="shared" si="641"/>
        <v>0</v>
      </c>
      <c r="AG617" s="29">
        <f t="shared" si="642"/>
        <v>0</v>
      </c>
      <c r="AH617" s="29">
        <f t="shared" si="643"/>
        <v>0</v>
      </c>
      <c r="AI617" s="48" t="s">
        <v>60</v>
      </c>
      <c r="AJ617" s="55">
        <f t="shared" si="644"/>
        <v>0</v>
      </c>
      <c r="AK617" s="55">
        <f t="shared" si="645"/>
        <v>0</v>
      </c>
      <c r="AL617" s="55">
        <f t="shared" si="646"/>
        <v>0</v>
      </c>
      <c r="AN617" s="29">
        <v>15</v>
      </c>
      <c r="AO617" s="29">
        <f t="shared" si="647"/>
        <v>0</v>
      </c>
      <c r="AP617" s="29">
        <f t="shared" si="648"/>
        <v>0</v>
      </c>
      <c r="AQ617" s="51" t="s">
        <v>79</v>
      </c>
      <c r="AV617" s="29">
        <f t="shared" si="649"/>
        <v>0</v>
      </c>
      <c r="AW617" s="29">
        <f t="shared" si="650"/>
        <v>0</v>
      </c>
      <c r="AX617" s="29">
        <f t="shared" si="651"/>
        <v>0</v>
      </c>
      <c r="AY617" s="54" t="s">
        <v>649</v>
      </c>
      <c r="AZ617" s="54" t="s">
        <v>1536</v>
      </c>
      <c r="BA617" s="48" t="s">
        <v>1542</v>
      </c>
      <c r="BC617" s="29">
        <f t="shared" si="652"/>
        <v>0</v>
      </c>
      <c r="BD617" s="29">
        <f t="shared" si="653"/>
        <v>0</v>
      </c>
      <c r="BE617" s="29">
        <v>0</v>
      </c>
      <c r="BF617" s="29">
        <f t="shared" si="654"/>
        <v>0</v>
      </c>
      <c r="BH617" s="55">
        <f t="shared" si="655"/>
        <v>0</v>
      </c>
      <c r="BI617" s="55">
        <f t="shared" si="656"/>
        <v>0</v>
      </c>
      <c r="BJ617" s="55">
        <f t="shared" si="657"/>
        <v>0</v>
      </c>
    </row>
    <row r="618" spans="1:62" ht="12.75">
      <c r="A618" s="36" t="s">
        <v>1857</v>
      </c>
      <c r="B618" s="36" t="s">
        <v>60</v>
      </c>
      <c r="C618" s="36" t="s">
        <v>1206</v>
      </c>
      <c r="D618" s="36" t="s">
        <v>1509</v>
      </c>
      <c r="E618" s="36" t="s">
        <v>606</v>
      </c>
      <c r="F618" s="55">
        <f>'Stavební rozpočet'!F632</f>
        <v>0</v>
      </c>
      <c r="G618" s="55">
        <f>'Stavební rozpočet'!G632</f>
        <v>0</v>
      </c>
      <c r="H618" s="55">
        <f t="shared" si="632"/>
        <v>0</v>
      </c>
      <c r="I618" s="55">
        <f t="shared" si="633"/>
        <v>0</v>
      </c>
      <c r="J618" s="55">
        <f t="shared" si="634"/>
        <v>0</v>
      </c>
      <c r="K618" s="55">
        <f>'Stavební rozpočet'!K632</f>
        <v>0</v>
      </c>
      <c r="L618" s="55">
        <f t="shared" si="635"/>
        <v>0</v>
      </c>
      <c r="M618" s="51" t="s">
        <v>622</v>
      </c>
      <c r="Z618" s="29">
        <f t="shared" si="636"/>
        <v>0</v>
      </c>
      <c r="AB618" s="29">
        <f t="shared" si="637"/>
        <v>0</v>
      </c>
      <c r="AC618" s="29">
        <f t="shared" si="638"/>
        <v>0</v>
      </c>
      <c r="AD618" s="29">
        <f t="shared" si="639"/>
        <v>0</v>
      </c>
      <c r="AE618" s="29">
        <f t="shared" si="640"/>
        <v>0</v>
      </c>
      <c r="AF618" s="29">
        <f t="shared" si="641"/>
        <v>0</v>
      </c>
      <c r="AG618" s="29">
        <f t="shared" si="642"/>
        <v>0</v>
      </c>
      <c r="AH618" s="29">
        <f t="shared" si="643"/>
        <v>0</v>
      </c>
      <c r="AI618" s="48" t="s">
        <v>60</v>
      </c>
      <c r="AJ618" s="55">
        <f t="shared" si="644"/>
        <v>0</v>
      </c>
      <c r="AK618" s="55">
        <f t="shared" si="645"/>
        <v>0</v>
      </c>
      <c r="AL618" s="55">
        <f t="shared" si="646"/>
        <v>0</v>
      </c>
      <c r="AN618" s="29">
        <v>15</v>
      </c>
      <c r="AO618" s="29">
        <f t="shared" si="647"/>
        <v>0</v>
      </c>
      <c r="AP618" s="29">
        <f t="shared" si="648"/>
        <v>0</v>
      </c>
      <c r="AQ618" s="51" t="s">
        <v>79</v>
      </c>
      <c r="AV618" s="29">
        <f t="shared" si="649"/>
        <v>0</v>
      </c>
      <c r="AW618" s="29">
        <f t="shared" si="650"/>
        <v>0</v>
      </c>
      <c r="AX618" s="29">
        <f t="shared" si="651"/>
        <v>0</v>
      </c>
      <c r="AY618" s="54" t="s">
        <v>649</v>
      </c>
      <c r="AZ618" s="54" t="s">
        <v>1536</v>
      </c>
      <c r="BA618" s="48" t="s">
        <v>1542</v>
      </c>
      <c r="BC618" s="29">
        <f t="shared" si="652"/>
        <v>0</v>
      </c>
      <c r="BD618" s="29">
        <f t="shared" si="653"/>
        <v>0</v>
      </c>
      <c r="BE618" s="29">
        <v>0</v>
      </c>
      <c r="BF618" s="29">
        <f t="shared" si="654"/>
        <v>0</v>
      </c>
      <c r="BH618" s="55">
        <f t="shared" si="655"/>
        <v>0</v>
      </c>
      <c r="BI618" s="55">
        <f t="shared" si="656"/>
        <v>0</v>
      </c>
      <c r="BJ618" s="55">
        <f t="shared" si="657"/>
        <v>0</v>
      </c>
    </row>
    <row r="619" spans="1:62" ht="12.75">
      <c r="A619" s="36" t="s">
        <v>1858</v>
      </c>
      <c r="B619" s="36" t="s">
        <v>60</v>
      </c>
      <c r="C619" s="36" t="s">
        <v>1207</v>
      </c>
      <c r="D619" s="36" t="s">
        <v>1510</v>
      </c>
      <c r="E619" s="36" t="s">
        <v>606</v>
      </c>
      <c r="F619" s="55">
        <f>'Stavební rozpočet'!F633</f>
        <v>1</v>
      </c>
      <c r="G619" s="55">
        <f>'Stavební rozpočet'!G633</f>
        <v>0</v>
      </c>
      <c r="H619" s="55">
        <f t="shared" si="632"/>
        <v>0</v>
      </c>
      <c r="I619" s="55">
        <f t="shared" si="633"/>
        <v>0</v>
      </c>
      <c r="J619" s="55">
        <f t="shared" si="634"/>
        <v>0</v>
      </c>
      <c r="K619" s="55">
        <f>'Stavební rozpočet'!K633</f>
        <v>0</v>
      </c>
      <c r="L619" s="55">
        <f t="shared" si="635"/>
        <v>0</v>
      </c>
      <c r="M619" s="51" t="s">
        <v>622</v>
      </c>
      <c r="Z619" s="29">
        <f t="shared" si="636"/>
        <v>0</v>
      </c>
      <c r="AB619" s="29">
        <f t="shared" si="637"/>
        <v>0</v>
      </c>
      <c r="AC619" s="29">
        <f t="shared" si="638"/>
        <v>0</v>
      </c>
      <c r="AD619" s="29">
        <f t="shared" si="639"/>
        <v>0</v>
      </c>
      <c r="AE619" s="29">
        <f t="shared" si="640"/>
        <v>0</v>
      </c>
      <c r="AF619" s="29">
        <f t="shared" si="641"/>
        <v>0</v>
      </c>
      <c r="AG619" s="29">
        <f t="shared" si="642"/>
        <v>0</v>
      </c>
      <c r="AH619" s="29">
        <f t="shared" si="643"/>
        <v>0</v>
      </c>
      <c r="AI619" s="48" t="s">
        <v>60</v>
      </c>
      <c r="AJ619" s="55">
        <f t="shared" si="644"/>
        <v>0</v>
      </c>
      <c r="AK619" s="55">
        <f t="shared" si="645"/>
        <v>0</v>
      </c>
      <c r="AL619" s="55">
        <f t="shared" si="646"/>
        <v>0</v>
      </c>
      <c r="AN619" s="29">
        <v>15</v>
      </c>
      <c r="AO619" s="29">
        <f t="shared" si="647"/>
        <v>0</v>
      </c>
      <c r="AP619" s="29">
        <f t="shared" si="648"/>
        <v>0</v>
      </c>
      <c r="AQ619" s="51" t="s">
        <v>79</v>
      </c>
      <c r="AV619" s="29">
        <f t="shared" si="649"/>
        <v>0</v>
      </c>
      <c r="AW619" s="29">
        <f t="shared" si="650"/>
        <v>0</v>
      </c>
      <c r="AX619" s="29">
        <f t="shared" si="651"/>
        <v>0</v>
      </c>
      <c r="AY619" s="54" t="s">
        <v>649</v>
      </c>
      <c r="AZ619" s="54" t="s">
        <v>1536</v>
      </c>
      <c r="BA619" s="48" t="s">
        <v>1542</v>
      </c>
      <c r="BC619" s="29">
        <f t="shared" si="652"/>
        <v>0</v>
      </c>
      <c r="BD619" s="29">
        <f t="shared" si="653"/>
        <v>0</v>
      </c>
      <c r="BE619" s="29">
        <v>0</v>
      </c>
      <c r="BF619" s="29">
        <f t="shared" si="654"/>
        <v>0</v>
      </c>
      <c r="BH619" s="55">
        <f t="shared" si="655"/>
        <v>0</v>
      </c>
      <c r="BI619" s="55">
        <f t="shared" si="656"/>
        <v>0</v>
      </c>
      <c r="BJ619" s="55">
        <f t="shared" si="657"/>
        <v>0</v>
      </c>
    </row>
    <row r="620" spans="1:62" ht="12.75">
      <c r="A620" s="36" t="s">
        <v>1859</v>
      </c>
      <c r="B620" s="36" t="s">
        <v>60</v>
      </c>
      <c r="C620" s="36" t="s">
        <v>1208</v>
      </c>
      <c r="D620" s="36" t="s">
        <v>1511</v>
      </c>
      <c r="E620" s="36" t="s">
        <v>606</v>
      </c>
      <c r="F620" s="55">
        <f>'Stavební rozpočet'!F634</f>
        <v>1</v>
      </c>
      <c r="G620" s="55">
        <f>'Stavební rozpočet'!G634</f>
        <v>0</v>
      </c>
      <c r="H620" s="55">
        <f t="shared" si="632"/>
        <v>0</v>
      </c>
      <c r="I620" s="55">
        <f t="shared" si="633"/>
        <v>0</v>
      </c>
      <c r="J620" s="55">
        <f t="shared" si="634"/>
        <v>0</v>
      </c>
      <c r="K620" s="55">
        <f>'Stavební rozpočet'!K634</f>
        <v>0</v>
      </c>
      <c r="L620" s="55">
        <f t="shared" si="635"/>
        <v>0</v>
      </c>
      <c r="M620" s="51" t="s">
        <v>622</v>
      </c>
      <c r="Z620" s="29">
        <f t="shared" si="636"/>
        <v>0</v>
      </c>
      <c r="AB620" s="29">
        <f t="shared" si="637"/>
        <v>0</v>
      </c>
      <c r="AC620" s="29">
        <f t="shared" si="638"/>
        <v>0</v>
      </c>
      <c r="AD620" s="29">
        <f t="shared" si="639"/>
        <v>0</v>
      </c>
      <c r="AE620" s="29">
        <f t="shared" si="640"/>
        <v>0</v>
      </c>
      <c r="AF620" s="29">
        <f t="shared" si="641"/>
        <v>0</v>
      </c>
      <c r="AG620" s="29">
        <f t="shared" si="642"/>
        <v>0</v>
      </c>
      <c r="AH620" s="29">
        <f t="shared" si="643"/>
        <v>0</v>
      </c>
      <c r="AI620" s="48" t="s">
        <v>60</v>
      </c>
      <c r="AJ620" s="55">
        <f t="shared" si="644"/>
        <v>0</v>
      </c>
      <c r="AK620" s="55">
        <f t="shared" si="645"/>
        <v>0</v>
      </c>
      <c r="AL620" s="55">
        <f t="shared" si="646"/>
        <v>0</v>
      </c>
      <c r="AN620" s="29">
        <v>15</v>
      </c>
      <c r="AO620" s="29">
        <f t="shared" si="647"/>
        <v>0</v>
      </c>
      <c r="AP620" s="29">
        <f t="shared" si="648"/>
        <v>0</v>
      </c>
      <c r="AQ620" s="51" t="s">
        <v>79</v>
      </c>
      <c r="AV620" s="29">
        <f t="shared" si="649"/>
        <v>0</v>
      </c>
      <c r="AW620" s="29">
        <f t="shared" si="650"/>
        <v>0</v>
      </c>
      <c r="AX620" s="29">
        <f t="shared" si="651"/>
        <v>0</v>
      </c>
      <c r="AY620" s="54" t="s">
        <v>649</v>
      </c>
      <c r="AZ620" s="54" t="s">
        <v>1536</v>
      </c>
      <c r="BA620" s="48" t="s">
        <v>1542</v>
      </c>
      <c r="BC620" s="29">
        <f t="shared" si="652"/>
        <v>0</v>
      </c>
      <c r="BD620" s="29">
        <f t="shared" si="653"/>
        <v>0</v>
      </c>
      <c r="BE620" s="29">
        <v>0</v>
      </c>
      <c r="BF620" s="29">
        <f t="shared" si="654"/>
        <v>0</v>
      </c>
      <c r="BH620" s="55">
        <f t="shared" si="655"/>
        <v>0</v>
      </c>
      <c r="BI620" s="55">
        <f t="shared" si="656"/>
        <v>0</v>
      </c>
      <c r="BJ620" s="55">
        <f t="shared" si="657"/>
        <v>0</v>
      </c>
    </row>
    <row r="621" spans="1:62" ht="12.75">
      <c r="A621" s="36" t="s">
        <v>1860</v>
      </c>
      <c r="B621" s="36" t="s">
        <v>60</v>
      </c>
      <c r="C621" s="36" t="s">
        <v>1209</v>
      </c>
      <c r="D621" s="36" t="s">
        <v>1512</v>
      </c>
      <c r="E621" s="36" t="s">
        <v>611</v>
      </c>
      <c r="F621" s="55">
        <f>'Stavební rozpočet'!F635</f>
        <v>6</v>
      </c>
      <c r="G621" s="55">
        <f>'Stavební rozpočet'!G635</f>
        <v>0</v>
      </c>
      <c r="H621" s="55">
        <f t="shared" si="632"/>
        <v>0</v>
      </c>
      <c r="I621" s="55">
        <f t="shared" si="633"/>
        <v>0</v>
      </c>
      <c r="J621" s="55">
        <f t="shared" si="634"/>
        <v>0</v>
      </c>
      <c r="K621" s="55">
        <f>'Stavební rozpočet'!K635</f>
        <v>0</v>
      </c>
      <c r="L621" s="55">
        <f t="shared" si="635"/>
        <v>0</v>
      </c>
      <c r="M621" s="51" t="s">
        <v>622</v>
      </c>
      <c r="Z621" s="29">
        <f t="shared" si="636"/>
        <v>0</v>
      </c>
      <c r="AB621" s="29">
        <f t="shared" si="637"/>
        <v>0</v>
      </c>
      <c r="AC621" s="29">
        <f t="shared" si="638"/>
        <v>0</v>
      </c>
      <c r="AD621" s="29">
        <f t="shared" si="639"/>
        <v>0</v>
      </c>
      <c r="AE621" s="29">
        <f t="shared" si="640"/>
        <v>0</v>
      </c>
      <c r="AF621" s="29">
        <f t="shared" si="641"/>
        <v>0</v>
      </c>
      <c r="AG621" s="29">
        <f t="shared" si="642"/>
        <v>0</v>
      </c>
      <c r="AH621" s="29">
        <f t="shared" si="643"/>
        <v>0</v>
      </c>
      <c r="AI621" s="48" t="s">
        <v>60</v>
      </c>
      <c r="AJ621" s="55">
        <f t="shared" si="644"/>
        <v>0</v>
      </c>
      <c r="AK621" s="55">
        <f t="shared" si="645"/>
        <v>0</v>
      </c>
      <c r="AL621" s="55">
        <f t="shared" si="646"/>
        <v>0</v>
      </c>
      <c r="AN621" s="29">
        <v>15</v>
      </c>
      <c r="AO621" s="29">
        <f t="shared" si="647"/>
        <v>0</v>
      </c>
      <c r="AP621" s="29">
        <f t="shared" si="648"/>
        <v>0</v>
      </c>
      <c r="AQ621" s="51" t="s">
        <v>79</v>
      </c>
      <c r="AV621" s="29">
        <f t="shared" si="649"/>
        <v>0</v>
      </c>
      <c r="AW621" s="29">
        <f t="shared" si="650"/>
        <v>0</v>
      </c>
      <c r="AX621" s="29">
        <f t="shared" si="651"/>
        <v>0</v>
      </c>
      <c r="AY621" s="54" t="s">
        <v>649</v>
      </c>
      <c r="AZ621" s="54" t="s">
        <v>1536</v>
      </c>
      <c r="BA621" s="48" t="s">
        <v>1542</v>
      </c>
      <c r="BC621" s="29">
        <f t="shared" si="652"/>
        <v>0</v>
      </c>
      <c r="BD621" s="29">
        <f t="shared" si="653"/>
        <v>0</v>
      </c>
      <c r="BE621" s="29">
        <v>0</v>
      </c>
      <c r="BF621" s="29">
        <f t="shared" si="654"/>
        <v>0</v>
      </c>
      <c r="BH621" s="55">
        <f t="shared" si="655"/>
        <v>0</v>
      </c>
      <c r="BI621" s="55">
        <f t="shared" si="656"/>
        <v>0</v>
      </c>
      <c r="BJ621" s="55">
        <f t="shared" si="657"/>
        <v>0</v>
      </c>
    </row>
    <row r="622" spans="1:62" ht="12.75">
      <c r="A622" s="36" t="s">
        <v>1861</v>
      </c>
      <c r="B622" s="36" t="s">
        <v>60</v>
      </c>
      <c r="C622" s="36" t="s">
        <v>1210</v>
      </c>
      <c r="D622" s="36" t="s">
        <v>1513</v>
      </c>
      <c r="E622" s="36" t="s">
        <v>614</v>
      </c>
      <c r="F622" s="55">
        <f>'Stavební rozpočet'!F636</f>
        <v>1</v>
      </c>
      <c r="G622" s="55">
        <f>'Stavební rozpočet'!G636</f>
        <v>0</v>
      </c>
      <c r="H622" s="55">
        <f t="shared" si="632"/>
        <v>0</v>
      </c>
      <c r="I622" s="55">
        <f t="shared" si="633"/>
        <v>0</v>
      </c>
      <c r="J622" s="55">
        <f t="shared" si="634"/>
        <v>0</v>
      </c>
      <c r="K622" s="55">
        <f>'Stavební rozpočet'!K636</f>
        <v>0</v>
      </c>
      <c r="L622" s="55">
        <f t="shared" si="635"/>
        <v>0</v>
      </c>
      <c r="M622" s="51" t="s">
        <v>622</v>
      </c>
      <c r="Z622" s="29">
        <f t="shared" si="636"/>
        <v>0</v>
      </c>
      <c r="AB622" s="29">
        <f t="shared" si="637"/>
        <v>0</v>
      </c>
      <c r="AC622" s="29">
        <f t="shared" si="638"/>
        <v>0</v>
      </c>
      <c r="AD622" s="29">
        <f t="shared" si="639"/>
        <v>0</v>
      </c>
      <c r="AE622" s="29">
        <f t="shared" si="640"/>
        <v>0</v>
      </c>
      <c r="AF622" s="29">
        <f t="shared" si="641"/>
        <v>0</v>
      </c>
      <c r="AG622" s="29">
        <f t="shared" si="642"/>
        <v>0</v>
      </c>
      <c r="AH622" s="29">
        <f t="shared" si="643"/>
        <v>0</v>
      </c>
      <c r="AI622" s="48" t="s">
        <v>60</v>
      </c>
      <c r="AJ622" s="55">
        <f t="shared" si="644"/>
        <v>0</v>
      </c>
      <c r="AK622" s="55">
        <f t="shared" si="645"/>
        <v>0</v>
      </c>
      <c r="AL622" s="55">
        <f t="shared" si="646"/>
        <v>0</v>
      </c>
      <c r="AN622" s="29">
        <v>15</v>
      </c>
      <c r="AO622" s="29">
        <f t="shared" si="647"/>
        <v>0</v>
      </c>
      <c r="AP622" s="29">
        <f t="shared" si="648"/>
        <v>0</v>
      </c>
      <c r="AQ622" s="51" t="s">
        <v>79</v>
      </c>
      <c r="AV622" s="29">
        <f t="shared" si="649"/>
        <v>0</v>
      </c>
      <c r="AW622" s="29">
        <f t="shared" si="650"/>
        <v>0</v>
      </c>
      <c r="AX622" s="29">
        <f t="shared" si="651"/>
        <v>0</v>
      </c>
      <c r="AY622" s="54" t="s">
        <v>649</v>
      </c>
      <c r="AZ622" s="54" t="s">
        <v>1536</v>
      </c>
      <c r="BA622" s="48" t="s">
        <v>1542</v>
      </c>
      <c r="BC622" s="29">
        <f t="shared" si="652"/>
        <v>0</v>
      </c>
      <c r="BD622" s="29">
        <f t="shared" si="653"/>
        <v>0</v>
      </c>
      <c r="BE622" s="29">
        <v>0</v>
      </c>
      <c r="BF622" s="29">
        <f t="shared" si="654"/>
        <v>0</v>
      </c>
      <c r="BH622" s="55">
        <f t="shared" si="655"/>
        <v>0</v>
      </c>
      <c r="BI622" s="55">
        <f t="shared" si="656"/>
        <v>0</v>
      </c>
      <c r="BJ622" s="55">
        <f t="shared" si="657"/>
        <v>0</v>
      </c>
    </row>
    <row r="623" spans="1:62" ht="12.75">
      <c r="A623" s="36" t="s">
        <v>1862</v>
      </c>
      <c r="B623" s="36" t="s">
        <v>60</v>
      </c>
      <c r="C623" s="36" t="s">
        <v>1211</v>
      </c>
      <c r="D623" s="36" t="s">
        <v>1514</v>
      </c>
      <c r="E623" s="36" t="s">
        <v>611</v>
      </c>
      <c r="F623" s="55">
        <f>'Stavební rozpočet'!F637</f>
        <v>3</v>
      </c>
      <c r="G623" s="55">
        <f>'Stavební rozpočet'!G637</f>
        <v>0</v>
      </c>
      <c r="H623" s="55">
        <f t="shared" si="632"/>
        <v>0</v>
      </c>
      <c r="I623" s="55">
        <f t="shared" si="633"/>
        <v>0</v>
      </c>
      <c r="J623" s="55">
        <f t="shared" si="634"/>
        <v>0</v>
      </c>
      <c r="K623" s="55">
        <f>'Stavební rozpočet'!K637</f>
        <v>0</v>
      </c>
      <c r="L623" s="55">
        <f t="shared" si="635"/>
        <v>0</v>
      </c>
      <c r="M623" s="51" t="s">
        <v>622</v>
      </c>
      <c r="Z623" s="29">
        <f t="shared" si="636"/>
        <v>0</v>
      </c>
      <c r="AB623" s="29">
        <f t="shared" si="637"/>
        <v>0</v>
      </c>
      <c r="AC623" s="29">
        <f t="shared" si="638"/>
        <v>0</v>
      </c>
      <c r="AD623" s="29">
        <f t="shared" si="639"/>
        <v>0</v>
      </c>
      <c r="AE623" s="29">
        <f t="shared" si="640"/>
        <v>0</v>
      </c>
      <c r="AF623" s="29">
        <f t="shared" si="641"/>
        <v>0</v>
      </c>
      <c r="AG623" s="29">
        <f t="shared" si="642"/>
        <v>0</v>
      </c>
      <c r="AH623" s="29">
        <f t="shared" si="643"/>
        <v>0</v>
      </c>
      <c r="AI623" s="48" t="s">
        <v>60</v>
      </c>
      <c r="AJ623" s="55">
        <f t="shared" si="644"/>
        <v>0</v>
      </c>
      <c r="AK623" s="55">
        <f t="shared" si="645"/>
        <v>0</v>
      </c>
      <c r="AL623" s="55">
        <f t="shared" si="646"/>
        <v>0</v>
      </c>
      <c r="AN623" s="29">
        <v>15</v>
      </c>
      <c r="AO623" s="29">
        <f t="shared" si="647"/>
        <v>0</v>
      </c>
      <c r="AP623" s="29">
        <f t="shared" si="648"/>
        <v>0</v>
      </c>
      <c r="AQ623" s="51" t="s">
        <v>79</v>
      </c>
      <c r="AV623" s="29">
        <f t="shared" si="649"/>
        <v>0</v>
      </c>
      <c r="AW623" s="29">
        <f t="shared" si="650"/>
        <v>0</v>
      </c>
      <c r="AX623" s="29">
        <f t="shared" si="651"/>
        <v>0</v>
      </c>
      <c r="AY623" s="54" t="s">
        <v>649</v>
      </c>
      <c r="AZ623" s="54" t="s">
        <v>1536</v>
      </c>
      <c r="BA623" s="48" t="s">
        <v>1542</v>
      </c>
      <c r="BC623" s="29">
        <f t="shared" si="652"/>
        <v>0</v>
      </c>
      <c r="BD623" s="29">
        <f t="shared" si="653"/>
        <v>0</v>
      </c>
      <c r="BE623" s="29">
        <v>0</v>
      </c>
      <c r="BF623" s="29">
        <f t="shared" si="654"/>
        <v>0</v>
      </c>
      <c r="BH623" s="55">
        <f t="shared" si="655"/>
        <v>0</v>
      </c>
      <c r="BI623" s="55">
        <f t="shared" si="656"/>
        <v>0</v>
      </c>
      <c r="BJ623" s="55">
        <f t="shared" si="657"/>
        <v>0</v>
      </c>
    </row>
    <row r="624" spans="1:62" ht="12.75">
      <c r="A624" s="36" t="s">
        <v>1863</v>
      </c>
      <c r="B624" s="36" t="s">
        <v>60</v>
      </c>
      <c r="C624" s="36" t="s">
        <v>1212</v>
      </c>
      <c r="D624" s="36" t="s">
        <v>1514</v>
      </c>
      <c r="E624" s="36" t="s">
        <v>613</v>
      </c>
      <c r="F624" s="55">
        <f>'Stavební rozpočet'!F638</f>
        <v>1</v>
      </c>
      <c r="G624" s="55">
        <f>'Stavební rozpočet'!G638</f>
        <v>0</v>
      </c>
      <c r="H624" s="55">
        <f t="shared" si="632"/>
        <v>0</v>
      </c>
      <c r="I624" s="55">
        <f t="shared" si="633"/>
        <v>0</v>
      </c>
      <c r="J624" s="55">
        <f t="shared" si="634"/>
        <v>0</v>
      </c>
      <c r="K624" s="55">
        <f>'Stavební rozpočet'!K638</f>
        <v>0</v>
      </c>
      <c r="L624" s="55">
        <f t="shared" si="635"/>
        <v>0</v>
      </c>
      <c r="M624" s="51" t="s">
        <v>622</v>
      </c>
      <c r="Z624" s="29">
        <f t="shared" si="636"/>
        <v>0</v>
      </c>
      <c r="AB624" s="29">
        <f t="shared" si="637"/>
        <v>0</v>
      </c>
      <c r="AC624" s="29">
        <f t="shared" si="638"/>
        <v>0</v>
      </c>
      <c r="AD624" s="29">
        <f t="shared" si="639"/>
        <v>0</v>
      </c>
      <c r="AE624" s="29">
        <f t="shared" si="640"/>
        <v>0</v>
      </c>
      <c r="AF624" s="29">
        <f t="shared" si="641"/>
        <v>0</v>
      </c>
      <c r="AG624" s="29">
        <f t="shared" si="642"/>
        <v>0</v>
      </c>
      <c r="AH624" s="29">
        <f t="shared" si="643"/>
        <v>0</v>
      </c>
      <c r="AI624" s="48" t="s">
        <v>60</v>
      </c>
      <c r="AJ624" s="55">
        <f t="shared" si="644"/>
        <v>0</v>
      </c>
      <c r="AK624" s="55">
        <f t="shared" si="645"/>
        <v>0</v>
      </c>
      <c r="AL624" s="55">
        <f t="shared" si="646"/>
        <v>0</v>
      </c>
      <c r="AN624" s="29">
        <v>15</v>
      </c>
      <c r="AO624" s="29">
        <f t="shared" si="647"/>
        <v>0</v>
      </c>
      <c r="AP624" s="29">
        <f t="shared" si="648"/>
        <v>0</v>
      </c>
      <c r="AQ624" s="51" t="s">
        <v>79</v>
      </c>
      <c r="AV624" s="29">
        <f t="shared" si="649"/>
        <v>0</v>
      </c>
      <c r="AW624" s="29">
        <f t="shared" si="650"/>
        <v>0</v>
      </c>
      <c r="AX624" s="29">
        <f t="shared" si="651"/>
        <v>0</v>
      </c>
      <c r="AY624" s="54" t="s">
        <v>649</v>
      </c>
      <c r="AZ624" s="54" t="s">
        <v>1536</v>
      </c>
      <c r="BA624" s="48" t="s">
        <v>1542</v>
      </c>
      <c r="BC624" s="29">
        <f t="shared" si="652"/>
        <v>0</v>
      </c>
      <c r="BD624" s="29">
        <f t="shared" si="653"/>
        <v>0</v>
      </c>
      <c r="BE624" s="29">
        <v>0</v>
      </c>
      <c r="BF624" s="29">
        <f t="shared" si="654"/>
        <v>0</v>
      </c>
      <c r="BH624" s="55">
        <f t="shared" si="655"/>
        <v>0</v>
      </c>
      <c r="BI624" s="55">
        <f t="shared" si="656"/>
        <v>0</v>
      </c>
      <c r="BJ624" s="55">
        <f t="shared" si="657"/>
        <v>0</v>
      </c>
    </row>
    <row r="625" spans="1:62" ht="12.75">
      <c r="A625" s="36" t="s">
        <v>1864</v>
      </c>
      <c r="B625" s="36" t="s">
        <v>60</v>
      </c>
      <c r="C625" s="36" t="s">
        <v>1213</v>
      </c>
      <c r="D625" s="36" t="s">
        <v>1515</v>
      </c>
      <c r="E625" s="36" t="s">
        <v>613</v>
      </c>
      <c r="F625" s="55">
        <f>'Stavební rozpočet'!F639</f>
        <v>1</v>
      </c>
      <c r="G625" s="55">
        <f>'Stavební rozpočet'!G639</f>
        <v>0</v>
      </c>
      <c r="H625" s="55">
        <f t="shared" si="632"/>
        <v>0</v>
      </c>
      <c r="I625" s="55">
        <f t="shared" si="633"/>
        <v>0</v>
      </c>
      <c r="J625" s="55">
        <f t="shared" si="634"/>
        <v>0</v>
      </c>
      <c r="K625" s="55">
        <f>'Stavební rozpočet'!K639</f>
        <v>0</v>
      </c>
      <c r="L625" s="55">
        <f t="shared" si="635"/>
        <v>0</v>
      </c>
      <c r="M625" s="51" t="s">
        <v>622</v>
      </c>
      <c r="Z625" s="29">
        <f t="shared" si="636"/>
        <v>0</v>
      </c>
      <c r="AB625" s="29">
        <f t="shared" si="637"/>
        <v>0</v>
      </c>
      <c r="AC625" s="29">
        <f t="shared" si="638"/>
        <v>0</v>
      </c>
      <c r="AD625" s="29">
        <f t="shared" si="639"/>
        <v>0</v>
      </c>
      <c r="AE625" s="29">
        <f t="shared" si="640"/>
        <v>0</v>
      </c>
      <c r="AF625" s="29">
        <f t="shared" si="641"/>
        <v>0</v>
      </c>
      <c r="AG625" s="29">
        <f t="shared" si="642"/>
        <v>0</v>
      </c>
      <c r="AH625" s="29">
        <f t="shared" si="643"/>
        <v>0</v>
      </c>
      <c r="AI625" s="48" t="s">
        <v>60</v>
      </c>
      <c r="AJ625" s="55">
        <f t="shared" si="644"/>
        <v>0</v>
      </c>
      <c r="AK625" s="55">
        <f t="shared" si="645"/>
        <v>0</v>
      </c>
      <c r="AL625" s="55">
        <f t="shared" si="646"/>
        <v>0</v>
      </c>
      <c r="AN625" s="29">
        <v>15</v>
      </c>
      <c r="AO625" s="29">
        <f t="shared" si="647"/>
        <v>0</v>
      </c>
      <c r="AP625" s="29">
        <f t="shared" si="648"/>
        <v>0</v>
      </c>
      <c r="AQ625" s="51" t="s">
        <v>79</v>
      </c>
      <c r="AV625" s="29">
        <f t="shared" si="649"/>
        <v>0</v>
      </c>
      <c r="AW625" s="29">
        <f t="shared" si="650"/>
        <v>0</v>
      </c>
      <c r="AX625" s="29">
        <f t="shared" si="651"/>
        <v>0</v>
      </c>
      <c r="AY625" s="54" t="s">
        <v>649</v>
      </c>
      <c r="AZ625" s="54" t="s">
        <v>1536</v>
      </c>
      <c r="BA625" s="48" t="s">
        <v>1542</v>
      </c>
      <c r="BC625" s="29">
        <f t="shared" si="652"/>
        <v>0</v>
      </c>
      <c r="BD625" s="29">
        <f t="shared" si="653"/>
        <v>0</v>
      </c>
      <c r="BE625" s="29">
        <v>0</v>
      </c>
      <c r="BF625" s="29">
        <f t="shared" si="654"/>
        <v>0</v>
      </c>
      <c r="BH625" s="55">
        <f t="shared" si="655"/>
        <v>0</v>
      </c>
      <c r="BI625" s="55">
        <f t="shared" si="656"/>
        <v>0</v>
      </c>
      <c r="BJ625" s="55">
        <f t="shared" si="657"/>
        <v>0</v>
      </c>
    </row>
    <row r="626" spans="1:62" ht="12.75">
      <c r="A626" s="36" t="s">
        <v>1865</v>
      </c>
      <c r="B626" s="36" t="s">
        <v>60</v>
      </c>
      <c r="C626" s="36" t="s">
        <v>1214</v>
      </c>
      <c r="D626" s="36" t="s">
        <v>1515</v>
      </c>
      <c r="E626" s="36" t="s">
        <v>613</v>
      </c>
      <c r="F626" s="55">
        <f>'Stavební rozpočet'!F640</f>
        <v>1</v>
      </c>
      <c r="G626" s="55">
        <f>'Stavební rozpočet'!G640</f>
        <v>0</v>
      </c>
      <c r="H626" s="55">
        <f aca="true" t="shared" si="658" ref="H626:H652">F626*AO626</f>
        <v>0</v>
      </c>
      <c r="I626" s="55">
        <f aca="true" t="shared" si="659" ref="I626:I652">F626*AP626</f>
        <v>0</v>
      </c>
      <c r="J626" s="55">
        <f aca="true" t="shared" si="660" ref="J626:J652">F626*G626</f>
        <v>0</v>
      </c>
      <c r="K626" s="55">
        <f>'Stavební rozpočet'!K640</f>
        <v>0</v>
      </c>
      <c r="L626" s="55">
        <f aca="true" t="shared" si="661" ref="L626:L652">F626*K626</f>
        <v>0</v>
      </c>
      <c r="M626" s="51" t="s">
        <v>622</v>
      </c>
      <c r="Z626" s="29">
        <f aca="true" t="shared" si="662" ref="Z626:Z652">IF(AQ626="5",BJ626,0)</f>
        <v>0</v>
      </c>
      <c r="AB626" s="29">
        <f aca="true" t="shared" si="663" ref="AB626:AB652">IF(AQ626="1",BH626,0)</f>
        <v>0</v>
      </c>
      <c r="AC626" s="29">
        <f aca="true" t="shared" si="664" ref="AC626:AC652">IF(AQ626="1",BI626,0)</f>
        <v>0</v>
      </c>
      <c r="AD626" s="29">
        <f aca="true" t="shared" si="665" ref="AD626:AD652">IF(AQ626="7",BH626,0)</f>
        <v>0</v>
      </c>
      <c r="AE626" s="29">
        <f aca="true" t="shared" si="666" ref="AE626:AE652">IF(AQ626="7",BI626,0)</f>
        <v>0</v>
      </c>
      <c r="AF626" s="29">
        <f aca="true" t="shared" si="667" ref="AF626:AF652">IF(AQ626="2",BH626,0)</f>
        <v>0</v>
      </c>
      <c r="AG626" s="29">
        <f aca="true" t="shared" si="668" ref="AG626:AG652">IF(AQ626="2",BI626,0)</f>
        <v>0</v>
      </c>
      <c r="AH626" s="29">
        <f aca="true" t="shared" si="669" ref="AH626:AH652">IF(AQ626="0",BJ626,0)</f>
        <v>0</v>
      </c>
      <c r="AI626" s="48" t="s">
        <v>60</v>
      </c>
      <c r="AJ626" s="55">
        <f aca="true" t="shared" si="670" ref="AJ626:AJ652">IF(AN626=0,J626,0)</f>
        <v>0</v>
      </c>
      <c r="AK626" s="55">
        <f aca="true" t="shared" si="671" ref="AK626:AK652">IF(AN626=15,J626,0)</f>
        <v>0</v>
      </c>
      <c r="AL626" s="55">
        <f aca="true" t="shared" si="672" ref="AL626:AL652">IF(AN626=21,J626,0)</f>
        <v>0</v>
      </c>
      <c r="AN626" s="29">
        <v>15</v>
      </c>
      <c r="AO626" s="29">
        <f aca="true" t="shared" si="673" ref="AO626:AO652">G626*0</f>
        <v>0</v>
      </c>
      <c r="AP626" s="29">
        <f aca="true" t="shared" si="674" ref="AP626:AP652">G626*(1-0)</f>
        <v>0</v>
      </c>
      <c r="AQ626" s="51" t="s">
        <v>79</v>
      </c>
      <c r="AV626" s="29">
        <f aca="true" t="shared" si="675" ref="AV626:AV652">AW626+AX626</f>
        <v>0</v>
      </c>
      <c r="AW626" s="29">
        <f aca="true" t="shared" si="676" ref="AW626:AW652">F626*AO626</f>
        <v>0</v>
      </c>
      <c r="AX626" s="29">
        <f aca="true" t="shared" si="677" ref="AX626:AX652">F626*AP626</f>
        <v>0</v>
      </c>
      <c r="AY626" s="54" t="s">
        <v>649</v>
      </c>
      <c r="AZ626" s="54" t="s">
        <v>1536</v>
      </c>
      <c r="BA626" s="48" t="s">
        <v>1542</v>
      </c>
      <c r="BC626" s="29">
        <f aca="true" t="shared" si="678" ref="BC626:BC652">AW626+AX626</f>
        <v>0</v>
      </c>
      <c r="BD626" s="29">
        <f aca="true" t="shared" si="679" ref="BD626:BD652">G626/(100-BE626)*100</f>
        <v>0</v>
      </c>
      <c r="BE626" s="29">
        <v>0</v>
      </c>
      <c r="BF626" s="29">
        <f aca="true" t="shared" si="680" ref="BF626:BF652">L626</f>
        <v>0</v>
      </c>
      <c r="BH626" s="55">
        <f aca="true" t="shared" si="681" ref="BH626:BH652">F626*AO626</f>
        <v>0</v>
      </c>
      <c r="BI626" s="55">
        <f aca="true" t="shared" si="682" ref="BI626:BI652">F626*AP626</f>
        <v>0</v>
      </c>
      <c r="BJ626" s="55">
        <f aca="true" t="shared" si="683" ref="BJ626:BJ652">F626*G626</f>
        <v>0</v>
      </c>
    </row>
    <row r="627" spans="1:62" ht="12.75">
      <c r="A627" s="36" t="s">
        <v>1866</v>
      </c>
      <c r="B627" s="36" t="s">
        <v>60</v>
      </c>
      <c r="C627" s="36" t="s">
        <v>1215</v>
      </c>
      <c r="D627" s="36" t="s">
        <v>1516</v>
      </c>
      <c r="E627" s="36" t="s">
        <v>613</v>
      </c>
      <c r="F627" s="55">
        <f>'Stavební rozpočet'!F641</f>
        <v>1</v>
      </c>
      <c r="G627" s="55">
        <f>'Stavební rozpočet'!G641</f>
        <v>0</v>
      </c>
      <c r="H627" s="55">
        <f t="shared" si="658"/>
        <v>0</v>
      </c>
      <c r="I627" s="55">
        <f t="shared" si="659"/>
        <v>0</v>
      </c>
      <c r="J627" s="55">
        <f t="shared" si="660"/>
        <v>0</v>
      </c>
      <c r="K627" s="55">
        <f>'Stavební rozpočet'!K641</f>
        <v>0</v>
      </c>
      <c r="L627" s="55">
        <f t="shared" si="661"/>
        <v>0</v>
      </c>
      <c r="M627" s="51" t="s">
        <v>622</v>
      </c>
      <c r="Z627" s="29">
        <f t="shared" si="662"/>
        <v>0</v>
      </c>
      <c r="AB627" s="29">
        <f t="shared" si="663"/>
        <v>0</v>
      </c>
      <c r="AC627" s="29">
        <f t="shared" si="664"/>
        <v>0</v>
      </c>
      <c r="AD627" s="29">
        <f t="shared" si="665"/>
        <v>0</v>
      </c>
      <c r="AE627" s="29">
        <f t="shared" si="666"/>
        <v>0</v>
      </c>
      <c r="AF627" s="29">
        <f t="shared" si="667"/>
        <v>0</v>
      </c>
      <c r="AG627" s="29">
        <f t="shared" si="668"/>
        <v>0</v>
      </c>
      <c r="AH627" s="29">
        <f t="shared" si="669"/>
        <v>0</v>
      </c>
      <c r="AI627" s="48" t="s">
        <v>60</v>
      </c>
      <c r="AJ627" s="55">
        <f t="shared" si="670"/>
        <v>0</v>
      </c>
      <c r="AK627" s="55">
        <f t="shared" si="671"/>
        <v>0</v>
      </c>
      <c r="AL627" s="55">
        <f t="shared" si="672"/>
        <v>0</v>
      </c>
      <c r="AN627" s="29">
        <v>15</v>
      </c>
      <c r="AO627" s="29">
        <f t="shared" si="673"/>
        <v>0</v>
      </c>
      <c r="AP627" s="29">
        <f t="shared" si="674"/>
        <v>0</v>
      </c>
      <c r="AQ627" s="51" t="s">
        <v>79</v>
      </c>
      <c r="AV627" s="29">
        <f t="shared" si="675"/>
        <v>0</v>
      </c>
      <c r="AW627" s="29">
        <f t="shared" si="676"/>
        <v>0</v>
      </c>
      <c r="AX627" s="29">
        <f t="shared" si="677"/>
        <v>0</v>
      </c>
      <c r="AY627" s="54" t="s">
        <v>649</v>
      </c>
      <c r="AZ627" s="54" t="s">
        <v>1536</v>
      </c>
      <c r="BA627" s="48" t="s">
        <v>1542</v>
      </c>
      <c r="BC627" s="29">
        <f t="shared" si="678"/>
        <v>0</v>
      </c>
      <c r="BD627" s="29">
        <f t="shared" si="679"/>
        <v>0</v>
      </c>
      <c r="BE627" s="29">
        <v>0</v>
      </c>
      <c r="BF627" s="29">
        <f t="shared" si="680"/>
        <v>0</v>
      </c>
      <c r="BH627" s="55">
        <f t="shared" si="681"/>
        <v>0</v>
      </c>
      <c r="BI627" s="55">
        <f t="shared" si="682"/>
        <v>0</v>
      </c>
      <c r="BJ627" s="55">
        <f t="shared" si="683"/>
        <v>0</v>
      </c>
    </row>
    <row r="628" spans="1:62" ht="12.75">
      <c r="A628" s="36" t="s">
        <v>1867</v>
      </c>
      <c r="B628" s="36" t="s">
        <v>60</v>
      </c>
      <c r="C628" s="36" t="s">
        <v>1205</v>
      </c>
      <c r="D628" s="36" t="s">
        <v>1516</v>
      </c>
      <c r="E628" s="36" t="s">
        <v>613</v>
      </c>
      <c r="F628" s="55">
        <f>'Stavební rozpočet'!F642</f>
        <v>1</v>
      </c>
      <c r="G628" s="55">
        <f>'Stavební rozpočet'!G642</f>
        <v>0</v>
      </c>
      <c r="H628" s="55">
        <f t="shared" si="658"/>
        <v>0</v>
      </c>
      <c r="I628" s="55">
        <f t="shared" si="659"/>
        <v>0</v>
      </c>
      <c r="J628" s="55">
        <f t="shared" si="660"/>
        <v>0</v>
      </c>
      <c r="K628" s="55">
        <f>'Stavební rozpočet'!K642</f>
        <v>0</v>
      </c>
      <c r="L628" s="55">
        <f t="shared" si="661"/>
        <v>0</v>
      </c>
      <c r="M628" s="51" t="s">
        <v>622</v>
      </c>
      <c r="Z628" s="29">
        <f t="shared" si="662"/>
        <v>0</v>
      </c>
      <c r="AB628" s="29">
        <f t="shared" si="663"/>
        <v>0</v>
      </c>
      <c r="AC628" s="29">
        <f t="shared" si="664"/>
        <v>0</v>
      </c>
      <c r="AD628" s="29">
        <f t="shared" si="665"/>
        <v>0</v>
      </c>
      <c r="AE628" s="29">
        <f t="shared" si="666"/>
        <v>0</v>
      </c>
      <c r="AF628" s="29">
        <f t="shared" si="667"/>
        <v>0</v>
      </c>
      <c r="AG628" s="29">
        <f t="shared" si="668"/>
        <v>0</v>
      </c>
      <c r="AH628" s="29">
        <f t="shared" si="669"/>
        <v>0</v>
      </c>
      <c r="AI628" s="48" t="s">
        <v>60</v>
      </c>
      <c r="AJ628" s="55">
        <f t="shared" si="670"/>
        <v>0</v>
      </c>
      <c r="AK628" s="55">
        <f t="shared" si="671"/>
        <v>0</v>
      </c>
      <c r="AL628" s="55">
        <f t="shared" si="672"/>
        <v>0</v>
      </c>
      <c r="AN628" s="29">
        <v>15</v>
      </c>
      <c r="AO628" s="29">
        <f t="shared" si="673"/>
        <v>0</v>
      </c>
      <c r="AP628" s="29">
        <f t="shared" si="674"/>
        <v>0</v>
      </c>
      <c r="AQ628" s="51" t="s">
        <v>79</v>
      </c>
      <c r="AV628" s="29">
        <f t="shared" si="675"/>
        <v>0</v>
      </c>
      <c r="AW628" s="29">
        <f t="shared" si="676"/>
        <v>0</v>
      </c>
      <c r="AX628" s="29">
        <f t="shared" si="677"/>
        <v>0</v>
      </c>
      <c r="AY628" s="54" t="s">
        <v>649</v>
      </c>
      <c r="AZ628" s="54" t="s">
        <v>1536</v>
      </c>
      <c r="BA628" s="48" t="s">
        <v>1542</v>
      </c>
      <c r="BC628" s="29">
        <f t="shared" si="678"/>
        <v>0</v>
      </c>
      <c r="BD628" s="29">
        <f t="shared" si="679"/>
        <v>0</v>
      </c>
      <c r="BE628" s="29">
        <v>0</v>
      </c>
      <c r="BF628" s="29">
        <f t="shared" si="680"/>
        <v>0</v>
      </c>
      <c r="BH628" s="55">
        <f t="shared" si="681"/>
        <v>0</v>
      </c>
      <c r="BI628" s="55">
        <f t="shared" si="682"/>
        <v>0</v>
      </c>
      <c r="BJ628" s="55">
        <f t="shared" si="683"/>
        <v>0</v>
      </c>
    </row>
    <row r="629" spans="1:62" ht="12.75">
      <c r="A629" s="36" t="s">
        <v>1868</v>
      </c>
      <c r="B629" s="36" t="s">
        <v>60</v>
      </c>
      <c r="C629" s="36" t="s">
        <v>1216</v>
      </c>
      <c r="D629" s="36" t="s">
        <v>1517</v>
      </c>
      <c r="E629" s="36" t="s">
        <v>613</v>
      </c>
      <c r="F629" s="55">
        <f>'Stavební rozpočet'!F643</f>
        <v>1</v>
      </c>
      <c r="G629" s="55">
        <f>'Stavební rozpočet'!G643</f>
        <v>0</v>
      </c>
      <c r="H629" s="55">
        <f t="shared" si="658"/>
        <v>0</v>
      </c>
      <c r="I629" s="55">
        <f t="shared" si="659"/>
        <v>0</v>
      </c>
      <c r="J629" s="55">
        <f t="shared" si="660"/>
        <v>0</v>
      </c>
      <c r="K629" s="55">
        <f>'Stavební rozpočet'!K643</f>
        <v>0</v>
      </c>
      <c r="L629" s="55">
        <f t="shared" si="661"/>
        <v>0</v>
      </c>
      <c r="M629" s="51" t="s">
        <v>622</v>
      </c>
      <c r="Z629" s="29">
        <f t="shared" si="662"/>
        <v>0</v>
      </c>
      <c r="AB629" s="29">
        <f t="shared" si="663"/>
        <v>0</v>
      </c>
      <c r="AC629" s="29">
        <f t="shared" si="664"/>
        <v>0</v>
      </c>
      <c r="AD629" s="29">
        <f t="shared" si="665"/>
        <v>0</v>
      </c>
      <c r="AE629" s="29">
        <f t="shared" si="666"/>
        <v>0</v>
      </c>
      <c r="AF629" s="29">
        <f t="shared" si="667"/>
        <v>0</v>
      </c>
      <c r="AG629" s="29">
        <f t="shared" si="668"/>
        <v>0</v>
      </c>
      <c r="AH629" s="29">
        <f t="shared" si="669"/>
        <v>0</v>
      </c>
      <c r="AI629" s="48" t="s">
        <v>60</v>
      </c>
      <c r="AJ629" s="55">
        <f t="shared" si="670"/>
        <v>0</v>
      </c>
      <c r="AK629" s="55">
        <f t="shared" si="671"/>
        <v>0</v>
      </c>
      <c r="AL629" s="55">
        <f t="shared" si="672"/>
        <v>0</v>
      </c>
      <c r="AN629" s="29">
        <v>15</v>
      </c>
      <c r="AO629" s="29">
        <f t="shared" si="673"/>
        <v>0</v>
      </c>
      <c r="AP629" s="29">
        <f t="shared" si="674"/>
        <v>0</v>
      </c>
      <c r="AQ629" s="51" t="s">
        <v>79</v>
      </c>
      <c r="AV629" s="29">
        <f t="shared" si="675"/>
        <v>0</v>
      </c>
      <c r="AW629" s="29">
        <f t="shared" si="676"/>
        <v>0</v>
      </c>
      <c r="AX629" s="29">
        <f t="shared" si="677"/>
        <v>0</v>
      </c>
      <c r="AY629" s="54" t="s">
        <v>649</v>
      </c>
      <c r="AZ629" s="54" t="s">
        <v>1536</v>
      </c>
      <c r="BA629" s="48" t="s">
        <v>1542</v>
      </c>
      <c r="BC629" s="29">
        <f t="shared" si="678"/>
        <v>0</v>
      </c>
      <c r="BD629" s="29">
        <f t="shared" si="679"/>
        <v>0</v>
      </c>
      <c r="BE629" s="29">
        <v>0</v>
      </c>
      <c r="BF629" s="29">
        <f t="shared" si="680"/>
        <v>0</v>
      </c>
      <c r="BH629" s="55">
        <f t="shared" si="681"/>
        <v>0</v>
      </c>
      <c r="BI629" s="55">
        <f t="shared" si="682"/>
        <v>0</v>
      </c>
      <c r="BJ629" s="55">
        <f t="shared" si="683"/>
        <v>0</v>
      </c>
    </row>
    <row r="630" spans="1:62" ht="12.75">
      <c r="A630" s="36" t="s">
        <v>1869</v>
      </c>
      <c r="B630" s="36" t="s">
        <v>60</v>
      </c>
      <c r="C630" s="36" t="s">
        <v>1217</v>
      </c>
      <c r="D630" s="36" t="s">
        <v>1517</v>
      </c>
      <c r="E630" s="36" t="s">
        <v>613</v>
      </c>
      <c r="F630" s="55">
        <f>'Stavební rozpočet'!F644</f>
        <v>1</v>
      </c>
      <c r="G630" s="55">
        <f>'Stavební rozpočet'!G644</f>
        <v>0</v>
      </c>
      <c r="H630" s="55">
        <f t="shared" si="658"/>
        <v>0</v>
      </c>
      <c r="I630" s="55">
        <f t="shared" si="659"/>
        <v>0</v>
      </c>
      <c r="J630" s="55">
        <f t="shared" si="660"/>
        <v>0</v>
      </c>
      <c r="K630" s="55">
        <f>'Stavební rozpočet'!K644</f>
        <v>0</v>
      </c>
      <c r="L630" s="55">
        <f t="shared" si="661"/>
        <v>0</v>
      </c>
      <c r="M630" s="51" t="s">
        <v>622</v>
      </c>
      <c r="Z630" s="29">
        <f t="shared" si="662"/>
        <v>0</v>
      </c>
      <c r="AB630" s="29">
        <f t="shared" si="663"/>
        <v>0</v>
      </c>
      <c r="AC630" s="29">
        <f t="shared" si="664"/>
        <v>0</v>
      </c>
      <c r="AD630" s="29">
        <f t="shared" si="665"/>
        <v>0</v>
      </c>
      <c r="AE630" s="29">
        <f t="shared" si="666"/>
        <v>0</v>
      </c>
      <c r="AF630" s="29">
        <f t="shared" si="667"/>
        <v>0</v>
      </c>
      <c r="AG630" s="29">
        <f t="shared" si="668"/>
        <v>0</v>
      </c>
      <c r="AH630" s="29">
        <f t="shared" si="669"/>
        <v>0</v>
      </c>
      <c r="AI630" s="48" t="s">
        <v>60</v>
      </c>
      <c r="AJ630" s="55">
        <f t="shared" si="670"/>
        <v>0</v>
      </c>
      <c r="AK630" s="55">
        <f t="shared" si="671"/>
        <v>0</v>
      </c>
      <c r="AL630" s="55">
        <f t="shared" si="672"/>
        <v>0</v>
      </c>
      <c r="AN630" s="29">
        <v>15</v>
      </c>
      <c r="AO630" s="29">
        <f t="shared" si="673"/>
        <v>0</v>
      </c>
      <c r="AP630" s="29">
        <f t="shared" si="674"/>
        <v>0</v>
      </c>
      <c r="AQ630" s="51" t="s">
        <v>79</v>
      </c>
      <c r="AV630" s="29">
        <f t="shared" si="675"/>
        <v>0</v>
      </c>
      <c r="AW630" s="29">
        <f t="shared" si="676"/>
        <v>0</v>
      </c>
      <c r="AX630" s="29">
        <f t="shared" si="677"/>
        <v>0</v>
      </c>
      <c r="AY630" s="54" t="s">
        <v>649</v>
      </c>
      <c r="AZ630" s="54" t="s">
        <v>1536</v>
      </c>
      <c r="BA630" s="48" t="s">
        <v>1542</v>
      </c>
      <c r="BC630" s="29">
        <f t="shared" si="678"/>
        <v>0</v>
      </c>
      <c r="BD630" s="29">
        <f t="shared" si="679"/>
        <v>0</v>
      </c>
      <c r="BE630" s="29">
        <v>0</v>
      </c>
      <c r="BF630" s="29">
        <f t="shared" si="680"/>
        <v>0</v>
      </c>
      <c r="BH630" s="55">
        <f t="shared" si="681"/>
        <v>0</v>
      </c>
      <c r="BI630" s="55">
        <f t="shared" si="682"/>
        <v>0</v>
      </c>
      <c r="BJ630" s="55">
        <f t="shared" si="683"/>
        <v>0</v>
      </c>
    </row>
    <row r="631" spans="1:62" ht="12.75">
      <c r="A631" s="36" t="s">
        <v>1870</v>
      </c>
      <c r="B631" s="36" t="s">
        <v>60</v>
      </c>
      <c r="C631" s="36" t="s">
        <v>403</v>
      </c>
      <c r="D631" s="36" t="s">
        <v>589</v>
      </c>
      <c r="E631" s="36" t="s">
        <v>606</v>
      </c>
      <c r="F631" s="55">
        <f>'Stavební rozpočet'!F645</f>
        <v>1</v>
      </c>
      <c r="G631" s="55">
        <f>'Stavební rozpočet'!G645</f>
        <v>0</v>
      </c>
      <c r="H631" s="55">
        <f t="shared" si="658"/>
        <v>0</v>
      </c>
      <c r="I631" s="55">
        <f t="shared" si="659"/>
        <v>0</v>
      </c>
      <c r="J631" s="55">
        <f t="shared" si="660"/>
        <v>0</v>
      </c>
      <c r="K631" s="55">
        <f>'Stavební rozpočet'!K645</f>
        <v>0</v>
      </c>
      <c r="L631" s="55">
        <f t="shared" si="661"/>
        <v>0</v>
      </c>
      <c r="M631" s="51" t="s">
        <v>622</v>
      </c>
      <c r="Z631" s="29">
        <f t="shared" si="662"/>
        <v>0</v>
      </c>
      <c r="AB631" s="29">
        <f t="shared" si="663"/>
        <v>0</v>
      </c>
      <c r="AC631" s="29">
        <f t="shared" si="664"/>
        <v>0</v>
      </c>
      <c r="AD631" s="29">
        <f t="shared" si="665"/>
        <v>0</v>
      </c>
      <c r="AE631" s="29">
        <f t="shared" si="666"/>
        <v>0</v>
      </c>
      <c r="AF631" s="29">
        <f t="shared" si="667"/>
        <v>0</v>
      </c>
      <c r="AG631" s="29">
        <f t="shared" si="668"/>
        <v>0</v>
      </c>
      <c r="AH631" s="29">
        <f t="shared" si="669"/>
        <v>0</v>
      </c>
      <c r="AI631" s="48" t="s">
        <v>60</v>
      </c>
      <c r="AJ631" s="55">
        <f t="shared" si="670"/>
        <v>0</v>
      </c>
      <c r="AK631" s="55">
        <f t="shared" si="671"/>
        <v>0</v>
      </c>
      <c r="AL631" s="55">
        <f t="shared" si="672"/>
        <v>0</v>
      </c>
      <c r="AN631" s="29">
        <v>15</v>
      </c>
      <c r="AO631" s="29">
        <f t="shared" si="673"/>
        <v>0</v>
      </c>
      <c r="AP631" s="29">
        <f t="shared" si="674"/>
        <v>0</v>
      </c>
      <c r="AQ631" s="51" t="s">
        <v>79</v>
      </c>
      <c r="AV631" s="29">
        <f t="shared" si="675"/>
        <v>0</v>
      </c>
      <c r="AW631" s="29">
        <f t="shared" si="676"/>
        <v>0</v>
      </c>
      <c r="AX631" s="29">
        <f t="shared" si="677"/>
        <v>0</v>
      </c>
      <c r="AY631" s="54" t="s">
        <v>649</v>
      </c>
      <c r="AZ631" s="54" t="s">
        <v>1536</v>
      </c>
      <c r="BA631" s="48" t="s">
        <v>1542</v>
      </c>
      <c r="BC631" s="29">
        <f t="shared" si="678"/>
        <v>0</v>
      </c>
      <c r="BD631" s="29">
        <f t="shared" si="679"/>
        <v>0</v>
      </c>
      <c r="BE631" s="29">
        <v>0</v>
      </c>
      <c r="BF631" s="29">
        <f t="shared" si="680"/>
        <v>0</v>
      </c>
      <c r="BH631" s="55">
        <f t="shared" si="681"/>
        <v>0</v>
      </c>
      <c r="BI631" s="55">
        <f t="shared" si="682"/>
        <v>0</v>
      </c>
      <c r="BJ631" s="55">
        <f t="shared" si="683"/>
        <v>0</v>
      </c>
    </row>
    <row r="632" spans="1:62" ht="12.75">
      <c r="A632" s="36" t="s">
        <v>1871</v>
      </c>
      <c r="B632" s="36" t="s">
        <v>60</v>
      </c>
      <c r="C632" s="36" t="s">
        <v>404</v>
      </c>
      <c r="D632" s="36" t="s">
        <v>590</v>
      </c>
      <c r="E632" s="36" t="s">
        <v>606</v>
      </c>
      <c r="F632" s="55">
        <f>'Stavební rozpočet'!F646</f>
        <v>31</v>
      </c>
      <c r="G632" s="55">
        <f>'Stavební rozpočet'!G646</f>
        <v>0</v>
      </c>
      <c r="H632" s="55">
        <f t="shared" si="658"/>
        <v>0</v>
      </c>
      <c r="I632" s="55">
        <f t="shared" si="659"/>
        <v>0</v>
      </c>
      <c r="J632" s="55">
        <f t="shared" si="660"/>
        <v>0</v>
      </c>
      <c r="K632" s="55">
        <f>'Stavební rozpočet'!K646</f>
        <v>0</v>
      </c>
      <c r="L632" s="55">
        <f t="shared" si="661"/>
        <v>0</v>
      </c>
      <c r="M632" s="51" t="s">
        <v>622</v>
      </c>
      <c r="Z632" s="29">
        <f t="shared" si="662"/>
        <v>0</v>
      </c>
      <c r="AB632" s="29">
        <f t="shared" si="663"/>
        <v>0</v>
      </c>
      <c r="AC632" s="29">
        <f t="shared" si="664"/>
        <v>0</v>
      </c>
      <c r="AD632" s="29">
        <f t="shared" si="665"/>
        <v>0</v>
      </c>
      <c r="AE632" s="29">
        <f t="shared" si="666"/>
        <v>0</v>
      </c>
      <c r="AF632" s="29">
        <f t="shared" si="667"/>
        <v>0</v>
      </c>
      <c r="AG632" s="29">
        <f t="shared" si="668"/>
        <v>0</v>
      </c>
      <c r="AH632" s="29">
        <f t="shared" si="669"/>
        <v>0</v>
      </c>
      <c r="AI632" s="48" t="s">
        <v>60</v>
      </c>
      <c r="AJ632" s="55">
        <f t="shared" si="670"/>
        <v>0</v>
      </c>
      <c r="AK632" s="55">
        <f t="shared" si="671"/>
        <v>0</v>
      </c>
      <c r="AL632" s="55">
        <f t="shared" si="672"/>
        <v>0</v>
      </c>
      <c r="AN632" s="29">
        <v>15</v>
      </c>
      <c r="AO632" s="29">
        <f t="shared" si="673"/>
        <v>0</v>
      </c>
      <c r="AP632" s="29">
        <f t="shared" si="674"/>
        <v>0</v>
      </c>
      <c r="AQ632" s="51" t="s">
        <v>79</v>
      </c>
      <c r="AV632" s="29">
        <f t="shared" si="675"/>
        <v>0</v>
      </c>
      <c r="AW632" s="29">
        <f t="shared" si="676"/>
        <v>0</v>
      </c>
      <c r="AX632" s="29">
        <f t="shared" si="677"/>
        <v>0</v>
      </c>
      <c r="AY632" s="54" t="s">
        <v>649</v>
      </c>
      <c r="AZ632" s="54" t="s">
        <v>1536</v>
      </c>
      <c r="BA632" s="48" t="s">
        <v>1542</v>
      </c>
      <c r="BC632" s="29">
        <f t="shared" si="678"/>
        <v>0</v>
      </c>
      <c r="BD632" s="29">
        <f t="shared" si="679"/>
        <v>0</v>
      </c>
      <c r="BE632" s="29">
        <v>0</v>
      </c>
      <c r="BF632" s="29">
        <f t="shared" si="680"/>
        <v>0</v>
      </c>
      <c r="BH632" s="55">
        <f t="shared" si="681"/>
        <v>0</v>
      </c>
      <c r="BI632" s="55">
        <f t="shared" si="682"/>
        <v>0</v>
      </c>
      <c r="BJ632" s="55">
        <f t="shared" si="683"/>
        <v>0</v>
      </c>
    </row>
    <row r="633" spans="1:62" ht="12.75">
      <c r="A633" s="36" t="s">
        <v>1872</v>
      </c>
      <c r="B633" s="36" t="s">
        <v>60</v>
      </c>
      <c r="C633" s="36" t="s">
        <v>1218</v>
      </c>
      <c r="D633" s="36" t="s">
        <v>1518</v>
      </c>
      <c r="E633" s="36" t="s">
        <v>606</v>
      </c>
      <c r="F633" s="55">
        <f>'Stavební rozpočet'!F647</f>
        <v>10</v>
      </c>
      <c r="G633" s="55">
        <f>'Stavební rozpočet'!G647</f>
        <v>0</v>
      </c>
      <c r="H633" s="55">
        <f t="shared" si="658"/>
        <v>0</v>
      </c>
      <c r="I633" s="55">
        <f t="shared" si="659"/>
        <v>0</v>
      </c>
      <c r="J633" s="55">
        <f t="shared" si="660"/>
        <v>0</v>
      </c>
      <c r="K633" s="55">
        <f>'Stavební rozpočet'!K647</f>
        <v>0</v>
      </c>
      <c r="L633" s="55">
        <f t="shared" si="661"/>
        <v>0</v>
      </c>
      <c r="M633" s="51" t="s">
        <v>622</v>
      </c>
      <c r="Z633" s="29">
        <f t="shared" si="662"/>
        <v>0</v>
      </c>
      <c r="AB633" s="29">
        <f t="shared" si="663"/>
        <v>0</v>
      </c>
      <c r="AC633" s="29">
        <f t="shared" si="664"/>
        <v>0</v>
      </c>
      <c r="AD633" s="29">
        <f t="shared" si="665"/>
        <v>0</v>
      </c>
      <c r="AE633" s="29">
        <f t="shared" si="666"/>
        <v>0</v>
      </c>
      <c r="AF633" s="29">
        <f t="shared" si="667"/>
        <v>0</v>
      </c>
      <c r="AG633" s="29">
        <f t="shared" si="668"/>
        <v>0</v>
      </c>
      <c r="AH633" s="29">
        <f t="shared" si="669"/>
        <v>0</v>
      </c>
      <c r="AI633" s="48" t="s">
        <v>60</v>
      </c>
      <c r="AJ633" s="55">
        <f t="shared" si="670"/>
        <v>0</v>
      </c>
      <c r="AK633" s="55">
        <f t="shared" si="671"/>
        <v>0</v>
      </c>
      <c r="AL633" s="55">
        <f t="shared" si="672"/>
        <v>0</v>
      </c>
      <c r="AN633" s="29">
        <v>15</v>
      </c>
      <c r="AO633" s="29">
        <f t="shared" si="673"/>
        <v>0</v>
      </c>
      <c r="AP633" s="29">
        <f t="shared" si="674"/>
        <v>0</v>
      </c>
      <c r="AQ633" s="51" t="s">
        <v>79</v>
      </c>
      <c r="AV633" s="29">
        <f t="shared" si="675"/>
        <v>0</v>
      </c>
      <c r="AW633" s="29">
        <f t="shared" si="676"/>
        <v>0</v>
      </c>
      <c r="AX633" s="29">
        <f t="shared" si="677"/>
        <v>0</v>
      </c>
      <c r="AY633" s="54" t="s">
        <v>649</v>
      </c>
      <c r="AZ633" s="54" t="s">
        <v>1536</v>
      </c>
      <c r="BA633" s="48" t="s">
        <v>1542</v>
      </c>
      <c r="BC633" s="29">
        <f t="shared" si="678"/>
        <v>0</v>
      </c>
      <c r="BD633" s="29">
        <f t="shared" si="679"/>
        <v>0</v>
      </c>
      <c r="BE633" s="29">
        <v>0</v>
      </c>
      <c r="BF633" s="29">
        <f t="shared" si="680"/>
        <v>0</v>
      </c>
      <c r="BH633" s="55">
        <f t="shared" si="681"/>
        <v>0</v>
      </c>
      <c r="BI633" s="55">
        <f t="shared" si="682"/>
        <v>0</v>
      </c>
      <c r="BJ633" s="55">
        <f t="shared" si="683"/>
        <v>0</v>
      </c>
    </row>
    <row r="634" spans="1:62" ht="12.75">
      <c r="A634" s="36" t="s">
        <v>1873</v>
      </c>
      <c r="B634" s="36" t="s">
        <v>60</v>
      </c>
      <c r="C634" s="36" t="s">
        <v>1219</v>
      </c>
      <c r="D634" s="36" t="s">
        <v>1519</v>
      </c>
      <c r="E634" s="36" t="s">
        <v>606</v>
      </c>
      <c r="F634" s="55">
        <f>'Stavební rozpočet'!F648</f>
        <v>2</v>
      </c>
      <c r="G634" s="55">
        <f>'Stavební rozpočet'!G648</f>
        <v>0</v>
      </c>
      <c r="H634" s="55">
        <f t="shared" si="658"/>
        <v>0</v>
      </c>
      <c r="I634" s="55">
        <f t="shared" si="659"/>
        <v>0</v>
      </c>
      <c r="J634" s="55">
        <f t="shared" si="660"/>
        <v>0</v>
      </c>
      <c r="K634" s="55">
        <f>'Stavební rozpočet'!K648</f>
        <v>0</v>
      </c>
      <c r="L634" s="55">
        <f t="shared" si="661"/>
        <v>0</v>
      </c>
      <c r="M634" s="51" t="s">
        <v>622</v>
      </c>
      <c r="Z634" s="29">
        <f t="shared" si="662"/>
        <v>0</v>
      </c>
      <c r="AB634" s="29">
        <f t="shared" si="663"/>
        <v>0</v>
      </c>
      <c r="AC634" s="29">
        <f t="shared" si="664"/>
        <v>0</v>
      </c>
      <c r="AD634" s="29">
        <f t="shared" si="665"/>
        <v>0</v>
      </c>
      <c r="AE634" s="29">
        <f t="shared" si="666"/>
        <v>0</v>
      </c>
      <c r="AF634" s="29">
        <f t="shared" si="667"/>
        <v>0</v>
      </c>
      <c r="AG634" s="29">
        <f t="shared" si="668"/>
        <v>0</v>
      </c>
      <c r="AH634" s="29">
        <f t="shared" si="669"/>
        <v>0</v>
      </c>
      <c r="AI634" s="48" t="s">
        <v>60</v>
      </c>
      <c r="AJ634" s="55">
        <f t="shared" si="670"/>
        <v>0</v>
      </c>
      <c r="AK634" s="55">
        <f t="shared" si="671"/>
        <v>0</v>
      </c>
      <c r="AL634" s="55">
        <f t="shared" si="672"/>
        <v>0</v>
      </c>
      <c r="AN634" s="29">
        <v>15</v>
      </c>
      <c r="AO634" s="29">
        <f t="shared" si="673"/>
        <v>0</v>
      </c>
      <c r="AP634" s="29">
        <f t="shared" si="674"/>
        <v>0</v>
      </c>
      <c r="AQ634" s="51" t="s">
        <v>79</v>
      </c>
      <c r="AV634" s="29">
        <f t="shared" si="675"/>
        <v>0</v>
      </c>
      <c r="AW634" s="29">
        <f t="shared" si="676"/>
        <v>0</v>
      </c>
      <c r="AX634" s="29">
        <f t="shared" si="677"/>
        <v>0</v>
      </c>
      <c r="AY634" s="54" t="s">
        <v>649</v>
      </c>
      <c r="AZ634" s="54" t="s">
        <v>1536</v>
      </c>
      <c r="BA634" s="48" t="s">
        <v>1542</v>
      </c>
      <c r="BC634" s="29">
        <f t="shared" si="678"/>
        <v>0</v>
      </c>
      <c r="BD634" s="29">
        <f t="shared" si="679"/>
        <v>0</v>
      </c>
      <c r="BE634" s="29">
        <v>0</v>
      </c>
      <c r="BF634" s="29">
        <f t="shared" si="680"/>
        <v>0</v>
      </c>
      <c r="BH634" s="55">
        <f t="shared" si="681"/>
        <v>0</v>
      </c>
      <c r="BI634" s="55">
        <f t="shared" si="682"/>
        <v>0</v>
      </c>
      <c r="BJ634" s="55">
        <f t="shared" si="683"/>
        <v>0</v>
      </c>
    </row>
    <row r="635" spans="1:62" ht="12.75">
      <c r="A635" s="36" t="s">
        <v>1874</v>
      </c>
      <c r="B635" s="36" t="s">
        <v>60</v>
      </c>
      <c r="C635" s="36" t="s">
        <v>1220</v>
      </c>
      <c r="D635" s="36" t="s">
        <v>1520</v>
      </c>
      <c r="E635" s="36" t="s">
        <v>606</v>
      </c>
      <c r="F635" s="55">
        <f>'Stavební rozpočet'!F649</f>
        <v>0</v>
      </c>
      <c r="G635" s="55">
        <f>'Stavební rozpočet'!G649</f>
        <v>0</v>
      </c>
      <c r="H635" s="55">
        <f t="shared" si="658"/>
        <v>0</v>
      </c>
      <c r="I635" s="55">
        <f t="shared" si="659"/>
        <v>0</v>
      </c>
      <c r="J635" s="55">
        <f t="shared" si="660"/>
        <v>0</v>
      </c>
      <c r="K635" s="55">
        <f>'Stavební rozpočet'!K649</f>
        <v>0</v>
      </c>
      <c r="L635" s="55">
        <f t="shared" si="661"/>
        <v>0</v>
      </c>
      <c r="M635" s="51" t="s">
        <v>622</v>
      </c>
      <c r="Z635" s="29">
        <f t="shared" si="662"/>
        <v>0</v>
      </c>
      <c r="AB635" s="29">
        <f t="shared" si="663"/>
        <v>0</v>
      </c>
      <c r="AC635" s="29">
        <f t="shared" si="664"/>
        <v>0</v>
      </c>
      <c r="AD635" s="29">
        <f t="shared" si="665"/>
        <v>0</v>
      </c>
      <c r="AE635" s="29">
        <f t="shared" si="666"/>
        <v>0</v>
      </c>
      <c r="AF635" s="29">
        <f t="shared" si="667"/>
        <v>0</v>
      </c>
      <c r="AG635" s="29">
        <f t="shared" si="668"/>
        <v>0</v>
      </c>
      <c r="AH635" s="29">
        <f t="shared" si="669"/>
        <v>0</v>
      </c>
      <c r="AI635" s="48" t="s">
        <v>60</v>
      </c>
      <c r="AJ635" s="55">
        <f t="shared" si="670"/>
        <v>0</v>
      </c>
      <c r="AK635" s="55">
        <f t="shared" si="671"/>
        <v>0</v>
      </c>
      <c r="AL635" s="55">
        <f t="shared" si="672"/>
        <v>0</v>
      </c>
      <c r="AN635" s="29">
        <v>15</v>
      </c>
      <c r="AO635" s="29">
        <f t="shared" si="673"/>
        <v>0</v>
      </c>
      <c r="AP635" s="29">
        <f t="shared" si="674"/>
        <v>0</v>
      </c>
      <c r="AQ635" s="51" t="s">
        <v>79</v>
      </c>
      <c r="AV635" s="29">
        <f t="shared" si="675"/>
        <v>0</v>
      </c>
      <c r="AW635" s="29">
        <f t="shared" si="676"/>
        <v>0</v>
      </c>
      <c r="AX635" s="29">
        <f t="shared" si="677"/>
        <v>0</v>
      </c>
      <c r="AY635" s="54" t="s">
        <v>649</v>
      </c>
      <c r="AZ635" s="54" t="s">
        <v>1536</v>
      </c>
      <c r="BA635" s="48" t="s">
        <v>1542</v>
      </c>
      <c r="BC635" s="29">
        <f t="shared" si="678"/>
        <v>0</v>
      </c>
      <c r="BD635" s="29">
        <f t="shared" si="679"/>
        <v>0</v>
      </c>
      <c r="BE635" s="29">
        <v>0</v>
      </c>
      <c r="BF635" s="29">
        <f t="shared" si="680"/>
        <v>0</v>
      </c>
      <c r="BH635" s="55">
        <f t="shared" si="681"/>
        <v>0</v>
      </c>
      <c r="BI635" s="55">
        <f t="shared" si="682"/>
        <v>0</v>
      </c>
      <c r="BJ635" s="55">
        <f t="shared" si="683"/>
        <v>0</v>
      </c>
    </row>
    <row r="636" spans="1:62" ht="12.75">
      <c r="A636" s="36" t="s">
        <v>1875</v>
      </c>
      <c r="B636" s="36" t="s">
        <v>60</v>
      </c>
      <c r="C636" s="36" t="s">
        <v>405</v>
      </c>
      <c r="D636" s="36" t="s">
        <v>591</v>
      </c>
      <c r="E636" s="36" t="s">
        <v>606</v>
      </c>
      <c r="F636" s="55">
        <f>'Stavební rozpočet'!F650</f>
        <v>0</v>
      </c>
      <c r="G636" s="55">
        <f>'Stavební rozpočet'!G650</f>
        <v>0</v>
      </c>
      <c r="H636" s="55">
        <f t="shared" si="658"/>
        <v>0</v>
      </c>
      <c r="I636" s="55">
        <f t="shared" si="659"/>
        <v>0</v>
      </c>
      <c r="J636" s="55">
        <f t="shared" si="660"/>
        <v>0</v>
      </c>
      <c r="K636" s="55">
        <f>'Stavební rozpočet'!K650</f>
        <v>0</v>
      </c>
      <c r="L636" s="55">
        <f t="shared" si="661"/>
        <v>0</v>
      </c>
      <c r="M636" s="51" t="s">
        <v>622</v>
      </c>
      <c r="Z636" s="29">
        <f t="shared" si="662"/>
        <v>0</v>
      </c>
      <c r="AB636" s="29">
        <f t="shared" si="663"/>
        <v>0</v>
      </c>
      <c r="AC636" s="29">
        <f t="shared" si="664"/>
        <v>0</v>
      </c>
      <c r="AD636" s="29">
        <f t="shared" si="665"/>
        <v>0</v>
      </c>
      <c r="AE636" s="29">
        <f t="shared" si="666"/>
        <v>0</v>
      </c>
      <c r="AF636" s="29">
        <f t="shared" si="667"/>
        <v>0</v>
      </c>
      <c r="AG636" s="29">
        <f t="shared" si="668"/>
        <v>0</v>
      </c>
      <c r="AH636" s="29">
        <f t="shared" si="669"/>
        <v>0</v>
      </c>
      <c r="AI636" s="48" t="s">
        <v>60</v>
      </c>
      <c r="AJ636" s="55">
        <f t="shared" si="670"/>
        <v>0</v>
      </c>
      <c r="AK636" s="55">
        <f t="shared" si="671"/>
        <v>0</v>
      </c>
      <c r="AL636" s="55">
        <f t="shared" si="672"/>
        <v>0</v>
      </c>
      <c r="AN636" s="29">
        <v>15</v>
      </c>
      <c r="AO636" s="29">
        <f t="shared" si="673"/>
        <v>0</v>
      </c>
      <c r="AP636" s="29">
        <f t="shared" si="674"/>
        <v>0</v>
      </c>
      <c r="AQ636" s="51" t="s">
        <v>79</v>
      </c>
      <c r="AV636" s="29">
        <f t="shared" si="675"/>
        <v>0</v>
      </c>
      <c r="AW636" s="29">
        <f t="shared" si="676"/>
        <v>0</v>
      </c>
      <c r="AX636" s="29">
        <f t="shared" si="677"/>
        <v>0</v>
      </c>
      <c r="AY636" s="54" t="s">
        <v>649</v>
      </c>
      <c r="AZ636" s="54" t="s">
        <v>1536</v>
      </c>
      <c r="BA636" s="48" t="s">
        <v>1542</v>
      </c>
      <c r="BC636" s="29">
        <f t="shared" si="678"/>
        <v>0</v>
      </c>
      <c r="BD636" s="29">
        <f t="shared" si="679"/>
        <v>0</v>
      </c>
      <c r="BE636" s="29">
        <v>0</v>
      </c>
      <c r="BF636" s="29">
        <f t="shared" si="680"/>
        <v>0</v>
      </c>
      <c r="BH636" s="55">
        <f t="shared" si="681"/>
        <v>0</v>
      </c>
      <c r="BI636" s="55">
        <f t="shared" si="682"/>
        <v>0</v>
      </c>
      <c r="BJ636" s="55">
        <f t="shared" si="683"/>
        <v>0</v>
      </c>
    </row>
    <row r="637" spans="1:62" ht="12.75">
      <c r="A637" s="36" t="s">
        <v>1876</v>
      </c>
      <c r="B637" s="36" t="s">
        <v>60</v>
      </c>
      <c r="C637" s="36" t="s">
        <v>406</v>
      </c>
      <c r="D637" s="36" t="s">
        <v>592</v>
      </c>
      <c r="E637" s="36" t="s">
        <v>606</v>
      </c>
      <c r="F637" s="55">
        <f>'Stavební rozpočet'!F651</f>
        <v>0</v>
      </c>
      <c r="G637" s="55">
        <f>'Stavební rozpočet'!G651</f>
        <v>0</v>
      </c>
      <c r="H637" s="55">
        <f t="shared" si="658"/>
        <v>0</v>
      </c>
      <c r="I637" s="55">
        <f t="shared" si="659"/>
        <v>0</v>
      </c>
      <c r="J637" s="55">
        <f t="shared" si="660"/>
        <v>0</v>
      </c>
      <c r="K637" s="55">
        <f>'Stavební rozpočet'!K651</f>
        <v>0</v>
      </c>
      <c r="L637" s="55">
        <f t="shared" si="661"/>
        <v>0</v>
      </c>
      <c r="M637" s="51" t="s">
        <v>622</v>
      </c>
      <c r="Z637" s="29">
        <f t="shared" si="662"/>
        <v>0</v>
      </c>
      <c r="AB637" s="29">
        <f t="shared" si="663"/>
        <v>0</v>
      </c>
      <c r="AC637" s="29">
        <f t="shared" si="664"/>
        <v>0</v>
      </c>
      <c r="AD637" s="29">
        <f t="shared" si="665"/>
        <v>0</v>
      </c>
      <c r="AE637" s="29">
        <f t="shared" si="666"/>
        <v>0</v>
      </c>
      <c r="AF637" s="29">
        <f t="shared" si="667"/>
        <v>0</v>
      </c>
      <c r="AG637" s="29">
        <f t="shared" si="668"/>
        <v>0</v>
      </c>
      <c r="AH637" s="29">
        <f t="shared" si="669"/>
        <v>0</v>
      </c>
      <c r="AI637" s="48" t="s">
        <v>60</v>
      </c>
      <c r="AJ637" s="55">
        <f t="shared" si="670"/>
        <v>0</v>
      </c>
      <c r="AK637" s="55">
        <f t="shared" si="671"/>
        <v>0</v>
      </c>
      <c r="AL637" s="55">
        <f t="shared" si="672"/>
        <v>0</v>
      </c>
      <c r="AN637" s="29">
        <v>15</v>
      </c>
      <c r="AO637" s="29">
        <f t="shared" si="673"/>
        <v>0</v>
      </c>
      <c r="AP637" s="29">
        <f t="shared" si="674"/>
        <v>0</v>
      </c>
      <c r="AQ637" s="51" t="s">
        <v>79</v>
      </c>
      <c r="AV637" s="29">
        <f t="shared" si="675"/>
        <v>0</v>
      </c>
      <c r="AW637" s="29">
        <f t="shared" si="676"/>
        <v>0</v>
      </c>
      <c r="AX637" s="29">
        <f t="shared" si="677"/>
        <v>0</v>
      </c>
      <c r="AY637" s="54" t="s">
        <v>649</v>
      </c>
      <c r="AZ637" s="54" t="s">
        <v>1536</v>
      </c>
      <c r="BA637" s="48" t="s">
        <v>1542</v>
      </c>
      <c r="BC637" s="29">
        <f t="shared" si="678"/>
        <v>0</v>
      </c>
      <c r="BD637" s="29">
        <f t="shared" si="679"/>
        <v>0</v>
      </c>
      <c r="BE637" s="29">
        <v>0</v>
      </c>
      <c r="BF637" s="29">
        <f t="shared" si="680"/>
        <v>0</v>
      </c>
      <c r="BH637" s="55">
        <f t="shared" si="681"/>
        <v>0</v>
      </c>
      <c r="BI637" s="55">
        <f t="shared" si="682"/>
        <v>0</v>
      </c>
      <c r="BJ637" s="55">
        <f t="shared" si="683"/>
        <v>0</v>
      </c>
    </row>
    <row r="638" spans="1:62" ht="12.75">
      <c r="A638" s="36" t="s">
        <v>1877</v>
      </c>
      <c r="B638" s="36" t="s">
        <v>60</v>
      </c>
      <c r="C638" s="36" t="s">
        <v>407</v>
      </c>
      <c r="D638" s="36" t="s">
        <v>593</v>
      </c>
      <c r="E638" s="36" t="s">
        <v>606</v>
      </c>
      <c r="F638" s="55">
        <f>'Stavební rozpočet'!F652</f>
        <v>3</v>
      </c>
      <c r="G638" s="55">
        <f>'Stavební rozpočet'!G652</f>
        <v>0</v>
      </c>
      <c r="H638" s="55">
        <f t="shared" si="658"/>
        <v>0</v>
      </c>
      <c r="I638" s="55">
        <f t="shared" si="659"/>
        <v>0</v>
      </c>
      <c r="J638" s="55">
        <f t="shared" si="660"/>
        <v>0</v>
      </c>
      <c r="K638" s="55">
        <f>'Stavební rozpočet'!K652</f>
        <v>0</v>
      </c>
      <c r="L638" s="55">
        <f t="shared" si="661"/>
        <v>0</v>
      </c>
      <c r="M638" s="51" t="s">
        <v>622</v>
      </c>
      <c r="Z638" s="29">
        <f t="shared" si="662"/>
        <v>0</v>
      </c>
      <c r="AB638" s="29">
        <f t="shared" si="663"/>
        <v>0</v>
      </c>
      <c r="AC638" s="29">
        <f t="shared" si="664"/>
        <v>0</v>
      </c>
      <c r="AD638" s="29">
        <f t="shared" si="665"/>
        <v>0</v>
      </c>
      <c r="AE638" s="29">
        <f t="shared" si="666"/>
        <v>0</v>
      </c>
      <c r="AF638" s="29">
        <f t="shared" si="667"/>
        <v>0</v>
      </c>
      <c r="AG638" s="29">
        <f t="shared" si="668"/>
        <v>0</v>
      </c>
      <c r="AH638" s="29">
        <f t="shared" si="669"/>
        <v>0</v>
      </c>
      <c r="AI638" s="48" t="s">
        <v>60</v>
      </c>
      <c r="AJ638" s="55">
        <f t="shared" si="670"/>
        <v>0</v>
      </c>
      <c r="AK638" s="55">
        <f t="shared" si="671"/>
        <v>0</v>
      </c>
      <c r="AL638" s="55">
        <f t="shared" si="672"/>
        <v>0</v>
      </c>
      <c r="AN638" s="29">
        <v>15</v>
      </c>
      <c r="AO638" s="29">
        <f t="shared" si="673"/>
        <v>0</v>
      </c>
      <c r="AP638" s="29">
        <f t="shared" si="674"/>
        <v>0</v>
      </c>
      <c r="AQ638" s="51" t="s">
        <v>79</v>
      </c>
      <c r="AV638" s="29">
        <f t="shared" si="675"/>
        <v>0</v>
      </c>
      <c r="AW638" s="29">
        <f t="shared" si="676"/>
        <v>0</v>
      </c>
      <c r="AX638" s="29">
        <f t="shared" si="677"/>
        <v>0</v>
      </c>
      <c r="AY638" s="54" t="s">
        <v>649</v>
      </c>
      <c r="AZ638" s="54" t="s">
        <v>1536</v>
      </c>
      <c r="BA638" s="48" t="s">
        <v>1542</v>
      </c>
      <c r="BC638" s="29">
        <f t="shared" si="678"/>
        <v>0</v>
      </c>
      <c r="BD638" s="29">
        <f t="shared" si="679"/>
        <v>0</v>
      </c>
      <c r="BE638" s="29">
        <v>0</v>
      </c>
      <c r="BF638" s="29">
        <f t="shared" si="680"/>
        <v>0</v>
      </c>
      <c r="BH638" s="55">
        <f t="shared" si="681"/>
        <v>0</v>
      </c>
      <c r="BI638" s="55">
        <f t="shared" si="682"/>
        <v>0</v>
      </c>
      <c r="BJ638" s="55">
        <f t="shared" si="683"/>
        <v>0</v>
      </c>
    </row>
    <row r="639" spans="1:62" ht="12.75">
      <c r="A639" s="36" t="s">
        <v>1878</v>
      </c>
      <c r="B639" s="36" t="s">
        <v>60</v>
      </c>
      <c r="C639" s="36" t="s">
        <v>1221</v>
      </c>
      <c r="D639" s="36" t="s">
        <v>1521</v>
      </c>
      <c r="E639" s="36" t="s">
        <v>606</v>
      </c>
      <c r="F639" s="55">
        <f>'Stavební rozpočet'!F653</f>
        <v>16</v>
      </c>
      <c r="G639" s="55">
        <f>'Stavební rozpočet'!G653</f>
        <v>0</v>
      </c>
      <c r="H639" s="55">
        <f t="shared" si="658"/>
        <v>0</v>
      </c>
      <c r="I639" s="55">
        <f t="shared" si="659"/>
        <v>0</v>
      </c>
      <c r="J639" s="55">
        <f t="shared" si="660"/>
        <v>0</v>
      </c>
      <c r="K639" s="55">
        <f>'Stavební rozpočet'!K653</f>
        <v>0</v>
      </c>
      <c r="L639" s="55">
        <f t="shared" si="661"/>
        <v>0</v>
      </c>
      <c r="M639" s="51" t="s">
        <v>622</v>
      </c>
      <c r="Z639" s="29">
        <f t="shared" si="662"/>
        <v>0</v>
      </c>
      <c r="AB639" s="29">
        <f t="shared" si="663"/>
        <v>0</v>
      </c>
      <c r="AC639" s="29">
        <f t="shared" si="664"/>
        <v>0</v>
      </c>
      <c r="AD639" s="29">
        <f t="shared" si="665"/>
        <v>0</v>
      </c>
      <c r="AE639" s="29">
        <f t="shared" si="666"/>
        <v>0</v>
      </c>
      <c r="AF639" s="29">
        <f t="shared" si="667"/>
        <v>0</v>
      </c>
      <c r="AG639" s="29">
        <f t="shared" si="668"/>
        <v>0</v>
      </c>
      <c r="AH639" s="29">
        <f t="shared" si="669"/>
        <v>0</v>
      </c>
      <c r="AI639" s="48" t="s">
        <v>60</v>
      </c>
      <c r="AJ639" s="55">
        <f t="shared" si="670"/>
        <v>0</v>
      </c>
      <c r="AK639" s="55">
        <f t="shared" si="671"/>
        <v>0</v>
      </c>
      <c r="AL639" s="55">
        <f t="shared" si="672"/>
        <v>0</v>
      </c>
      <c r="AN639" s="29">
        <v>15</v>
      </c>
      <c r="AO639" s="29">
        <f t="shared" si="673"/>
        <v>0</v>
      </c>
      <c r="AP639" s="29">
        <f t="shared" si="674"/>
        <v>0</v>
      </c>
      <c r="AQ639" s="51" t="s">
        <v>79</v>
      </c>
      <c r="AV639" s="29">
        <f t="shared" si="675"/>
        <v>0</v>
      </c>
      <c r="AW639" s="29">
        <f t="shared" si="676"/>
        <v>0</v>
      </c>
      <c r="AX639" s="29">
        <f t="shared" si="677"/>
        <v>0</v>
      </c>
      <c r="AY639" s="54" t="s">
        <v>649</v>
      </c>
      <c r="AZ639" s="54" t="s">
        <v>1536</v>
      </c>
      <c r="BA639" s="48" t="s">
        <v>1542</v>
      </c>
      <c r="BC639" s="29">
        <f t="shared" si="678"/>
        <v>0</v>
      </c>
      <c r="BD639" s="29">
        <f t="shared" si="679"/>
        <v>0</v>
      </c>
      <c r="BE639" s="29">
        <v>0</v>
      </c>
      <c r="BF639" s="29">
        <f t="shared" si="680"/>
        <v>0</v>
      </c>
      <c r="BH639" s="55">
        <f t="shared" si="681"/>
        <v>0</v>
      </c>
      <c r="BI639" s="55">
        <f t="shared" si="682"/>
        <v>0</v>
      </c>
      <c r="BJ639" s="55">
        <f t="shared" si="683"/>
        <v>0</v>
      </c>
    </row>
    <row r="640" spans="1:62" ht="12.75">
      <c r="A640" s="36" t="s">
        <v>1879</v>
      </c>
      <c r="B640" s="36" t="s">
        <v>60</v>
      </c>
      <c r="C640" s="36" t="s">
        <v>408</v>
      </c>
      <c r="D640" s="36" t="s">
        <v>594</v>
      </c>
      <c r="E640" s="36" t="s">
        <v>606</v>
      </c>
      <c r="F640" s="55">
        <f>'Stavební rozpočet'!F654</f>
        <v>3</v>
      </c>
      <c r="G640" s="55">
        <f>'Stavební rozpočet'!G654</f>
        <v>0</v>
      </c>
      <c r="H640" s="55">
        <f t="shared" si="658"/>
        <v>0</v>
      </c>
      <c r="I640" s="55">
        <f t="shared" si="659"/>
        <v>0</v>
      </c>
      <c r="J640" s="55">
        <f t="shared" si="660"/>
        <v>0</v>
      </c>
      <c r="K640" s="55">
        <f>'Stavební rozpočet'!K654</f>
        <v>0</v>
      </c>
      <c r="L640" s="55">
        <f t="shared" si="661"/>
        <v>0</v>
      </c>
      <c r="M640" s="51" t="s">
        <v>622</v>
      </c>
      <c r="Z640" s="29">
        <f t="shared" si="662"/>
        <v>0</v>
      </c>
      <c r="AB640" s="29">
        <f t="shared" si="663"/>
        <v>0</v>
      </c>
      <c r="AC640" s="29">
        <f t="shared" si="664"/>
        <v>0</v>
      </c>
      <c r="AD640" s="29">
        <f t="shared" si="665"/>
        <v>0</v>
      </c>
      <c r="AE640" s="29">
        <f t="shared" si="666"/>
        <v>0</v>
      </c>
      <c r="AF640" s="29">
        <f t="shared" si="667"/>
        <v>0</v>
      </c>
      <c r="AG640" s="29">
        <f t="shared" si="668"/>
        <v>0</v>
      </c>
      <c r="AH640" s="29">
        <f t="shared" si="669"/>
        <v>0</v>
      </c>
      <c r="AI640" s="48" t="s">
        <v>60</v>
      </c>
      <c r="AJ640" s="55">
        <f t="shared" si="670"/>
        <v>0</v>
      </c>
      <c r="AK640" s="55">
        <f t="shared" si="671"/>
        <v>0</v>
      </c>
      <c r="AL640" s="55">
        <f t="shared" si="672"/>
        <v>0</v>
      </c>
      <c r="AN640" s="29">
        <v>15</v>
      </c>
      <c r="AO640" s="29">
        <f t="shared" si="673"/>
        <v>0</v>
      </c>
      <c r="AP640" s="29">
        <f t="shared" si="674"/>
        <v>0</v>
      </c>
      <c r="AQ640" s="51" t="s">
        <v>79</v>
      </c>
      <c r="AV640" s="29">
        <f t="shared" si="675"/>
        <v>0</v>
      </c>
      <c r="AW640" s="29">
        <f t="shared" si="676"/>
        <v>0</v>
      </c>
      <c r="AX640" s="29">
        <f t="shared" si="677"/>
        <v>0</v>
      </c>
      <c r="AY640" s="54" t="s">
        <v>649</v>
      </c>
      <c r="AZ640" s="54" t="s">
        <v>1536</v>
      </c>
      <c r="BA640" s="48" t="s">
        <v>1542</v>
      </c>
      <c r="BC640" s="29">
        <f t="shared" si="678"/>
        <v>0</v>
      </c>
      <c r="BD640" s="29">
        <f t="shared" si="679"/>
        <v>0</v>
      </c>
      <c r="BE640" s="29">
        <v>0</v>
      </c>
      <c r="BF640" s="29">
        <f t="shared" si="680"/>
        <v>0</v>
      </c>
      <c r="BH640" s="55">
        <f t="shared" si="681"/>
        <v>0</v>
      </c>
      <c r="BI640" s="55">
        <f t="shared" si="682"/>
        <v>0</v>
      </c>
      <c r="BJ640" s="55">
        <f t="shared" si="683"/>
        <v>0</v>
      </c>
    </row>
    <row r="641" spans="1:62" ht="12.75">
      <c r="A641" s="36" t="s">
        <v>1880</v>
      </c>
      <c r="B641" s="36" t="s">
        <v>60</v>
      </c>
      <c r="C641" s="36" t="s">
        <v>409</v>
      </c>
      <c r="D641" s="36" t="s">
        <v>595</v>
      </c>
      <c r="E641" s="36" t="s">
        <v>606</v>
      </c>
      <c r="F641" s="55">
        <f>'Stavební rozpočet'!F655</f>
        <v>3</v>
      </c>
      <c r="G641" s="55">
        <f>'Stavební rozpočet'!G655</f>
        <v>0</v>
      </c>
      <c r="H641" s="55">
        <f t="shared" si="658"/>
        <v>0</v>
      </c>
      <c r="I641" s="55">
        <f t="shared" si="659"/>
        <v>0</v>
      </c>
      <c r="J641" s="55">
        <f t="shared" si="660"/>
        <v>0</v>
      </c>
      <c r="K641" s="55">
        <f>'Stavební rozpočet'!K655</f>
        <v>0</v>
      </c>
      <c r="L641" s="55">
        <f t="shared" si="661"/>
        <v>0</v>
      </c>
      <c r="M641" s="51" t="s">
        <v>622</v>
      </c>
      <c r="Z641" s="29">
        <f t="shared" si="662"/>
        <v>0</v>
      </c>
      <c r="AB641" s="29">
        <f t="shared" si="663"/>
        <v>0</v>
      </c>
      <c r="AC641" s="29">
        <f t="shared" si="664"/>
        <v>0</v>
      </c>
      <c r="AD641" s="29">
        <f t="shared" si="665"/>
        <v>0</v>
      </c>
      <c r="AE641" s="29">
        <f t="shared" si="666"/>
        <v>0</v>
      </c>
      <c r="AF641" s="29">
        <f t="shared" si="667"/>
        <v>0</v>
      </c>
      <c r="AG641" s="29">
        <f t="shared" si="668"/>
        <v>0</v>
      </c>
      <c r="AH641" s="29">
        <f t="shared" si="669"/>
        <v>0</v>
      </c>
      <c r="AI641" s="48" t="s">
        <v>60</v>
      </c>
      <c r="AJ641" s="55">
        <f t="shared" si="670"/>
        <v>0</v>
      </c>
      <c r="AK641" s="55">
        <f t="shared" si="671"/>
        <v>0</v>
      </c>
      <c r="AL641" s="55">
        <f t="shared" si="672"/>
        <v>0</v>
      </c>
      <c r="AN641" s="29">
        <v>15</v>
      </c>
      <c r="AO641" s="29">
        <f t="shared" si="673"/>
        <v>0</v>
      </c>
      <c r="AP641" s="29">
        <f t="shared" si="674"/>
        <v>0</v>
      </c>
      <c r="AQ641" s="51" t="s">
        <v>79</v>
      </c>
      <c r="AV641" s="29">
        <f t="shared" si="675"/>
        <v>0</v>
      </c>
      <c r="AW641" s="29">
        <f t="shared" si="676"/>
        <v>0</v>
      </c>
      <c r="AX641" s="29">
        <f t="shared" si="677"/>
        <v>0</v>
      </c>
      <c r="AY641" s="54" t="s">
        <v>649</v>
      </c>
      <c r="AZ641" s="54" t="s">
        <v>1536</v>
      </c>
      <c r="BA641" s="48" t="s">
        <v>1542</v>
      </c>
      <c r="BC641" s="29">
        <f t="shared" si="678"/>
        <v>0</v>
      </c>
      <c r="BD641" s="29">
        <f t="shared" si="679"/>
        <v>0</v>
      </c>
      <c r="BE641" s="29">
        <v>0</v>
      </c>
      <c r="BF641" s="29">
        <f t="shared" si="680"/>
        <v>0</v>
      </c>
      <c r="BH641" s="55">
        <f t="shared" si="681"/>
        <v>0</v>
      </c>
      <c r="BI641" s="55">
        <f t="shared" si="682"/>
        <v>0</v>
      </c>
      <c r="BJ641" s="55">
        <f t="shared" si="683"/>
        <v>0</v>
      </c>
    </row>
    <row r="642" spans="1:62" ht="12.75">
      <c r="A642" s="36" t="s">
        <v>1881</v>
      </c>
      <c r="B642" s="36" t="s">
        <v>60</v>
      </c>
      <c r="C642" s="36" t="s">
        <v>410</v>
      </c>
      <c r="D642" s="36" t="s">
        <v>596</v>
      </c>
      <c r="E642" s="36" t="s">
        <v>611</v>
      </c>
      <c r="F642" s="55">
        <f>'Stavební rozpočet'!F656</f>
        <v>1</v>
      </c>
      <c r="G642" s="55">
        <f>'Stavební rozpočet'!G656</f>
        <v>0</v>
      </c>
      <c r="H642" s="55">
        <f t="shared" si="658"/>
        <v>0</v>
      </c>
      <c r="I642" s="55">
        <f t="shared" si="659"/>
        <v>0</v>
      </c>
      <c r="J642" s="55">
        <f t="shared" si="660"/>
        <v>0</v>
      </c>
      <c r="K642" s="55">
        <f>'Stavební rozpočet'!K656</f>
        <v>0</v>
      </c>
      <c r="L642" s="55">
        <f t="shared" si="661"/>
        <v>0</v>
      </c>
      <c r="M642" s="51" t="s">
        <v>622</v>
      </c>
      <c r="Z642" s="29">
        <f t="shared" si="662"/>
        <v>0</v>
      </c>
      <c r="AB642" s="29">
        <f t="shared" si="663"/>
        <v>0</v>
      </c>
      <c r="AC642" s="29">
        <f t="shared" si="664"/>
        <v>0</v>
      </c>
      <c r="AD642" s="29">
        <f t="shared" si="665"/>
        <v>0</v>
      </c>
      <c r="AE642" s="29">
        <f t="shared" si="666"/>
        <v>0</v>
      </c>
      <c r="AF642" s="29">
        <f t="shared" si="667"/>
        <v>0</v>
      </c>
      <c r="AG642" s="29">
        <f t="shared" si="668"/>
        <v>0</v>
      </c>
      <c r="AH642" s="29">
        <f t="shared" si="669"/>
        <v>0</v>
      </c>
      <c r="AI642" s="48" t="s">
        <v>60</v>
      </c>
      <c r="AJ642" s="55">
        <f t="shared" si="670"/>
        <v>0</v>
      </c>
      <c r="AK642" s="55">
        <f t="shared" si="671"/>
        <v>0</v>
      </c>
      <c r="AL642" s="55">
        <f t="shared" si="672"/>
        <v>0</v>
      </c>
      <c r="AN642" s="29">
        <v>15</v>
      </c>
      <c r="AO642" s="29">
        <f t="shared" si="673"/>
        <v>0</v>
      </c>
      <c r="AP642" s="29">
        <f t="shared" si="674"/>
        <v>0</v>
      </c>
      <c r="AQ642" s="51" t="s">
        <v>79</v>
      </c>
      <c r="AV642" s="29">
        <f t="shared" si="675"/>
        <v>0</v>
      </c>
      <c r="AW642" s="29">
        <f t="shared" si="676"/>
        <v>0</v>
      </c>
      <c r="AX642" s="29">
        <f t="shared" si="677"/>
        <v>0</v>
      </c>
      <c r="AY642" s="54" t="s">
        <v>649</v>
      </c>
      <c r="AZ642" s="54" t="s">
        <v>1536</v>
      </c>
      <c r="BA642" s="48" t="s">
        <v>1542</v>
      </c>
      <c r="BC642" s="29">
        <f t="shared" si="678"/>
        <v>0</v>
      </c>
      <c r="BD642" s="29">
        <f t="shared" si="679"/>
        <v>0</v>
      </c>
      <c r="BE642" s="29">
        <v>0</v>
      </c>
      <c r="BF642" s="29">
        <f t="shared" si="680"/>
        <v>0</v>
      </c>
      <c r="BH642" s="55">
        <f t="shared" si="681"/>
        <v>0</v>
      </c>
      <c r="BI642" s="55">
        <f t="shared" si="682"/>
        <v>0</v>
      </c>
      <c r="BJ642" s="55">
        <f t="shared" si="683"/>
        <v>0</v>
      </c>
    </row>
    <row r="643" spans="1:62" ht="12.75">
      <c r="A643" s="36" t="s">
        <v>1882</v>
      </c>
      <c r="B643" s="36" t="s">
        <v>60</v>
      </c>
      <c r="C643" s="36" t="s">
        <v>411</v>
      </c>
      <c r="D643" s="36" t="s">
        <v>597</v>
      </c>
      <c r="E643" s="36" t="s">
        <v>614</v>
      </c>
      <c r="F643" s="55">
        <f>'Stavební rozpočet'!F657</f>
        <v>1</v>
      </c>
      <c r="G643" s="55">
        <f>'Stavební rozpočet'!G657</f>
        <v>0</v>
      </c>
      <c r="H643" s="55">
        <f t="shared" si="658"/>
        <v>0</v>
      </c>
      <c r="I643" s="55">
        <f t="shared" si="659"/>
        <v>0</v>
      </c>
      <c r="J643" s="55">
        <f t="shared" si="660"/>
        <v>0</v>
      </c>
      <c r="K643" s="55">
        <f>'Stavební rozpočet'!K657</f>
        <v>0</v>
      </c>
      <c r="L643" s="55">
        <f t="shared" si="661"/>
        <v>0</v>
      </c>
      <c r="M643" s="51" t="s">
        <v>622</v>
      </c>
      <c r="Z643" s="29">
        <f t="shared" si="662"/>
        <v>0</v>
      </c>
      <c r="AB643" s="29">
        <f t="shared" si="663"/>
        <v>0</v>
      </c>
      <c r="AC643" s="29">
        <f t="shared" si="664"/>
        <v>0</v>
      </c>
      <c r="AD643" s="29">
        <f t="shared" si="665"/>
        <v>0</v>
      </c>
      <c r="AE643" s="29">
        <f t="shared" si="666"/>
        <v>0</v>
      </c>
      <c r="AF643" s="29">
        <f t="shared" si="667"/>
        <v>0</v>
      </c>
      <c r="AG643" s="29">
        <f t="shared" si="668"/>
        <v>0</v>
      </c>
      <c r="AH643" s="29">
        <f t="shared" si="669"/>
        <v>0</v>
      </c>
      <c r="AI643" s="48" t="s">
        <v>60</v>
      </c>
      <c r="AJ643" s="55">
        <f t="shared" si="670"/>
        <v>0</v>
      </c>
      <c r="AK643" s="55">
        <f t="shared" si="671"/>
        <v>0</v>
      </c>
      <c r="AL643" s="55">
        <f t="shared" si="672"/>
        <v>0</v>
      </c>
      <c r="AN643" s="29">
        <v>15</v>
      </c>
      <c r="AO643" s="29">
        <f t="shared" si="673"/>
        <v>0</v>
      </c>
      <c r="AP643" s="29">
        <f t="shared" si="674"/>
        <v>0</v>
      </c>
      <c r="AQ643" s="51" t="s">
        <v>79</v>
      </c>
      <c r="AV643" s="29">
        <f t="shared" si="675"/>
        <v>0</v>
      </c>
      <c r="AW643" s="29">
        <f t="shared" si="676"/>
        <v>0</v>
      </c>
      <c r="AX643" s="29">
        <f t="shared" si="677"/>
        <v>0</v>
      </c>
      <c r="AY643" s="54" t="s">
        <v>649</v>
      </c>
      <c r="AZ643" s="54" t="s">
        <v>1536</v>
      </c>
      <c r="BA643" s="48" t="s">
        <v>1542</v>
      </c>
      <c r="BC643" s="29">
        <f t="shared" si="678"/>
        <v>0</v>
      </c>
      <c r="BD643" s="29">
        <f t="shared" si="679"/>
        <v>0</v>
      </c>
      <c r="BE643" s="29">
        <v>0</v>
      </c>
      <c r="BF643" s="29">
        <f t="shared" si="680"/>
        <v>0</v>
      </c>
      <c r="BH643" s="55">
        <f t="shared" si="681"/>
        <v>0</v>
      </c>
      <c r="BI643" s="55">
        <f t="shared" si="682"/>
        <v>0</v>
      </c>
      <c r="BJ643" s="55">
        <f t="shared" si="683"/>
        <v>0</v>
      </c>
    </row>
    <row r="644" spans="1:62" ht="12.75">
      <c r="A644" s="36" t="s">
        <v>1883</v>
      </c>
      <c r="B644" s="36" t="s">
        <v>60</v>
      </c>
      <c r="C644" s="36" t="s">
        <v>412</v>
      </c>
      <c r="D644" s="36" t="s">
        <v>598</v>
      </c>
      <c r="E644" s="36" t="s">
        <v>606</v>
      </c>
      <c r="F644" s="55">
        <f>'Stavební rozpočet'!F658</f>
        <v>1</v>
      </c>
      <c r="G644" s="55">
        <f>'Stavební rozpočet'!G658</f>
        <v>0</v>
      </c>
      <c r="H644" s="55">
        <f t="shared" si="658"/>
        <v>0</v>
      </c>
      <c r="I644" s="55">
        <f t="shared" si="659"/>
        <v>0</v>
      </c>
      <c r="J644" s="55">
        <f t="shared" si="660"/>
        <v>0</v>
      </c>
      <c r="K644" s="55">
        <f>'Stavební rozpočet'!K658</f>
        <v>0</v>
      </c>
      <c r="L644" s="55">
        <f t="shared" si="661"/>
        <v>0</v>
      </c>
      <c r="M644" s="51" t="s">
        <v>622</v>
      </c>
      <c r="Z644" s="29">
        <f t="shared" si="662"/>
        <v>0</v>
      </c>
      <c r="AB644" s="29">
        <f t="shared" si="663"/>
        <v>0</v>
      </c>
      <c r="AC644" s="29">
        <f t="shared" si="664"/>
        <v>0</v>
      </c>
      <c r="AD644" s="29">
        <f t="shared" si="665"/>
        <v>0</v>
      </c>
      <c r="AE644" s="29">
        <f t="shared" si="666"/>
        <v>0</v>
      </c>
      <c r="AF644" s="29">
        <f t="shared" si="667"/>
        <v>0</v>
      </c>
      <c r="AG644" s="29">
        <f t="shared" si="668"/>
        <v>0</v>
      </c>
      <c r="AH644" s="29">
        <f t="shared" si="669"/>
        <v>0</v>
      </c>
      <c r="AI644" s="48" t="s">
        <v>60</v>
      </c>
      <c r="AJ644" s="55">
        <f t="shared" si="670"/>
        <v>0</v>
      </c>
      <c r="AK644" s="55">
        <f t="shared" si="671"/>
        <v>0</v>
      </c>
      <c r="AL644" s="55">
        <f t="shared" si="672"/>
        <v>0</v>
      </c>
      <c r="AN644" s="29">
        <v>15</v>
      </c>
      <c r="AO644" s="29">
        <f t="shared" si="673"/>
        <v>0</v>
      </c>
      <c r="AP644" s="29">
        <f t="shared" si="674"/>
        <v>0</v>
      </c>
      <c r="AQ644" s="51" t="s">
        <v>79</v>
      </c>
      <c r="AV644" s="29">
        <f t="shared" si="675"/>
        <v>0</v>
      </c>
      <c r="AW644" s="29">
        <f t="shared" si="676"/>
        <v>0</v>
      </c>
      <c r="AX644" s="29">
        <f t="shared" si="677"/>
        <v>0</v>
      </c>
      <c r="AY644" s="54" t="s">
        <v>649</v>
      </c>
      <c r="AZ644" s="54" t="s">
        <v>1536</v>
      </c>
      <c r="BA644" s="48" t="s">
        <v>1542</v>
      </c>
      <c r="BC644" s="29">
        <f t="shared" si="678"/>
        <v>0</v>
      </c>
      <c r="BD644" s="29">
        <f t="shared" si="679"/>
        <v>0</v>
      </c>
      <c r="BE644" s="29">
        <v>0</v>
      </c>
      <c r="BF644" s="29">
        <f t="shared" si="680"/>
        <v>0</v>
      </c>
      <c r="BH644" s="55">
        <f t="shared" si="681"/>
        <v>0</v>
      </c>
      <c r="BI644" s="55">
        <f t="shared" si="682"/>
        <v>0</v>
      </c>
      <c r="BJ644" s="55">
        <f t="shared" si="683"/>
        <v>0</v>
      </c>
    </row>
    <row r="645" spans="1:62" ht="12.75">
      <c r="A645" s="36" t="s">
        <v>1884</v>
      </c>
      <c r="B645" s="36" t="s">
        <v>60</v>
      </c>
      <c r="C645" s="36" t="s">
        <v>413</v>
      </c>
      <c r="D645" s="36" t="s">
        <v>1522</v>
      </c>
      <c r="E645" s="36" t="s">
        <v>606</v>
      </c>
      <c r="F645" s="55">
        <f>'Stavební rozpočet'!F659</f>
        <v>1</v>
      </c>
      <c r="G645" s="55">
        <f>'Stavební rozpočet'!G659</f>
        <v>0</v>
      </c>
      <c r="H645" s="55">
        <f t="shared" si="658"/>
        <v>0</v>
      </c>
      <c r="I645" s="55">
        <f t="shared" si="659"/>
        <v>0</v>
      </c>
      <c r="J645" s="55">
        <f t="shared" si="660"/>
        <v>0</v>
      </c>
      <c r="K645" s="55">
        <f>'Stavební rozpočet'!K659</f>
        <v>0</v>
      </c>
      <c r="L645" s="55">
        <f t="shared" si="661"/>
        <v>0</v>
      </c>
      <c r="M645" s="51" t="s">
        <v>622</v>
      </c>
      <c r="Z645" s="29">
        <f t="shared" si="662"/>
        <v>0</v>
      </c>
      <c r="AB645" s="29">
        <f t="shared" si="663"/>
        <v>0</v>
      </c>
      <c r="AC645" s="29">
        <f t="shared" si="664"/>
        <v>0</v>
      </c>
      <c r="AD645" s="29">
        <f t="shared" si="665"/>
        <v>0</v>
      </c>
      <c r="AE645" s="29">
        <f t="shared" si="666"/>
        <v>0</v>
      </c>
      <c r="AF645" s="29">
        <f t="shared" si="667"/>
        <v>0</v>
      </c>
      <c r="AG645" s="29">
        <f t="shared" si="668"/>
        <v>0</v>
      </c>
      <c r="AH645" s="29">
        <f t="shared" si="669"/>
        <v>0</v>
      </c>
      <c r="AI645" s="48" t="s">
        <v>60</v>
      </c>
      <c r="AJ645" s="55">
        <f t="shared" si="670"/>
        <v>0</v>
      </c>
      <c r="AK645" s="55">
        <f t="shared" si="671"/>
        <v>0</v>
      </c>
      <c r="AL645" s="55">
        <f t="shared" si="672"/>
        <v>0</v>
      </c>
      <c r="AN645" s="29">
        <v>15</v>
      </c>
      <c r="AO645" s="29">
        <f t="shared" si="673"/>
        <v>0</v>
      </c>
      <c r="AP645" s="29">
        <f t="shared" si="674"/>
        <v>0</v>
      </c>
      <c r="AQ645" s="51" t="s">
        <v>79</v>
      </c>
      <c r="AV645" s="29">
        <f t="shared" si="675"/>
        <v>0</v>
      </c>
      <c r="AW645" s="29">
        <f t="shared" si="676"/>
        <v>0</v>
      </c>
      <c r="AX645" s="29">
        <f t="shared" si="677"/>
        <v>0</v>
      </c>
      <c r="AY645" s="54" t="s">
        <v>649</v>
      </c>
      <c r="AZ645" s="54" t="s">
        <v>1536</v>
      </c>
      <c r="BA645" s="48" t="s">
        <v>1542</v>
      </c>
      <c r="BC645" s="29">
        <f t="shared" si="678"/>
        <v>0</v>
      </c>
      <c r="BD645" s="29">
        <f t="shared" si="679"/>
        <v>0</v>
      </c>
      <c r="BE645" s="29">
        <v>0</v>
      </c>
      <c r="BF645" s="29">
        <f t="shared" si="680"/>
        <v>0</v>
      </c>
      <c r="BH645" s="55">
        <f t="shared" si="681"/>
        <v>0</v>
      </c>
      <c r="BI645" s="55">
        <f t="shared" si="682"/>
        <v>0</v>
      </c>
      <c r="BJ645" s="55">
        <f t="shared" si="683"/>
        <v>0</v>
      </c>
    </row>
    <row r="646" spans="1:62" ht="12.75">
      <c r="A646" s="36" t="s">
        <v>1885</v>
      </c>
      <c r="B646" s="36" t="s">
        <v>60</v>
      </c>
      <c r="C646" s="36" t="s">
        <v>414</v>
      </c>
      <c r="D646" s="36" t="s">
        <v>600</v>
      </c>
      <c r="E646" s="36" t="s">
        <v>611</v>
      </c>
      <c r="F646" s="55">
        <f>'Stavební rozpočet'!F660</f>
        <v>5</v>
      </c>
      <c r="G646" s="55">
        <f>'Stavební rozpočet'!G660</f>
        <v>0</v>
      </c>
      <c r="H646" s="55">
        <f t="shared" si="658"/>
        <v>0</v>
      </c>
      <c r="I646" s="55">
        <f t="shared" si="659"/>
        <v>0</v>
      </c>
      <c r="J646" s="55">
        <f t="shared" si="660"/>
        <v>0</v>
      </c>
      <c r="K646" s="55">
        <f>'Stavební rozpočet'!K660</f>
        <v>0</v>
      </c>
      <c r="L646" s="55">
        <f t="shared" si="661"/>
        <v>0</v>
      </c>
      <c r="M646" s="51" t="s">
        <v>622</v>
      </c>
      <c r="Z646" s="29">
        <f t="shared" si="662"/>
        <v>0</v>
      </c>
      <c r="AB646" s="29">
        <f t="shared" si="663"/>
        <v>0</v>
      </c>
      <c r="AC646" s="29">
        <f t="shared" si="664"/>
        <v>0</v>
      </c>
      <c r="AD646" s="29">
        <f t="shared" si="665"/>
        <v>0</v>
      </c>
      <c r="AE646" s="29">
        <f t="shared" si="666"/>
        <v>0</v>
      </c>
      <c r="AF646" s="29">
        <f t="shared" si="667"/>
        <v>0</v>
      </c>
      <c r="AG646" s="29">
        <f t="shared" si="668"/>
        <v>0</v>
      </c>
      <c r="AH646" s="29">
        <f t="shared" si="669"/>
        <v>0</v>
      </c>
      <c r="AI646" s="48" t="s">
        <v>60</v>
      </c>
      <c r="AJ646" s="55">
        <f t="shared" si="670"/>
        <v>0</v>
      </c>
      <c r="AK646" s="55">
        <f t="shared" si="671"/>
        <v>0</v>
      </c>
      <c r="AL646" s="55">
        <f t="shared" si="672"/>
        <v>0</v>
      </c>
      <c r="AN646" s="29">
        <v>15</v>
      </c>
      <c r="AO646" s="29">
        <f t="shared" si="673"/>
        <v>0</v>
      </c>
      <c r="AP646" s="29">
        <f t="shared" si="674"/>
        <v>0</v>
      </c>
      <c r="AQ646" s="51" t="s">
        <v>79</v>
      </c>
      <c r="AV646" s="29">
        <f t="shared" si="675"/>
        <v>0</v>
      </c>
      <c r="AW646" s="29">
        <f t="shared" si="676"/>
        <v>0</v>
      </c>
      <c r="AX646" s="29">
        <f t="shared" si="677"/>
        <v>0</v>
      </c>
      <c r="AY646" s="54" t="s">
        <v>649</v>
      </c>
      <c r="AZ646" s="54" t="s">
        <v>1536</v>
      </c>
      <c r="BA646" s="48" t="s">
        <v>1542</v>
      </c>
      <c r="BC646" s="29">
        <f t="shared" si="678"/>
        <v>0</v>
      </c>
      <c r="BD646" s="29">
        <f t="shared" si="679"/>
        <v>0</v>
      </c>
      <c r="BE646" s="29">
        <v>0</v>
      </c>
      <c r="BF646" s="29">
        <f t="shared" si="680"/>
        <v>0</v>
      </c>
      <c r="BH646" s="55">
        <f t="shared" si="681"/>
        <v>0</v>
      </c>
      <c r="BI646" s="55">
        <f t="shared" si="682"/>
        <v>0</v>
      </c>
      <c r="BJ646" s="55">
        <f t="shared" si="683"/>
        <v>0</v>
      </c>
    </row>
    <row r="647" spans="1:62" ht="12.75">
      <c r="A647" s="36" t="s">
        <v>1886</v>
      </c>
      <c r="B647" s="36" t="s">
        <v>60</v>
      </c>
      <c r="C647" s="36" t="s">
        <v>415</v>
      </c>
      <c r="D647" s="36" t="s">
        <v>601</v>
      </c>
      <c r="E647" s="36" t="s">
        <v>611</v>
      </c>
      <c r="F647" s="55">
        <f>'Stavební rozpočet'!F661</f>
        <v>6</v>
      </c>
      <c r="G647" s="55">
        <f>'Stavební rozpočet'!G661</f>
        <v>0</v>
      </c>
      <c r="H647" s="55">
        <f t="shared" si="658"/>
        <v>0</v>
      </c>
      <c r="I647" s="55">
        <f t="shared" si="659"/>
        <v>0</v>
      </c>
      <c r="J647" s="55">
        <f t="shared" si="660"/>
        <v>0</v>
      </c>
      <c r="K647" s="55">
        <f>'Stavební rozpočet'!K661</f>
        <v>0</v>
      </c>
      <c r="L647" s="55">
        <f t="shared" si="661"/>
        <v>0</v>
      </c>
      <c r="M647" s="51" t="s">
        <v>622</v>
      </c>
      <c r="Z647" s="29">
        <f t="shared" si="662"/>
        <v>0</v>
      </c>
      <c r="AB647" s="29">
        <f t="shared" si="663"/>
        <v>0</v>
      </c>
      <c r="AC647" s="29">
        <f t="shared" si="664"/>
        <v>0</v>
      </c>
      <c r="AD647" s="29">
        <f t="shared" si="665"/>
        <v>0</v>
      </c>
      <c r="AE647" s="29">
        <f t="shared" si="666"/>
        <v>0</v>
      </c>
      <c r="AF647" s="29">
        <f t="shared" si="667"/>
        <v>0</v>
      </c>
      <c r="AG647" s="29">
        <f t="shared" si="668"/>
        <v>0</v>
      </c>
      <c r="AH647" s="29">
        <f t="shared" si="669"/>
        <v>0</v>
      </c>
      <c r="AI647" s="48" t="s">
        <v>60</v>
      </c>
      <c r="AJ647" s="55">
        <f t="shared" si="670"/>
        <v>0</v>
      </c>
      <c r="AK647" s="55">
        <f t="shared" si="671"/>
        <v>0</v>
      </c>
      <c r="AL647" s="55">
        <f t="shared" si="672"/>
        <v>0</v>
      </c>
      <c r="AN647" s="29">
        <v>15</v>
      </c>
      <c r="AO647" s="29">
        <f t="shared" si="673"/>
        <v>0</v>
      </c>
      <c r="AP647" s="29">
        <f t="shared" si="674"/>
        <v>0</v>
      </c>
      <c r="AQ647" s="51" t="s">
        <v>79</v>
      </c>
      <c r="AV647" s="29">
        <f t="shared" si="675"/>
        <v>0</v>
      </c>
      <c r="AW647" s="29">
        <f t="shared" si="676"/>
        <v>0</v>
      </c>
      <c r="AX647" s="29">
        <f t="shared" si="677"/>
        <v>0</v>
      </c>
      <c r="AY647" s="54" t="s">
        <v>649</v>
      </c>
      <c r="AZ647" s="54" t="s">
        <v>1536</v>
      </c>
      <c r="BA647" s="48" t="s">
        <v>1542</v>
      </c>
      <c r="BC647" s="29">
        <f t="shared" si="678"/>
        <v>0</v>
      </c>
      <c r="BD647" s="29">
        <f t="shared" si="679"/>
        <v>0</v>
      </c>
      <c r="BE647" s="29">
        <v>0</v>
      </c>
      <c r="BF647" s="29">
        <f t="shared" si="680"/>
        <v>0</v>
      </c>
      <c r="BH647" s="55">
        <f t="shared" si="681"/>
        <v>0</v>
      </c>
      <c r="BI647" s="55">
        <f t="shared" si="682"/>
        <v>0</v>
      </c>
      <c r="BJ647" s="55">
        <f t="shared" si="683"/>
        <v>0</v>
      </c>
    </row>
    <row r="648" spans="1:62" ht="12.75">
      <c r="A648" s="36" t="s">
        <v>1887</v>
      </c>
      <c r="B648" s="36" t="s">
        <v>60</v>
      </c>
      <c r="C648" s="36" t="s">
        <v>416</v>
      </c>
      <c r="D648" s="36" t="s">
        <v>602</v>
      </c>
      <c r="E648" s="36" t="s">
        <v>611</v>
      </c>
      <c r="F648" s="55">
        <f>'Stavební rozpočet'!F662</f>
        <v>20</v>
      </c>
      <c r="G648" s="55">
        <f>'Stavební rozpočet'!G662</f>
        <v>0</v>
      </c>
      <c r="H648" s="55">
        <f t="shared" si="658"/>
        <v>0</v>
      </c>
      <c r="I648" s="55">
        <f t="shared" si="659"/>
        <v>0</v>
      </c>
      <c r="J648" s="55">
        <f t="shared" si="660"/>
        <v>0</v>
      </c>
      <c r="K648" s="55">
        <f>'Stavební rozpočet'!K662</f>
        <v>0</v>
      </c>
      <c r="L648" s="55">
        <f t="shared" si="661"/>
        <v>0</v>
      </c>
      <c r="M648" s="51" t="s">
        <v>622</v>
      </c>
      <c r="Z648" s="29">
        <f t="shared" si="662"/>
        <v>0</v>
      </c>
      <c r="AB648" s="29">
        <f t="shared" si="663"/>
        <v>0</v>
      </c>
      <c r="AC648" s="29">
        <f t="shared" si="664"/>
        <v>0</v>
      </c>
      <c r="AD648" s="29">
        <f t="shared" si="665"/>
        <v>0</v>
      </c>
      <c r="AE648" s="29">
        <f t="shared" si="666"/>
        <v>0</v>
      </c>
      <c r="AF648" s="29">
        <f t="shared" si="667"/>
        <v>0</v>
      </c>
      <c r="AG648" s="29">
        <f t="shared" si="668"/>
        <v>0</v>
      </c>
      <c r="AH648" s="29">
        <f t="shared" si="669"/>
        <v>0</v>
      </c>
      <c r="AI648" s="48" t="s">
        <v>60</v>
      </c>
      <c r="AJ648" s="55">
        <f t="shared" si="670"/>
        <v>0</v>
      </c>
      <c r="AK648" s="55">
        <f t="shared" si="671"/>
        <v>0</v>
      </c>
      <c r="AL648" s="55">
        <f t="shared" si="672"/>
        <v>0</v>
      </c>
      <c r="AN648" s="29">
        <v>15</v>
      </c>
      <c r="AO648" s="29">
        <f t="shared" si="673"/>
        <v>0</v>
      </c>
      <c r="AP648" s="29">
        <f t="shared" si="674"/>
        <v>0</v>
      </c>
      <c r="AQ648" s="51" t="s">
        <v>79</v>
      </c>
      <c r="AV648" s="29">
        <f t="shared" si="675"/>
        <v>0</v>
      </c>
      <c r="AW648" s="29">
        <f t="shared" si="676"/>
        <v>0</v>
      </c>
      <c r="AX648" s="29">
        <f t="shared" si="677"/>
        <v>0</v>
      </c>
      <c r="AY648" s="54" t="s">
        <v>649</v>
      </c>
      <c r="AZ648" s="54" t="s">
        <v>1536</v>
      </c>
      <c r="BA648" s="48" t="s">
        <v>1542</v>
      </c>
      <c r="BC648" s="29">
        <f t="shared" si="678"/>
        <v>0</v>
      </c>
      <c r="BD648" s="29">
        <f t="shared" si="679"/>
        <v>0</v>
      </c>
      <c r="BE648" s="29">
        <v>0</v>
      </c>
      <c r="BF648" s="29">
        <f t="shared" si="680"/>
        <v>0</v>
      </c>
      <c r="BH648" s="55">
        <f t="shared" si="681"/>
        <v>0</v>
      </c>
      <c r="BI648" s="55">
        <f t="shared" si="682"/>
        <v>0</v>
      </c>
      <c r="BJ648" s="55">
        <f t="shared" si="683"/>
        <v>0</v>
      </c>
    </row>
    <row r="649" spans="1:62" ht="12.75">
      <c r="A649" s="36" t="s">
        <v>1888</v>
      </c>
      <c r="B649" s="36" t="s">
        <v>60</v>
      </c>
      <c r="C649" s="36" t="s">
        <v>1222</v>
      </c>
      <c r="D649" s="36" t="s">
        <v>1523</v>
      </c>
      <c r="E649" s="36" t="s">
        <v>611</v>
      </c>
      <c r="F649" s="55">
        <f>'Stavební rozpočet'!F663</f>
        <v>0</v>
      </c>
      <c r="G649" s="55">
        <f>'Stavební rozpočet'!G663</f>
        <v>0</v>
      </c>
      <c r="H649" s="55">
        <f t="shared" si="658"/>
        <v>0</v>
      </c>
      <c r="I649" s="55">
        <f t="shared" si="659"/>
        <v>0</v>
      </c>
      <c r="J649" s="55">
        <f t="shared" si="660"/>
        <v>0</v>
      </c>
      <c r="K649" s="55">
        <f>'Stavební rozpočet'!K663</f>
        <v>0</v>
      </c>
      <c r="L649" s="55">
        <f t="shared" si="661"/>
        <v>0</v>
      </c>
      <c r="M649" s="51" t="s">
        <v>622</v>
      </c>
      <c r="Z649" s="29">
        <f t="shared" si="662"/>
        <v>0</v>
      </c>
      <c r="AB649" s="29">
        <f t="shared" si="663"/>
        <v>0</v>
      </c>
      <c r="AC649" s="29">
        <f t="shared" si="664"/>
        <v>0</v>
      </c>
      <c r="AD649" s="29">
        <f t="shared" si="665"/>
        <v>0</v>
      </c>
      <c r="AE649" s="29">
        <f t="shared" si="666"/>
        <v>0</v>
      </c>
      <c r="AF649" s="29">
        <f t="shared" si="667"/>
        <v>0</v>
      </c>
      <c r="AG649" s="29">
        <f t="shared" si="668"/>
        <v>0</v>
      </c>
      <c r="AH649" s="29">
        <f t="shared" si="669"/>
        <v>0</v>
      </c>
      <c r="AI649" s="48" t="s">
        <v>60</v>
      </c>
      <c r="AJ649" s="55">
        <f t="shared" si="670"/>
        <v>0</v>
      </c>
      <c r="AK649" s="55">
        <f t="shared" si="671"/>
        <v>0</v>
      </c>
      <c r="AL649" s="55">
        <f t="shared" si="672"/>
        <v>0</v>
      </c>
      <c r="AN649" s="29">
        <v>15</v>
      </c>
      <c r="AO649" s="29">
        <f t="shared" si="673"/>
        <v>0</v>
      </c>
      <c r="AP649" s="29">
        <f t="shared" si="674"/>
        <v>0</v>
      </c>
      <c r="AQ649" s="51" t="s">
        <v>79</v>
      </c>
      <c r="AV649" s="29">
        <f t="shared" si="675"/>
        <v>0</v>
      </c>
      <c r="AW649" s="29">
        <f t="shared" si="676"/>
        <v>0</v>
      </c>
      <c r="AX649" s="29">
        <f t="shared" si="677"/>
        <v>0</v>
      </c>
      <c r="AY649" s="54" t="s">
        <v>649</v>
      </c>
      <c r="AZ649" s="54" t="s">
        <v>1536</v>
      </c>
      <c r="BA649" s="48" t="s">
        <v>1542</v>
      </c>
      <c r="BC649" s="29">
        <f t="shared" si="678"/>
        <v>0</v>
      </c>
      <c r="BD649" s="29">
        <f t="shared" si="679"/>
        <v>0</v>
      </c>
      <c r="BE649" s="29">
        <v>0</v>
      </c>
      <c r="BF649" s="29">
        <f t="shared" si="680"/>
        <v>0</v>
      </c>
      <c r="BH649" s="55">
        <f t="shared" si="681"/>
        <v>0</v>
      </c>
      <c r="BI649" s="55">
        <f t="shared" si="682"/>
        <v>0</v>
      </c>
      <c r="BJ649" s="55">
        <f t="shared" si="683"/>
        <v>0</v>
      </c>
    </row>
    <row r="650" spans="1:62" ht="12.75">
      <c r="A650" s="36" t="s">
        <v>1889</v>
      </c>
      <c r="B650" s="36" t="s">
        <v>60</v>
      </c>
      <c r="C650" s="36" t="s">
        <v>1223</v>
      </c>
      <c r="D650" s="36" t="s">
        <v>1524</v>
      </c>
      <c r="E650" s="36" t="s">
        <v>606</v>
      </c>
      <c r="F650" s="55">
        <f>'Stavební rozpočet'!F664</f>
        <v>0</v>
      </c>
      <c r="G650" s="55">
        <f>'Stavební rozpočet'!G664</f>
        <v>0</v>
      </c>
      <c r="H650" s="55">
        <f t="shared" si="658"/>
        <v>0</v>
      </c>
      <c r="I650" s="55">
        <f t="shared" si="659"/>
        <v>0</v>
      </c>
      <c r="J650" s="55">
        <f t="shared" si="660"/>
        <v>0</v>
      </c>
      <c r="K650" s="55">
        <f>'Stavební rozpočet'!K664</f>
        <v>0</v>
      </c>
      <c r="L650" s="55">
        <f t="shared" si="661"/>
        <v>0</v>
      </c>
      <c r="M650" s="51" t="s">
        <v>622</v>
      </c>
      <c r="Z650" s="29">
        <f t="shared" si="662"/>
        <v>0</v>
      </c>
      <c r="AB650" s="29">
        <f t="shared" si="663"/>
        <v>0</v>
      </c>
      <c r="AC650" s="29">
        <f t="shared" si="664"/>
        <v>0</v>
      </c>
      <c r="AD650" s="29">
        <f t="shared" si="665"/>
        <v>0</v>
      </c>
      <c r="AE650" s="29">
        <f t="shared" si="666"/>
        <v>0</v>
      </c>
      <c r="AF650" s="29">
        <f t="shared" si="667"/>
        <v>0</v>
      </c>
      <c r="AG650" s="29">
        <f t="shared" si="668"/>
        <v>0</v>
      </c>
      <c r="AH650" s="29">
        <f t="shared" si="669"/>
        <v>0</v>
      </c>
      <c r="AI650" s="48" t="s">
        <v>60</v>
      </c>
      <c r="AJ650" s="55">
        <f t="shared" si="670"/>
        <v>0</v>
      </c>
      <c r="AK650" s="55">
        <f t="shared" si="671"/>
        <v>0</v>
      </c>
      <c r="AL650" s="55">
        <f t="shared" si="672"/>
        <v>0</v>
      </c>
      <c r="AN650" s="29">
        <v>15</v>
      </c>
      <c r="AO650" s="29">
        <f t="shared" si="673"/>
        <v>0</v>
      </c>
      <c r="AP650" s="29">
        <f t="shared" si="674"/>
        <v>0</v>
      </c>
      <c r="AQ650" s="51" t="s">
        <v>79</v>
      </c>
      <c r="AV650" s="29">
        <f t="shared" si="675"/>
        <v>0</v>
      </c>
      <c r="AW650" s="29">
        <f t="shared" si="676"/>
        <v>0</v>
      </c>
      <c r="AX650" s="29">
        <f t="shared" si="677"/>
        <v>0</v>
      </c>
      <c r="AY650" s="54" t="s">
        <v>649</v>
      </c>
      <c r="AZ650" s="54" t="s">
        <v>1536</v>
      </c>
      <c r="BA650" s="48" t="s">
        <v>1542</v>
      </c>
      <c r="BC650" s="29">
        <f t="shared" si="678"/>
        <v>0</v>
      </c>
      <c r="BD650" s="29">
        <f t="shared" si="679"/>
        <v>0</v>
      </c>
      <c r="BE650" s="29">
        <v>0</v>
      </c>
      <c r="BF650" s="29">
        <f t="shared" si="680"/>
        <v>0</v>
      </c>
      <c r="BH650" s="55">
        <f t="shared" si="681"/>
        <v>0</v>
      </c>
      <c r="BI650" s="55">
        <f t="shared" si="682"/>
        <v>0</v>
      </c>
      <c r="BJ650" s="55">
        <f t="shared" si="683"/>
        <v>0</v>
      </c>
    </row>
    <row r="651" spans="1:62" ht="12.75">
      <c r="A651" s="36" t="s">
        <v>1890</v>
      </c>
      <c r="B651" s="36" t="s">
        <v>60</v>
      </c>
      <c r="C651" s="36" t="s">
        <v>416</v>
      </c>
      <c r="D651" s="36" t="s">
        <v>603</v>
      </c>
      <c r="E651" s="36" t="s">
        <v>616</v>
      </c>
      <c r="F651" s="55">
        <f>'Stavební rozpočet'!F665</f>
        <v>1</v>
      </c>
      <c r="G651" s="55">
        <f>'Stavební rozpočet'!G665</f>
        <v>0</v>
      </c>
      <c r="H651" s="55">
        <f t="shared" si="658"/>
        <v>0</v>
      </c>
      <c r="I651" s="55">
        <f t="shared" si="659"/>
        <v>0</v>
      </c>
      <c r="J651" s="55">
        <f t="shared" si="660"/>
        <v>0</v>
      </c>
      <c r="K651" s="55">
        <f>'Stavební rozpočet'!K665</f>
        <v>0</v>
      </c>
      <c r="L651" s="55">
        <f t="shared" si="661"/>
        <v>0</v>
      </c>
      <c r="M651" s="51" t="s">
        <v>622</v>
      </c>
      <c r="Z651" s="29">
        <f t="shared" si="662"/>
        <v>0</v>
      </c>
      <c r="AB651" s="29">
        <f t="shared" si="663"/>
        <v>0</v>
      </c>
      <c r="AC651" s="29">
        <f t="shared" si="664"/>
        <v>0</v>
      </c>
      <c r="AD651" s="29">
        <f t="shared" si="665"/>
        <v>0</v>
      </c>
      <c r="AE651" s="29">
        <f t="shared" si="666"/>
        <v>0</v>
      </c>
      <c r="AF651" s="29">
        <f t="shared" si="667"/>
        <v>0</v>
      </c>
      <c r="AG651" s="29">
        <f t="shared" si="668"/>
        <v>0</v>
      </c>
      <c r="AH651" s="29">
        <f t="shared" si="669"/>
        <v>0</v>
      </c>
      <c r="AI651" s="48" t="s">
        <v>60</v>
      </c>
      <c r="AJ651" s="55">
        <f t="shared" si="670"/>
        <v>0</v>
      </c>
      <c r="AK651" s="55">
        <f t="shared" si="671"/>
        <v>0</v>
      </c>
      <c r="AL651" s="55">
        <f t="shared" si="672"/>
        <v>0</v>
      </c>
      <c r="AN651" s="29">
        <v>15</v>
      </c>
      <c r="AO651" s="29">
        <f t="shared" si="673"/>
        <v>0</v>
      </c>
      <c r="AP651" s="29">
        <f t="shared" si="674"/>
        <v>0</v>
      </c>
      <c r="AQ651" s="51" t="s">
        <v>79</v>
      </c>
      <c r="AV651" s="29">
        <f t="shared" si="675"/>
        <v>0</v>
      </c>
      <c r="AW651" s="29">
        <f t="shared" si="676"/>
        <v>0</v>
      </c>
      <c r="AX651" s="29">
        <f t="shared" si="677"/>
        <v>0</v>
      </c>
      <c r="AY651" s="54" t="s">
        <v>649</v>
      </c>
      <c r="AZ651" s="54" t="s">
        <v>1536</v>
      </c>
      <c r="BA651" s="48" t="s">
        <v>1542</v>
      </c>
      <c r="BC651" s="29">
        <f t="shared" si="678"/>
        <v>0</v>
      </c>
      <c r="BD651" s="29">
        <f t="shared" si="679"/>
        <v>0</v>
      </c>
      <c r="BE651" s="29">
        <v>0</v>
      </c>
      <c r="BF651" s="29">
        <f t="shared" si="680"/>
        <v>0</v>
      </c>
      <c r="BH651" s="55">
        <f t="shared" si="681"/>
        <v>0</v>
      </c>
      <c r="BI651" s="55">
        <f t="shared" si="682"/>
        <v>0</v>
      </c>
      <c r="BJ651" s="55">
        <f t="shared" si="683"/>
        <v>0</v>
      </c>
    </row>
    <row r="652" spans="1:62" ht="12.75">
      <c r="A652" s="36" t="s">
        <v>1891</v>
      </c>
      <c r="B652" s="36" t="s">
        <v>60</v>
      </c>
      <c r="C652" s="36" t="s">
        <v>417</v>
      </c>
      <c r="D652" s="36" t="s">
        <v>604</v>
      </c>
      <c r="E652" s="36" t="s">
        <v>611</v>
      </c>
      <c r="F652" s="55">
        <f>'Stavební rozpočet'!F666</f>
        <v>16</v>
      </c>
      <c r="G652" s="55">
        <f>'Stavební rozpočet'!G666</f>
        <v>0</v>
      </c>
      <c r="H652" s="55">
        <f t="shared" si="658"/>
        <v>0</v>
      </c>
      <c r="I652" s="55">
        <f t="shared" si="659"/>
        <v>0</v>
      </c>
      <c r="J652" s="55">
        <f t="shared" si="660"/>
        <v>0</v>
      </c>
      <c r="K652" s="55">
        <f>'Stavební rozpočet'!K666</f>
        <v>0</v>
      </c>
      <c r="L652" s="55">
        <f t="shared" si="661"/>
        <v>0</v>
      </c>
      <c r="M652" s="51" t="s">
        <v>622</v>
      </c>
      <c r="Z652" s="29">
        <f t="shared" si="662"/>
        <v>0</v>
      </c>
      <c r="AB652" s="29">
        <f t="shared" si="663"/>
        <v>0</v>
      </c>
      <c r="AC652" s="29">
        <f t="shared" si="664"/>
        <v>0</v>
      </c>
      <c r="AD652" s="29">
        <f t="shared" si="665"/>
        <v>0</v>
      </c>
      <c r="AE652" s="29">
        <f t="shared" si="666"/>
        <v>0</v>
      </c>
      <c r="AF652" s="29">
        <f t="shared" si="667"/>
        <v>0</v>
      </c>
      <c r="AG652" s="29">
        <f t="shared" si="668"/>
        <v>0</v>
      </c>
      <c r="AH652" s="29">
        <f t="shared" si="669"/>
        <v>0</v>
      </c>
      <c r="AI652" s="48" t="s">
        <v>60</v>
      </c>
      <c r="AJ652" s="55">
        <f t="shared" si="670"/>
        <v>0</v>
      </c>
      <c r="AK652" s="55">
        <f t="shared" si="671"/>
        <v>0</v>
      </c>
      <c r="AL652" s="55">
        <f t="shared" si="672"/>
        <v>0</v>
      </c>
      <c r="AN652" s="29">
        <v>15</v>
      </c>
      <c r="AO652" s="29">
        <f t="shared" si="673"/>
        <v>0</v>
      </c>
      <c r="AP652" s="29">
        <f t="shared" si="674"/>
        <v>0</v>
      </c>
      <c r="AQ652" s="51" t="s">
        <v>79</v>
      </c>
      <c r="AV652" s="29">
        <f t="shared" si="675"/>
        <v>0</v>
      </c>
      <c r="AW652" s="29">
        <f t="shared" si="676"/>
        <v>0</v>
      </c>
      <c r="AX652" s="29">
        <f t="shared" si="677"/>
        <v>0</v>
      </c>
      <c r="AY652" s="54" t="s">
        <v>649</v>
      </c>
      <c r="AZ652" s="54" t="s">
        <v>1536</v>
      </c>
      <c r="BA652" s="48" t="s">
        <v>1542</v>
      </c>
      <c r="BC652" s="29">
        <f t="shared" si="678"/>
        <v>0</v>
      </c>
      <c r="BD652" s="29">
        <f t="shared" si="679"/>
        <v>0</v>
      </c>
      <c r="BE652" s="29">
        <v>0</v>
      </c>
      <c r="BF652" s="29">
        <f t="shared" si="680"/>
        <v>0</v>
      </c>
      <c r="BH652" s="55">
        <f t="shared" si="681"/>
        <v>0</v>
      </c>
      <c r="BI652" s="55">
        <f t="shared" si="682"/>
        <v>0</v>
      </c>
      <c r="BJ652" s="55">
        <f t="shared" si="683"/>
        <v>0</v>
      </c>
    </row>
    <row r="653" spans="1:13" ht="12.75">
      <c r="A653" s="71"/>
      <c r="B653" s="72" t="s">
        <v>61</v>
      </c>
      <c r="C653" s="72"/>
      <c r="D653" s="72" t="s">
        <v>67</v>
      </c>
      <c r="E653" s="71" t="s">
        <v>57</v>
      </c>
      <c r="F653" s="71" t="s">
        <v>57</v>
      </c>
      <c r="G653" s="71" t="s">
        <v>57</v>
      </c>
      <c r="H653" s="74">
        <f>H654+H657+H663+H673+H675+H680+H685+H696+H705+H715+H717+H755+H784+H789+H833+H837+H841+H851+H863+H868</f>
        <v>0</v>
      </c>
      <c r="I653" s="74">
        <f>I654+I657+I663+I673+I675+I680+I685+I696+I705+I715+I717+I755+I784+I789+I833+I837+I841+I851+I863+I868</f>
        <v>0</v>
      </c>
      <c r="J653" s="74">
        <f>J654+J657+J663+J673+J675+J680+J685+J696+J705+J715+J717+J755+J784+J789+J833+J837+J841+J851+J863+J868</f>
        <v>0</v>
      </c>
      <c r="K653" s="73"/>
      <c r="L653" s="74">
        <f>L654+L657+L663+L673+L675+L680+L685+L696+L705+L715+L717+L755+L784+L789+L833+L837+L841+L851+L863+L868</f>
        <v>0</v>
      </c>
      <c r="M653" s="73"/>
    </row>
    <row r="654" spans="1:47" ht="12.75">
      <c r="A654" s="35"/>
      <c r="B654" s="42" t="s">
        <v>61</v>
      </c>
      <c r="C654" s="42" t="s">
        <v>109</v>
      </c>
      <c r="D654" s="42" t="s">
        <v>420</v>
      </c>
      <c r="E654" s="35" t="s">
        <v>57</v>
      </c>
      <c r="F654" s="35" t="s">
        <v>57</v>
      </c>
      <c r="G654" s="35" t="s">
        <v>57</v>
      </c>
      <c r="H654" s="59">
        <f>SUM(H655:H656)</f>
        <v>0</v>
      </c>
      <c r="I654" s="59">
        <f>SUM(I655:I656)</f>
        <v>0</v>
      </c>
      <c r="J654" s="59">
        <f>SUM(J655:J656)</f>
        <v>0</v>
      </c>
      <c r="K654" s="48"/>
      <c r="L654" s="59">
        <f>SUM(L655:L656)</f>
        <v>0</v>
      </c>
      <c r="M654" s="48"/>
      <c r="AI654" s="48" t="s">
        <v>61</v>
      </c>
      <c r="AS654" s="59">
        <f>SUM(AJ655:AJ656)</f>
        <v>0</v>
      </c>
      <c r="AT654" s="59">
        <f>SUM(AK655:AK656)</f>
        <v>0</v>
      </c>
      <c r="AU654" s="59">
        <f>SUM(AL655:AL656)</f>
        <v>0</v>
      </c>
    </row>
    <row r="655" spans="1:62" ht="12.75">
      <c r="A655" s="36" t="s">
        <v>1892</v>
      </c>
      <c r="B655" s="36" t="s">
        <v>61</v>
      </c>
      <c r="C655" s="36" t="s">
        <v>944</v>
      </c>
      <c r="D655" s="36" t="s">
        <v>1225</v>
      </c>
      <c r="E655" s="36" t="s">
        <v>606</v>
      </c>
      <c r="F655" s="55">
        <f>'Stavební rozpočet'!F670</f>
        <v>0</v>
      </c>
      <c r="G655" s="55">
        <f>'Stavební rozpočet'!G670</f>
        <v>273.5</v>
      </c>
      <c r="H655" s="55">
        <f>F655*AO655</f>
        <v>0</v>
      </c>
      <c r="I655" s="55">
        <f>F655*AP655</f>
        <v>0</v>
      </c>
      <c r="J655" s="55">
        <f>F655*G655</f>
        <v>0</v>
      </c>
      <c r="K655" s="55">
        <f>'Stavební rozpočet'!K670</f>
        <v>0.03637</v>
      </c>
      <c r="L655" s="55">
        <f>F655*K655</f>
        <v>0</v>
      </c>
      <c r="M655" s="51" t="s">
        <v>622</v>
      </c>
      <c r="Z655" s="29">
        <f>IF(AQ655="5",BJ655,0)</f>
        <v>0</v>
      </c>
      <c r="AB655" s="29">
        <f>IF(AQ655="1",BH655,0)</f>
        <v>0</v>
      </c>
      <c r="AC655" s="29">
        <f>IF(AQ655="1",BI655,0)</f>
        <v>0</v>
      </c>
      <c r="AD655" s="29">
        <f>IF(AQ655="7",BH655,0)</f>
        <v>0</v>
      </c>
      <c r="AE655" s="29">
        <f>IF(AQ655="7",BI655,0)</f>
        <v>0</v>
      </c>
      <c r="AF655" s="29">
        <f>IF(AQ655="2",BH655,0)</f>
        <v>0</v>
      </c>
      <c r="AG655" s="29">
        <f>IF(AQ655="2",BI655,0)</f>
        <v>0</v>
      </c>
      <c r="AH655" s="29">
        <f>IF(AQ655="0",BJ655,0)</f>
        <v>0</v>
      </c>
      <c r="AI655" s="48" t="s">
        <v>61</v>
      </c>
      <c r="AJ655" s="55">
        <f>IF(AN655=0,J655,0)</f>
        <v>0</v>
      </c>
      <c r="AK655" s="55">
        <f>IF(AN655=15,J655,0)</f>
        <v>0</v>
      </c>
      <c r="AL655" s="55">
        <f>IF(AN655=21,J655,0)</f>
        <v>0</v>
      </c>
      <c r="AN655" s="29">
        <v>15</v>
      </c>
      <c r="AO655" s="29">
        <f>G655*0.695173674588665</f>
        <v>190.12999999999988</v>
      </c>
      <c r="AP655" s="29">
        <f>G655*(1-0.695173674588665)</f>
        <v>83.37000000000013</v>
      </c>
      <c r="AQ655" s="51" t="s">
        <v>79</v>
      </c>
      <c r="AV655" s="29">
        <f>AW655+AX655</f>
        <v>0</v>
      </c>
      <c r="AW655" s="29">
        <f>F655*AO655</f>
        <v>0</v>
      </c>
      <c r="AX655" s="29">
        <f>F655*AP655</f>
        <v>0</v>
      </c>
      <c r="AY655" s="54" t="s">
        <v>632</v>
      </c>
      <c r="AZ655" s="54" t="s">
        <v>1641</v>
      </c>
      <c r="BA655" s="48" t="s">
        <v>1649</v>
      </c>
      <c r="BC655" s="29">
        <f>AW655+AX655</f>
        <v>0</v>
      </c>
      <c r="BD655" s="29">
        <f>G655/(100-BE655)*100</f>
        <v>273.5</v>
      </c>
      <c r="BE655" s="29">
        <v>0</v>
      </c>
      <c r="BF655" s="29">
        <f>L655</f>
        <v>0</v>
      </c>
      <c r="BH655" s="55">
        <f>F655*AO655</f>
        <v>0</v>
      </c>
      <c r="BI655" s="55">
        <f>F655*AP655</f>
        <v>0</v>
      </c>
      <c r="BJ655" s="55">
        <f>F655*G655</f>
        <v>0</v>
      </c>
    </row>
    <row r="656" spans="1:62" ht="12.75">
      <c r="A656" s="36" t="s">
        <v>1893</v>
      </c>
      <c r="B656" s="36" t="s">
        <v>61</v>
      </c>
      <c r="C656" s="36" t="s">
        <v>246</v>
      </c>
      <c r="D656" s="36" t="s">
        <v>421</v>
      </c>
      <c r="E656" s="36" t="s">
        <v>606</v>
      </c>
      <c r="F656" s="55">
        <f>'Stavební rozpočet'!F671</f>
        <v>0</v>
      </c>
      <c r="G656" s="55">
        <f>'Stavební rozpočet'!G671</f>
        <v>339</v>
      </c>
      <c r="H656" s="55">
        <f>F656*AO656</f>
        <v>0</v>
      </c>
      <c r="I656" s="55">
        <f>F656*AP656</f>
        <v>0</v>
      </c>
      <c r="J656" s="55">
        <f>F656*G656</f>
        <v>0</v>
      </c>
      <c r="K656" s="55">
        <f>'Stavební rozpočet'!K671</f>
        <v>0.04529</v>
      </c>
      <c r="L656" s="55">
        <f>F656*K656</f>
        <v>0</v>
      </c>
      <c r="M656" s="51" t="s">
        <v>622</v>
      </c>
      <c r="Z656" s="29">
        <f>IF(AQ656="5",BJ656,0)</f>
        <v>0</v>
      </c>
      <c r="AB656" s="29">
        <f>IF(AQ656="1",BH656,0)</f>
        <v>0</v>
      </c>
      <c r="AC656" s="29">
        <f>IF(AQ656="1",BI656,0)</f>
        <v>0</v>
      </c>
      <c r="AD656" s="29">
        <f>IF(AQ656="7",BH656,0)</f>
        <v>0</v>
      </c>
      <c r="AE656" s="29">
        <f>IF(AQ656="7",BI656,0)</f>
        <v>0</v>
      </c>
      <c r="AF656" s="29">
        <f>IF(AQ656="2",BH656,0)</f>
        <v>0</v>
      </c>
      <c r="AG656" s="29">
        <f>IF(AQ656="2",BI656,0)</f>
        <v>0</v>
      </c>
      <c r="AH656" s="29">
        <f>IF(AQ656="0",BJ656,0)</f>
        <v>0</v>
      </c>
      <c r="AI656" s="48" t="s">
        <v>61</v>
      </c>
      <c r="AJ656" s="55">
        <f>IF(AN656=0,J656,0)</f>
        <v>0</v>
      </c>
      <c r="AK656" s="55">
        <f>IF(AN656=15,J656,0)</f>
        <v>0</v>
      </c>
      <c r="AL656" s="55">
        <f>IF(AN656=21,J656,0)</f>
        <v>0</v>
      </c>
      <c r="AN656" s="29">
        <v>15</v>
      </c>
      <c r="AO656" s="29">
        <f>G656*0.746607669616519</f>
        <v>253.09999999999997</v>
      </c>
      <c r="AP656" s="29">
        <f>G656*(1-0.746607669616519)</f>
        <v>85.90000000000005</v>
      </c>
      <c r="AQ656" s="51" t="s">
        <v>79</v>
      </c>
      <c r="AV656" s="29">
        <f>AW656+AX656</f>
        <v>0</v>
      </c>
      <c r="AW656" s="29">
        <f>F656*AO656</f>
        <v>0</v>
      </c>
      <c r="AX656" s="29">
        <f>F656*AP656</f>
        <v>0</v>
      </c>
      <c r="AY656" s="54" t="s">
        <v>632</v>
      </c>
      <c r="AZ656" s="54" t="s">
        <v>1641</v>
      </c>
      <c r="BA656" s="48" t="s">
        <v>1649</v>
      </c>
      <c r="BC656" s="29">
        <f>AW656+AX656</f>
        <v>0</v>
      </c>
      <c r="BD656" s="29">
        <f>G656/(100-BE656)*100</f>
        <v>339</v>
      </c>
      <c r="BE656" s="29">
        <v>0</v>
      </c>
      <c r="BF656" s="29">
        <f>L656</f>
        <v>0</v>
      </c>
      <c r="BH656" s="55">
        <f>F656*AO656</f>
        <v>0</v>
      </c>
      <c r="BI656" s="55">
        <f>F656*AP656</f>
        <v>0</v>
      </c>
      <c r="BJ656" s="55">
        <f>F656*G656</f>
        <v>0</v>
      </c>
    </row>
    <row r="657" spans="1:47" ht="12.75">
      <c r="A657" s="35"/>
      <c r="B657" s="42" t="s">
        <v>61</v>
      </c>
      <c r="C657" s="42" t="s">
        <v>112</v>
      </c>
      <c r="D657" s="42" t="s">
        <v>425</v>
      </c>
      <c r="E657" s="35" t="s">
        <v>57</v>
      </c>
      <c r="F657" s="35" t="s">
        <v>57</v>
      </c>
      <c r="G657" s="35" t="s">
        <v>57</v>
      </c>
      <c r="H657" s="59">
        <f>SUM(H658:H662)</f>
        <v>0</v>
      </c>
      <c r="I657" s="59">
        <f>SUM(I658:I662)</f>
        <v>0</v>
      </c>
      <c r="J657" s="59">
        <f>SUM(J658:J662)</f>
        <v>0</v>
      </c>
      <c r="K657" s="48"/>
      <c r="L657" s="59">
        <f>SUM(L658:L662)</f>
        <v>0</v>
      </c>
      <c r="M657" s="48"/>
      <c r="AI657" s="48" t="s">
        <v>61</v>
      </c>
      <c r="AS657" s="59">
        <f>SUM(AJ658:AJ662)</f>
        <v>0</v>
      </c>
      <c r="AT657" s="59">
        <f>SUM(AK658:AK662)</f>
        <v>0</v>
      </c>
      <c r="AU657" s="59">
        <f>SUM(AL658:AL662)</f>
        <v>0</v>
      </c>
    </row>
    <row r="658" spans="1:62" ht="12.75">
      <c r="A658" s="36" t="s">
        <v>1894</v>
      </c>
      <c r="B658" s="36" t="s">
        <v>61</v>
      </c>
      <c r="C658" s="36" t="s">
        <v>249</v>
      </c>
      <c r="D658" s="36" t="s">
        <v>426</v>
      </c>
      <c r="E658" s="36" t="s">
        <v>608</v>
      </c>
      <c r="F658" s="55">
        <f>'Stavební rozpočet'!F673</f>
        <v>0</v>
      </c>
      <c r="G658" s="55">
        <f>'Stavební rozpočet'!G673</f>
        <v>548</v>
      </c>
      <c r="H658" s="55">
        <f>F658*AO658</f>
        <v>0</v>
      </c>
      <c r="I658" s="55">
        <f>F658*AP658</f>
        <v>0</v>
      </c>
      <c r="J658" s="55">
        <f>F658*G658</f>
        <v>0</v>
      </c>
      <c r="K658" s="55">
        <f>'Stavební rozpočet'!K673</f>
        <v>0.11666</v>
      </c>
      <c r="L658" s="55">
        <f>F658*K658</f>
        <v>0</v>
      </c>
      <c r="M658" s="51" t="s">
        <v>622</v>
      </c>
      <c r="Z658" s="29">
        <f>IF(AQ658="5",BJ658,0)</f>
        <v>0</v>
      </c>
      <c r="AB658" s="29">
        <f>IF(AQ658="1",BH658,0)</f>
        <v>0</v>
      </c>
      <c r="AC658" s="29">
        <f>IF(AQ658="1",BI658,0)</f>
        <v>0</v>
      </c>
      <c r="AD658" s="29">
        <f>IF(AQ658="7",BH658,0)</f>
        <v>0</v>
      </c>
      <c r="AE658" s="29">
        <f>IF(AQ658="7",BI658,0)</f>
        <v>0</v>
      </c>
      <c r="AF658" s="29">
        <f>IF(AQ658="2",BH658,0)</f>
        <v>0</v>
      </c>
      <c r="AG658" s="29">
        <f>IF(AQ658="2",BI658,0)</f>
        <v>0</v>
      </c>
      <c r="AH658" s="29">
        <f>IF(AQ658="0",BJ658,0)</f>
        <v>0</v>
      </c>
      <c r="AI658" s="48" t="s">
        <v>61</v>
      </c>
      <c r="AJ658" s="55">
        <f>IF(AN658=0,J658,0)</f>
        <v>0</v>
      </c>
      <c r="AK658" s="55">
        <f>IF(AN658=15,J658,0)</f>
        <v>0</v>
      </c>
      <c r="AL658" s="55">
        <f>IF(AN658=21,J658,0)</f>
        <v>0</v>
      </c>
      <c r="AN658" s="29">
        <v>15</v>
      </c>
      <c r="AO658" s="29">
        <f>G658*0.640748138092589</f>
        <v>351.12997967473876</v>
      </c>
      <c r="AP658" s="29">
        <f>G658*(1-0.640748138092589)</f>
        <v>196.8700203252612</v>
      </c>
      <c r="AQ658" s="51" t="s">
        <v>79</v>
      </c>
      <c r="AV658" s="29">
        <f>AW658+AX658</f>
        <v>0</v>
      </c>
      <c r="AW658" s="29">
        <f>F658*AO658</f>
        <v>0</v>
      </c>
      <c r="AX658" s="29">
        <f>F658*AP658</f>
        <v>0</v>
      </c>
      <c r="AY658" s="54" t="s">
        <v>633</v>
      </c>
      <c r="AZ658" s="54" t="s">
        <v>1641</v>
      </c>
      <c r="BA658" s="48" t="s">
        <v>1649</v>
      </c>
      <c r="BC658" s="29">
        <f>AW658+AX658</f>
        <v>0</v>
      </c>
      <c r="BD658" s="29">
        <f>G658/(100-BE658)*100</f>
        <v>548</v>
      </c>
      <c r="BE658" s="29">
        <v>0</v>
      </c>
      <c r="BF658" s="29">
        <f>L658</f>
        <v>0</v>
      </c>
      <c r="BH658" s="55">
        <f>F658*AO658</f>
        <v>0</v>
      </c>
      <c r="BI658" s="55">
        <f>F658*AP658</f>
        <v>0</v>
      </c>
      <c r="BJ658" s="55">
        <f>F658*G658</f>
        <v>0</v>
      </c>
    </row>
    <row r="659" spans="1:62" ht="12.75">
      <c r="A659" s="36" t="s">
        <v>1895</v>
      </c>
      <c r="B659" s="36" t="s">
        <v>61</v>
      </c>
      <c r="C659" s="36" t="s">
        <v>250</v>
      </c>
      <c r="D659" s="36" t="s">
        <v>427</v>
      </c>
      <c r="E659" s="36" t="s">
        <v>608</v>
      </c>
      <c r="F659" s="55">
        <f>'Stavební rozpočet'!F674</f>
        <v>0</v>
      </c>
      <c r="G659" s="55">
        <f>'Stavební rozpočet'!G674</f>
        <v>1230</v>
      </c>
      <c r="H659" s="55">
        <f>F659*AO659</f>
        <v>0</v>
      </c>
      <c r="I659" s="55">
        <f>F659*AP659</f>
        <v>0</v>
      </c>
      <c r="J659" s="55">
        <f>F659*G659</f>
        <v>0</v>
      </c>
      <c r="K659" s="55">
        <f>'Stavební rozpočet'!K674</f>
        <v>0.0286</v>
      </c>
      <c r="L659" s="55">
        <f>F659*K659</f>
        <v>0</v>
      </c>
      <c r="M659" s="51" t="s">
        <v>622</v>
      </c>
      <c r="Z659" s="29">
        <f>IF(AQ659="5",BJ659,0)</f>
        <v>0</v>
      </c>
      <c r="AB659" s="29">
        <f>IF(AQ659="1",BH659,0)</f>
        <v>0</v>
      </c>
      <c r="AC659" s="29">
        <f>IF(AQ659="1",BI659,0)</f>
        <v>0</v>
      </c>
      <c r="AD659" s="29">
        <f>IF(AQ659="7",BH659,0)</f>
        <v>0</v>
      </c>
      <c r="AE659" s="29">
        <f>IF(AQ659="7",BI659,0)</f>
        <v>0</v>
      </c>
      <c r="AF659" s="29">
        <f>IF(AQ659="2",BH659,0)</f>
        <v>0</v>
      </c>
      <c r="AG659" s="29">
        <f>IF(AQ659="2",BI659,0)</f>
        <v>0</v>
      </c>
      <c r="AH659" s="29">
        <f>IF(AQ659="0",BJ659,0)</f>
        <v>0</v>
      </c>
      <c r="AI659" s="48" t="s">
        <v>61</v>
      </c>
      <c r="AJ659" s="55">
        <f>IF(AN659=0,J659,0)</f>
        <v>0</v>
      </c>
      <c r="AK659" s="55">
        <f>IF(AN659=15,J659,0)</f>
        <v>0</v>
      </c>
      <c r="AL659" s="55">
        <f>IF(AN659=21,J659,0)</f>
        <v>0</v>
      </c>
      <c r="AN659" s="29">
        <v>15</v>
      </c>
      <c r="AO659" s="29">
        <f>G659*0.356243902439024</f>
        <v>438.1799999999995</v>
      </c>
      <c r="AP659" s="29">
        <f>G659*(1-0.356243902439024)</f>
        <v>791.8200000000004</v>
      </c>
      <c r="AQ659" s="51" t="s">
        <v>79</v>
      </c>
      <c r="AV659" s="29">
        <f>AW659+AX659</f>
        <v>0</v>
      </c>
      <c r="AW659" s="29">
        <f>F659*AO659</f>
        <v>0</v>
      </c>
      <c r="AX659" s="29">
        <f>F659*AP659</f>
        <v>0</v>
      </c>
      <c r="AY659" s="54" t="s">
        <v>633</v>
      </c>
      <c r="AZ659" s="54" t="s">
        <v>1641</v>
      </c>
      <c r="BA659" s="48" t="s">
        <v>1649</v>
      </c>
      <c r="BC659" s="29">
        <f>AW659+AX659</f>
        <v>0</v>
      </c>
      <c r="BD659" s="29">
        <f>G659/(100-BE659)*100</f>
        <v>1230</v>
      </c>
      <c r="BE659" s="29">
        <v>0</v>
      </c>
      <c r="BF659" s="29">
        <f>L659</f>
        <v>0</v>
      </c>
      <c r="BH659" s="55">
        <f>F659*AO659</f>
        <v>0</v>
      </c>
      <c r="BI659" s="55">
        <f>F659*AP659</f>
        <v>0</v>
      </c>
      <c r="BJ659" s="55">
        <f>F659*G659</f>
        <v>0</v>
      </c>
    </row>
    <row r="660" spans="1:62" ht="12.75">
      <c r="A660" s="36" t="s">
        <v>1896</v>
      </c>
      <c r="B660" s="36" t="s">
        <v>61</v>
      </c>
      <c r="C660" s="36" t="s">
        <v>251</v>
      </c>
      <c r="D660" s="36" t="s">
        <v>429</v>
      </c>
      <c r="E660" s="36" t="s">
        <v>606</v>
      </c>
      <c r="F660" s="55">
        <f>'Stavební rozpočet'!F675</f>
        <v>0</v>
      </c>
      <c r="G660" s="55">
        <f>'Stavební rozpočet'!G675</f>
        <v>1107.84</v>
      </c>
      <c r="H660" s="55">
        <f>F660*AO660</f>
        <v>0</v>
      </c>
      <c r="I660" s="55">
        <f>F660*AP660</f>
        <v>0</v>
      </c>
      <c r="J660" s="55">
        <f>F660*G660</f>
        <v>0</v>
      </c>
      <c r="K660" s="55">
        <f>'Stavební rozpočet'!K675</f>
        <v>0.0016</v>
      </c>
      <c r="L660" s="55">
        <f>F660*K660</f>
        <v>0</v>
      </c>
      <c r="M660" s="51" t="s">
        <v>622</v>
      </c>
      <c r="Z660" s="29">
        <f>IF(AQ660="5",BJ660,0)</f>
        <v>0</v>
      </c>
      <c r="AB660" s="29">
        <f>IF(AQ660="1",BH660,0)</f>
        <v>0</v>
      </c>
      <c r="AC660" s="29">
        <f>IF(AQ660="1",BI660,0)</f>
        <v>0</v>
      </c>
      <c r="AD660" s="29">
        <f>IF(AQ660="7",BH660,0)</f>
        <v>0</v>
      </c>
      <c r="AE660" s="29">
        <f>IF(AQ660="7",BI660,0)</f>
        <v>0</v>
      </c>
      <c r="AF660" s="29">
        <f>IF(AQ660="2",BH660,0)</f>
        <v>0</v>
      </c>
      <c r="AG660" s="29">
        <f>IF(AQ660="2",BI660,0)</f>
        <v>0</v>
      </c>
      <c r="AH660" s="29">
        <f>IF(AQ660="0",BJ660,0)</f>
        <v>0</v>
      </c>
      <c r="AI660" s="48" t="s">
        <v>61</v>
      </c>
      <c r="AJ660" s="55">
        <f>IF(AN660=0,J660,0)</f>
        <v>0</v>
      </c>
      <c r="AK660" s="55">
        <f>IF(AN660=15,J660,0)</f>
        <v>0</v>
      </c>
      <c r="AL660" s="55">
        <f>IF(AN660=21,J660,0)</f>
        <v>0</v>
      </c>
      <c r="AN660" s="29">
        <v>15</v>
      </c>
      <c r="AO660" s="29">
        <f>G660*0.608391103408434</f>
        <v>673.9999999999995</v>
      </c>
      <c r="AP660" s="29">
        <f>G660*(1-0.608391103408434)</f>
        <v>433.8400000000004</v>
      </c>
      <c r="AQ660" s="51" t="s">
        <v>79</v>
      </c>
      <c r="AV660" s="29">
        <f>AW660+AX660</f>
        <v>0</v>
      </c>
      <c r="AW660" s="29">
        <f>F660*AO660</f>
        <v>0</v>
      </c>
      <c r="AX660" s="29">
        <f>F660*AP660</f>
        <v>0</v>
      </c>
      <c r="AY660" s="54" t="s">
        <v>633</v>
      </c>
      <c r="AZ660" s="54" t="s">
        <v>1641</v>
      </c>
      <c r="BA660" s="48" t="s">
        <v>1649</v>
      </c>
      <c r="BC660" s="29">
        <f>AW660+AX660</f>
        <v>0</v>
      </c>
      <c r="BD660" s="29">
        <f>G660/(100-BE660)*100</f>
        <v>1107.84</v>
      </c>
      <c r="BE660" s="29">
        <v>0</v>
      </c>
      <c r="BF660" s="29">
        <f>L660</f>
        <v>0</v>
      </c>
      <c r="BH660" s="55">
        <f>F660*AO660</f>
        <v>0</v>
      </c>
      <c r="BI660" s="55">
        <f>F660*AP660</f>
        <v>0</v>
      </c>
      <c r="BJ660" s="55">
        <f>F660*G660</f>
        <v>0</v>
      </c>
    </row>
    <row r="661" spans="1:62" ht="12.75">
      <c r="A661" s="36" t="s">
        <v>1897</v>
      </c>
      <c r="B661" s="36" t="s">
        <v>61</v>
      </c>
      <c r="C661" s="36" t="s">
        <v>252</v>
      </c>
      <c r="D661" s="36" t="s">
        <v>431</v>
      </c>
      <c r="E661" s="36" t="s">
        <v>609</v>
      </c>
      <c r="F661" s="55">
        <f>'Stavební rozpočet'!F676</f>
        <v>0</v>
      </c>
      <c r="G661" s="55">
        <f>'Stavební rozpočet'!G676</f>
        <v>147</v>
      </c>
      <c r="H661" s="55">
        <f>F661*AO661</f>
        <v>0</v>
      </c>
      <c r="I661" s="55">
        <f>F661*AP661</f>
        <v>0</v>
      </c>
      <c r="J661" s="55">
        <f>F661*G661</f>
        <v>0</v>
      </c>
      <c r="K661" s="55">
        <f>'Stavební rozpočet'!K676</f>
        <v>0.00102</v>
      </c>
      <c r="L661" s="55">
        <f>F661*K661</f>
        <v>0</v>
      </c>
      <c r="M661" s="51" t="s">
        <v>622</v>
      </c>
      <c r="Z661" s="29">
        <f>IF(AQ661="5",BJ661,0)</f>
        <v>0</v>
      </c>
      <c r="AB661" s="29">
        <f>IF(AQ661="1",BH661,0)</f>
        <v>0</v>
      </c>
      <c r="AC661" s="29">
        <f>IF(AQ661="1",BI661,0)</f>
        <v>0</v>
      </c>
      <c r="AD661" s="29">
        <f>IF(AQ661="7",BH661,0)</f>
        <v>0</v>
      </c>
      <c r="AE661" s="29">
        <f>IF(AQ661="7",BI661,0)</f>
        <v>0</v>
      </c>
      <c r="AF661" s="29">
        <f>IF(AQ661="2",BH661,0)</f>
        <v>0</v>
      </c>
      <c r="AG661" s="29">
        <f>IF(AQ661="2",BI661,0)</f>
        <v>0</v>
      </c>
      <c r="AH661" s="29">
        <f>IF(AQ661="0",BJ661,0)</f>
        <v>0</v>
      </c>
      <c r="AI661" s="48" t="s">
        <v>61</v>
      </c>
      <c r="AJ661" s="55">
        <f>IF(AN661=0,J661,0)</f>
        <v>0</v>
      </c>
      <c r="AK661" s="55">
        <f>IF(AN661=15,J661,0)</f>
        <v>0</v>
      </c>
      <c r="AL661" s="55">
        <f>IF(AN661=21,J661,0)</f>
        <v>0</v>
      </c>
      <c r="AN661" s="29">
        <v>15</v>
      </c>
      <c r="AO661" s="29">
        <f>G661*0.142925170068027</f>
        <v>21.009999999999966</v>
      </c>
      <c r="AP661" s="29">
        <f>G661*(1-0.142925170068027)</f>
        <v>125.99000000000004</v>
      </c>
      <c r="AQ661" s="51" t="s">
        <v>79</v>
      </c>
      <c r="AV661" s="29">
        <f>AW661+AX661</f>
        <v>0</v>
      </c>
      <c r="AW661" s="29">
        <f>F661*AO661</f>
        <v>0</v>
      </c>
      <c r="AX661" s="29">
        <f>F661*AP661</f>
        <v>0</v>
      </c>
      <c r="AY661" s="54" t="s">
        <v>633</v>
      </c>
      <c r="AZ661" s="54" t="s">
        <v>1641</v>
      </c>
      <c r="BA661" s="48" t="s">
        <v>1649</v>
      </c>
      <c r="BC661" s="29">
        <f>AW661+AX661</f>
        <v>0</v>
      </c>
      <c r="BD661" s="29">
        <f>G661/(100-BE661)*100</f>
        <v>147</v>
      </c>
      <c r="BE661" s="29">
        <v>0</v>
      </c>
      <c r="BF661" s="29">
        <f>L661</f>
        <v>0</v>
      </c>
      <c r="BH661" s="55">
        <f>F661*AO661</f>
        <v>0</v>
      </c>
      <c r="BI661" s="55">
        <f>F661*AP661</f>
        <v>0</v>
      </c>
      <c r="BJ661" s="55">
        <f>F661*G661</f>
        <v>0</v>
      </c>
    </row>
    <row r="662" spans="1:62" ht="12.75">
      <c r="A662" s="36" t="s">
        <v>1898</v>
      </c>
      <c r="B662" s="36" t="s">
        <v>61</v>
      </c>
      <c r="C662" s="36" t="s">
        <v>947</v>
      </c>
      <c r="D662" s="36" t="s">
        <v>1228</v>
      </c>
      <c r="E662" s="36" t="s">
        <v>608</v>
      </c>
      <c r="F662" s="55">
        <f>'Stavební rozpočet'!F677</f>
        <v>0</v>
      </c>
      <c r="G662" s="55">
        <f>'Stavební rozpočet'!G677</f>
        <v>1296.9</v>
      </c>
      <c r="H662" s="55">
        <f>F662*AO662</f>
        <v>0</v>
      </c>
      <c r="I662" s="55">
        <f>F662*AP662</f>
        <v>0</v>
      </c>
      <c r="J662" s="55">
        <f>F662*G662</f>
        <v>0</v>
      </c>
      <c r="K662" s="55">
        <f>'Stavební rozpočet'!K677</f>
        <v>0.03925</v>
      </c>
      <c r="L662" s="55">
        <f>F662*K662</f>
        <v>0</v>
      </c>
      <c r="M662" s="51" t="s">
        <v>622</v>
      </c>
      <c r="Z662" s="29">
        <f>IF(AQ662="5",BJ662,0)</f>
        <v>0</v>
      </c>
      <c r="AB662" s="29">
        <f>IF(AQ662="1",BH662,0)</f>
        <v>0</v>
      </c>
      <c r="AC662" s="29">
        <f>IF(AQ662="1",BI662,0)</f>
        <v>0</v>
      </c>
      <c r="AD662" s="29">
        <f>IF(AQ662="7",BH662,0)</f>
        <v>0</v>
      </c>
      <c r="AE662" s="29">
        <f>IF(AQ662="7",BI662,0)</f>
        <v>0</v>
      </c>
      <c r="AF662" s="29">
        <f>IF(AQ662="2",BH662,0)</f>
        <v>0</v>
      </c>
      <c r="AG662" s="29">
        <f>IF(AQ662="2",BI662,0)</f>
        <v>0</v>
      </c>
      <c r="AH662" s="29">
        <f>IF(AQ662="0",BJ662,0)</f>
        <v>0</v>
      </c>
      <c r="AI662" s="48" t="s">
        <v>61</v>
      </c>
      <c r="AJ662" s="55">
        <f>IF(AN662=0,J662,0)</f>
        <v>0</v>
      </c>
      <c r="AK662" s="55">
        <f>IF(AN662=15,J662,0)</f>
        <v>0</v>
      </c>
      <c r="AL662" s="55">
        <f>IF(AN662=21,J662,0)</f>
        <v>0</v>
      </c>
      <c r="AN662" s="29">
        <v>15</v>
      </c>
      <c r="AO662" s="29">
        <f>G662*0.518119527311599</f>
        <v>671.9492149704129</v>
      </c>
      <c r="AP662" s="29">
        <f>G662*(1-0.518119527311599)</f>
        <v>624.9507850295872</v>
      </c>
      <c r="AQ662" s="51" t="s">
        <v>79</v>
      </c>
      <c r="AV662" s="29">
        <f>AW662+AX662</f>
        <v>0</v>
      </c>
      <c r="AW662" s="29">
        <f>F662*AO662</f>
        <v>0</v>
      </c>
      <c r="AX662" s="29">
        <f>F662*AP662</f>
        <v>0</v>
      </c>
      <c r="AY662" s="54" t="s">
        <v>633</v>
      </c>
      <c r="AZ662" s="54" t="s">
        <v>1641</v>
      </c>
      <c r="BA662" s="48" t="s">
        <v>1649</v>
      </c>
      <c r="BC662" s="29">
        <f>AW662+AX662</f>
        <v>0</v>
      </c>
      <c r="BD662" s="29">
        <f>G662/(100-BE662)*100</f>
        <v>1296.9</v>
      </c>
      <c r="BE662" s="29">
        <v>0</v>
      </c>
      <c r="BF662" s="29">
        <f>L662</f>
        <v>0</v>
      </c>
      <c r="BH662" s="55">
        <f>F662*AO662</f>
        <v>0</v>
      </c>
      <c r="BI662" s="55">
        <f>F662*AP662</f>
        <v>0</v>
      </c>
      <c r="BJ662" s="55">
        <f>F662*G662</f>
        <v>0</v>
      </c>
    </row>
    <row r="663" spans="1:47" ht="12.75">
      <c r="A663" s="35"/>
      <c r="B663" s="42" t="s">
        <v>61</v>
      </c>
      <c r="C663" s="42" t="s">
        <v>139</v>
      </c>
      <c r="D663" s="42" t="s">
        <v>434</v>
      </c>
      <c r="E663" s="35" t="s">
        <v>57</v>
      </c>
      <c r="F663" s="35" t="s">
        <v>57</v>
      </c>
      <c r="G663" s="35" t="s">
        <v>57</v>
      </c>
      <c r="H663" s="59">
        <f>SUM(H664:H672)</f>
        <v>0</v>
      </c>
      <c r="I663" s="59">
        <f>SUM(I664:I672)</f>
        <v>0</v>
      </c>
      <c r="J663" s="59">
        <f>SUM(J664:J672)</f>
        <v>0</v>
      </c>
      <c r="K663" s="48"/>
      <c r="L663" s="59">
        <f>SUM(L664:L672)</f>
        <v>0</v>
      </c>
      <c r="M663" s="48"/>
      <c r="AI663" s="48" t="s">
        <v>61</v>
      </c>
      <c r="AS663" s="59">
        <f>SUM(AJ664:AJ672)</f>
        <v>0</v>
      </c>
      <c r="AT663" s="59">
        <f>SUM(AK664:AK672)</f>
        <v>0</v>
      </c>
      <c r="AU663" s="59">
        <f>SUM(AL664:AL672)</f>
        <v>0</v>
      </c>
    </row>
    <row r="664" spans="1:62" ht="12.75">
      <c r="A664" s="36" t="s">
        <v>1899</v>
      </c>
      <c r="B664" s="36" t="s">
        <v>61</v>
      </c>
      <c r="C664" s="36" t="s">
        <v>1548</v>
      </c>
      <c r="D664" s="36" t="s">
        <v>1592</v>
      </c>
      <c r="E664" s="36" t="s">
        <v>608</v>
      </c>
      <c r="F664" s="55">
        <f>'Stavební rozpočet'!F679</f>
        <v>0</v>
      </c>
      <c r="G664" s="55">
        <f>'Stavební rozpočet'!G679</f>
        <v>1080</v>
      </c>
      <c r="H664" s="55">
        <f aca="true" t="shared" si="684" ref="H664:H672">F664*AO664</f>
        <v>0</v>
      </c>
      <c r="I664" s="55">
        <f aca="true" t="shared" si="685" ref="I664:I672">F664*AP664</f>
        <v>0</v>
      </c>
      <c r="J664" s="55">
        <f aca="true" t="shared" si="686" ref="J664:J672">F664*G664</f>
        <v>0</v>
      </c>
      <c r="K664" s="55">
        <f>'Stavební rozpočet'!K679</f>
        <v>0.0181</v>
      </c>
      <c r="L664" s="55">
        <f aca="true" t="shared" si="687" ref="L664:L672">F664*K664</f>
        <v>0</v>
      </c>
      <c r="M664" s="51" t="s">
        <v>622</v>
      </c>
      <c r="Z664" s="29">
        <f aca="true" t="shared" si="688" ref="Z664:Z672">IF(AQ664="5",BJ664,0)</f>
        <v>0</v>
      </c>
      <c r="AB664" s="29">
        <f aca="true" t="shared" si="689" ref="AB664:AB672">IF(AQ664="1",BH664,0)</f>
        <v>0</v>
      </c>
      <c r="AC664" s="29">
        <f aca="true" t="shared" si="690" ref="AC664:AC672">IF(AQ664="1",BI664,0)</f>
        <v>0</v>
      </c>
      <c r="AD664" s="29">
        <f aca="true" t="shared" si="691" ref="AD664:AD672">IF(AQ664="7",BH664,0)</f>
        <v>0</v>
      </c>
      <c r="AE664" s="29">
        <f aca="true" t="shared" si="692" ref="AE664:AE672">IF(AQ664="7",BI664,0)</f>
        <v>0</v>
      </c>
      <c r="AF664" s="29">
        <f aca="true" t="shared" si="693" ref="AF664:AF672">IF(AQ664="2",BH664,0)</f>
        <v>0</v>
      </c>
      <c r="AG664" s="29">
        <f aca="true" t="shared" si="694" ref="AG664:AG672">IF(AQ664="2",BI664,0)</f>
        <v>0</v>
      </c>
      <c r="AH664" s="29">
        <f aca="true" t="shared" si="695" ref="AH664:AH672">IF(AQ664="0",BJ664,0)</f>
        <v>0</v>
      </c>
      <c r="AI664" s="48" t="s">
        <v>61</v>
      </c>
      <c r="AJ664" s="55">
        <f aca="true" t="shared" si="696" ref="AJ664:AJ672">IF(AN664=0,J664,0)</f>
        <v>0</v>
      </c>
      <c r="AK664" s="55">
        <f aca="true" t="shared" si="697" ref="AK664:AK672">IF(AN664=15,J664,0)</f>
        <v>0</v>
      </c>
      <c r="AL664" s="55">
        <f aca="true" t="shared" si="698" ref="AL664:AL672">IF(AN664=21,J664,0)</f>
        <v>0</v>
      </c>
      <c r="AN664" s="29">
        <v>15</v>
      </c>
      <c r="AO664" s="29">
        <f>G664*0.230759259259259</f>
        <v>249.21999999999971</v>
      </c>
      <c r="AP664" s="29">
        <f>G664*(1-0.230759259259259)</f>
        <v>830.7800000000003</v>
      </c>
      <c r="AQ664" s="51" t="s">
        <v>79</v>
      </c>
      <c r="AV664" s="29">
        <f aca="true" t="shared" si="699" ref="AV664:AV672">AW664+AX664</f>
        <v>0</v>
      </c>
      <c r="AW664" s="29">
        <f aca="true" t="shared" si="700" ref="AW664:AW672">F664*AO664</f>
        <v>0</v>
      </c>
      <c r="AX664" s="29">
        <f aca="true" t="shared" si="701" ref="AX664:AX672">F664*AP664</f>
        <v>0</v>
      </c>
      <c r="AY664" s="54" t="s">
        <v>634</v>
      </c>
      <c r="AZ664" s="54" t="s">
        <v>1642</v>
      </c>
      <c r="BA664" s="48" t="s">
        <v>1649</v>
      </c>
      <c r="BC664" s="29">
        <f aca="true" t="shared" si="702" ref="BC664:BC672">AW664+AX664</f>
        <v>0</v>
      </c>
      <c r="BD664" s="29">
        <f aca="true" t="shared" si="703" ref="BD664:BD672">G664/(100-BE664)*100</f>
        <v>1080</v>
      </c>
      <c r="BE664" s="29">
        <v>0</v>
      </c>
      <c r="BF664" s="29">
        <f aca="true" t="shared" si="704" ref="BF664:BF672">L664</f>
        <v>0</v>
      </c>
      <c r="BH664" s="55">
        <f aca="true" t="shared" si="705" ref="BH664:BH672">F664*AO664</f>
        <v>0</v>
      </c>
      <c r="BI664" s="55">
        <f aca="true" t="shared" si="706" ref="BI664:BI672">F664*AP664</f>
        <v>0</v>
      </c>
      <c r="BJ664" s="55">
        <f aca="true" t="shared" si="707" ref="BJ664:BJ672">F664*G664</f>
        <v>0</v>
      </c>
    </row>
    <row r="665" spans="1:62" ht="12.75">
      <c r="A665" s="36" t="s">
        <v>1900</v>
      </c>
      <c r="B665" s="36" t="s">
        <v>61</v>
      </c>
      <c r="C665" s="36" t="s">
        <v>255</v>
      </c>
      <c r="D665" s="36" t="s">
        <v>437</v>
      </c>
      <c r="E665" s="36" t="s">
        <v>609</v>
      </c>
      <c r="F665" s="55">
        <f>'Stavební rozpočet'!F680</f>
        <v>0</v>
      </c>
      <c r="G665" s="55">
        <f>'Stavební rozpočet'!G680</f>
        <v>63.7</v>
      </c>
      <c r="H665" s="55">
        <f t="shared" si="684"/>
        <v>0</v>
      </c>
      <c r="I665" s="55">
        <f t="shared" si="685"/>
        <v>0</v>
      </c>
      <c r="J665" s="55">
        <f t="shared" si="686"/>
        <v>0</v>
      </c>
      <c r="K665" s="55">
        <f>'Stavební rozpočet'!K680</f>
        <v>0.00238</v>
      </c>
      <c r="L665" s="55">
        <f t="shared" si="687"/>
        <v>0</v>
      </c>
      <c r="M665" s="51" t="s">
        <v>622</v>
      </c>
      <c r="Z665" s="29">
        <f t="shared" si="688"/>
        <v>0</v>
      </c>
      <c r="AB665" s="29">
        <f t="shared" si="689"/>
        <v>0</v>
      </c>
      <c r="AC665" s="29">
        <f t="shared" si="690"/>
        <v>0</v>
      </c>
      <c r="AD665" s="29">
        <f t="shared" si="691"/>
        <v>0</v>
      </c>
      <c r="AE665" s="29">
        <f t="shared" si="692"/>
        <v>0</v>
      </c>
      <c r="AF665" s="29">
        <f t="shared" si="693"/>
        <v>0</v>
      </c>
      <c r="AG665" s="29">
        <f t="shared" si="694"/>
        <v>0</v>
      </c>
      <c r="AH665" s="29">
        <f t="shared" si="695"/>
        <v>0</v>
      </c>
      <c r="AI665" s="48" t="s">
        <v>61</v>
      </c>
      <c r="AJ665" s="55">
        <f t="shared" si="696"/>
        <v>0</v>
      </c>
      <c r="AK665" s="55">
        <f t="shared" si="697"/>
        <v>0</v>
      </c>
      <c r="AL665" s="55">
        <f t="shared" si="698"/>
        <v>0</v>
      </c>
      <c r="AN665" s="29">
        <v>15</v>
      </c>
      <c r="AO665" s="29">
        <f>G665*0.110518053375196</f>
        <v>7.039999999999986</v>
      </c>
      <c r="AP665" s="29">
        <f>G665*(1-0.110518053375196)</f>
        <v>56.66000000000002</v>
      </c>
      <c r="AQ665" s="51" t="s">
        <v>79</v>
      </c>
      <c r="AV665" s="29">
        <f t="shared" si="699"/>
        <v>0</v>
      </c>
      <c r="AW665" s="29">
        <f t="shared" si="700"/>
        <v>0</v>
      </c>
      <c r="AX665" s="29">
        <f t="shared" si="701"/>
        <v>0</v>
      </c>
      <c r="AY665" s="54" t="s">
        <v>634</v>
      </c>
      <c r="AZ665" s="54" t="s">
        <v>1642</v>
      </c>
      <c r="BA665" s="48" t="s">
        <v>1649</v>
      </c>
      <c r="BC665" s="29">
        <f t="shared" si="702"/>
        <v>0</v>
      </c>
      <c r="BD665" s="29">
        <f t="shared" si="703"/>
        <v>63.7</v>
      </c>
      <c r="BE665" s="29">
        <v>0</v>
      </c>
      <c r="BF665" s="29">
        <f t="shared" si="704"/>
        <v>0</v>
      </c>
      <c r="BH665" s="55">
        <f t="shared" si="705"/>
        <v>0</v>
      </c>
      <c r="BI665" s="55">
        <f t="shared" si="706"/>
        <v>0</v>
      </c>
      <c r="BJ665" s="55">
        <f t="shared" si="707"/>
        <v>0</v>
      </c>
    </row>
    <row r="666" spans="1:62" ht="12.75">
      <c r="A666" s="36" t="s">
        <v>1901</v>
      </c>
      <c r="B666" s="36" t="s">
        <v>61</v>
      </c>
      <c r="C666" s="36" t="s">
        <v>1549</v>
      </c>
      <c r="D666" s="36" t="s">
        <v>1593</v>
      </c>
      <c r="E666" s="36" t="s">
        <v>608</v>
      </c>
      <c r="F666" s="55">
        <f>'Stavební rozpočet'!F681</f>
        <v>0</v>
      </c>
      <c r="G666" s="55">
        <f>'Stavební rozpočet'!G681</f>
        <v>74.8</v>
      </c>
      <c r="H666" s="55">
        <f t="shared" si="684"/>
        <v>0</v>
      </c>
      <c r="I666" s="55">
        <f t="shared" si="685"/>
        <v>0</v>
      </c>
      <c r="J666" s="55">
        <f t="shared" si="686"/>
        <v>0</v>
      </c>
      <c r="K666" s="55">
        <f>'Stavební rozpočet'!K681</f>
        <v>0.00355</v>
      </c>
      <c r="L666" s="55">
        <f t="shared" si="687"/>
        <v>0</v>
      </c>
      <c r="M666" s="51" t="s">
        <v>622</v>
      </c>
      <c r="Z666" s="29">
        <f t="shared" si="688"/>
        <v>0</v>
      </c>
      <c r="AB666" s="29">
        <f t="shared" si="689"/>
        <v>0</v>
      </c>
      <c r="AC666" s="29">
        <f t="shared" si="690"/>
        <v>0</v>
      </c>
      <c r="AD666" s="29">
        <f t="shared" si="691"/>
        <v>0</v>
      </c>
      <c r="AE666" s="29">
        <f t="shared" si="692"/>
        <v>0</v>
      </c>
      <c r="AF666" s="29">
        <f t="shared" si="693"/>
        <v>0</v>
      </c>
      <c r="AG666" s="29">
        <f t="shared" si="694"/>
        <v>0</v>
      </c>
      <c r="AH666" s="29">
        <f t="shared" si="695"/>
        <v>0</v>
      </c>
      <c r="AI666" s="48" t="s">
        <v>61</v>
      </c>
      <c r="AJ666" s="55">
        <f t="shared" si="696"/>
        <v>0</v>
      </c>
      <c r="AK666" s="55">
        <f t="shared" si="697"/>
        <v>0</v>
      </c>
      <c r="AL666" s="55">
        <f t="shared" si="698"/>
        <v>0</v>
      </c>
      <c r="AN666" s="29">
        <v>15</v>
      </c>
      <c r="AO666" s="29">
        <f>G666*0.142647115403888</f>
        <v>10.670004232210822</v>
      </c>
      <c r="AP666" s="29">
        <f>G666*(1-0.142647115403888)</f>
        <v>64.12999576778918</v>
      </c>
      <c r="AQ666" s="51" t="s">
        <v>79</v>
      </c>
      <c r="AV666" s="29">
        <f t="shared" si="699"/>
        <v>0</v>
      </c>
      <c r="AW666" s="29">
        <f t="shared" si="700"/>
        <v>0</v>
      </c>
      <c r="AX666" s="29">
        <f t="shared" si="701"/>
        <v>0</v>
      </c>
      <c r="AY666" s="54" t="s">
        <v>634</v>
      </c>
      <c r="AZ666" s="54" t="s">
        <v>1642</v>
      </c>
      <c r="BA666" s="48" t="s">
        <v>1649</v>
      </c>
      <c r="BC666" s="29">
        <f t="shared" si="702"/>
        <v>0</v>
      </c>
      <c r="BD666" s="29">
        <f t="shared" si="703"/>
        <v>74.8</v>
      </c>
      <c r="BE666" s="29">
        <v>0</v>
      </c>
      <c r="BF666" s="29">
        <f t="shared" si="704"/>
        <v>0</v>
      </c>
      <c r="BH666" s="55">
        <f t="shared" si="705"/>
        <v>0</v>
      </c>
      <c r="BI666" s="55">
        <f t="shared" si="706"/>
        <v>0</v>
      </c>
      <c r="BJ666" s="55">
        <f t="shared" si="707"/>
        <v>0</v>
      </c>
    </row>
    <row r="667" spans="1:62" ht="12.75">
      <c r="A667" s="36" t="s">
        <v>1902</v>
      </c>
      <c r="B667" s="36" t="s">
        <v>61</v>
      </c>
      <c r="C667" s="36" t="s">
        <v>1550</v>
      </c>
      <c r="D667" s="36" t="s">
        <v>1594</v>
      </c>
      <c r="E667" s="36" t="s">
        <v>608</v>
      </c>
      <c r="F667" s="55">
        <f>'Stavební rozpočet'!F682</f>
        <v>0</v>
      </c>
      <c r="G667" s="55">
        <f>'Stavební rozpočet'!G682</f>
        <v>168</v>
      </c>
      <c r="H667" s="55">
        <f t="shared" si="684"/>
        <v>0</v>
      </c>
      <c r="I667" s="55">
        <f t="shared" si="685"/>
        <v>0</v>
      </c>
      <c r="J667" s="55">
        <f t="shared" si="686"/>
        <v>0</v>
      </c>
      <c r="K667" s="55">
        <f>'Stavební rozpočet'!K682</f>
        <v>0.01038</v>
      </c>
      <c r="L667" s="55">
        <f t="shared" si="687"/>
        <v>0</v>
      </c>
      <c r="M667" s="51" t="s">
        <v>622</v>
      </c>
      <c r="Z667" s="29">
        <f t="shared" si="688"/>
        <v>0</v>
      </c>
      <c r="AB667" s="29">
        <f t="shared" si="689"/>
        <v>0</v>
      </c>
      <c r="AC667" s="29">
        <f t="shared" si="690"/>
        <v>0</v>
      </c>
      <c r="AD667" s="29">
        <f t="shared" si="691"/>
        <v>0</v>
      </c>
      <c r="AE667" s="29">
        <f t="shared" si="692"/>
        <v>0</v>
      </c>
      <c r="AF667" s="29">
        <f t="shared" si="693"/>
        <v>0</v>
      </c>
      <c r="AG667" s="29">
        <f t="shared" si="694"/>
        <v>0</v>
      </c>
      <c r="AH667" s="29">
        <f t="shared" si="695"/>
        <v>0</v>
      </c>
      <c r="AI667" s="48" t="s">
        <v>61</v>
      </c>
      <c r="AJ667" s="55">
        <f t="shared" si="696"/>
        <v>0</v>
      </c>
      <c r="AK667" s="55">
        <f t="shared" si="697"/>
        <v>0</v>
      </c>
      <c r="AL667" s="55">
        <f t="shared" si="698"/>
        <v>0</v>
      </c>
      <c r="AN667" s="29">
        <v>15</v>
      </c>
      <c r="AO667" s="29">
        <f>G667*0.261666700272723</f>
        <v>43.96000564581746</v>
      </c>
      <c r="AP667" s="29">
        <f>G667*(1-0.261666700272723)</f>
        <v>124.03999435418254</v>
      </c>
      <c r="AQ667" s="51" t="s">
        <v>79</v>
      </c>
      <c r="AV667" s="29">
        <f t="shared" si="699"/>
        <v>0</v>
      </c>
      <c r="AW667" s="29">
        <f t="shared" si="700"/>
        <v>0</v>
      </c>
      <c r="AX667" s="29">
        <f t="shared" si="701"/>
        <v>0</v>
      </c>
      <c r="AY667" s="54" t="s">
        <v>634</v>
      </c>
      <c r="AZ667" s="54" t="s">
        <v>1642</v>
      </c>
      <c r="BA667" s="48" t="s">
        <v>1649</v>
      </c>
      <c r="BC667" s="29">
        <f t="shared" si="702"/>
        <v>0</v>
      </c>
      <c r="BD667" s="29">
        <f t="shared" si="703"/>
        <v>168</v>
      </c>
      <c r="BE667" s="29">
        <v>0</v>
      </c>
      <c r="BF667" s="29">
        <f t="shared" si="704"/>
        <v>0</v>
      </c>
      <c r="BH667" s="55">
        <f t="shared" si="705"/>
        <v>0</v>
      </c>
      <c r="BI667" s="55">
        <f t="shared" si="706"/>
        <v>0</v>
      </c>
      <c r="BJ667" s="55">
        <f t="shared" si="707"/>
        <v>0</v>
      </c>
    </row>
    <row r="668" spans="1:62" ht="12.75">
      <c r="A668" s="36" t="s">
        <v>1903</v>
      </c>
      <c r="B668" s="36" t="s">
        <v>61</v>
      </c>
      <c r="C668" s="36" t="s">
        <v>257</v>
      </c>
      <c r="D668" s="36" t="s">
        <v>440</v>
      </c>
      <c r="E668" s="36" t="s">
        <v>608</v>
      </c>
      <c r="F668" s="55">
        <f>'Stavební rozpočet'!F683</f>
        <v>0</v>
      </c>
      <c r="G668" s="55">
        <f>'Stavební rozpočet'!G683</f>
        <v>396.49</v>
      </c>
      <c r="H668" s="55">
        <f t="shared" si="684"/>
        <v>0</v>
      </c>
      <c r="I668" s="55">
        <f t="shared" si="685"/>
        <v>0</v>
      </c>
      <c r="J668" s="55">
        <f t="shared" si="686"/>
        <v>0</v>
      </c>
      <c r="K668" s="55">
        <f>'Stavební rozpočet'!K683</f>
        <v>0.06002</v>
      </c>
      <c r="L668" s="55">
        <f t="shared" si="687"/>
        <v>0</v>
      </c>
      <c r="M668" s="51" t="s">
        <v>622</v>
      </c>
      <c r="Z668" s="29">
        <f t="shared" si="688"/>
        <v>0</v>
      </c>
      <c r="AB668" s="29">
        <f t="shared" si="689"/>
        <v>0</v>
      </c>
      <c r="AC668" s="29">
        <f t="shared" si="690"/>
        <v>0</v>
      </c>
      <c r="AD668" s="29">
        <f t="shared" si="691"/>
        <v>0</v>
      </c>
      <c r="AE668" s="29">
        <f t="shared" si="692"/>
        <v>0</v>
      </c>
      <c r="AF668" s="29">
        <f t="shared" si="693"/>
        <v>0</v>
      </c>
      <c r="AG668" s="29">
        <f t="shared" si="694"/>
        <v>0</v>
      </c>
      <c r="AH668" s="29">
        <f t="shared" si="695"/>
        <v>0</v>
      </c>
      <c r="AI668" s="48" t="s">
        <v>61</v>
      </c>
      <c r="AJ668" s="55">
        <f t="shared" si="696"/>
        <v>0</v>
      </c>
      <c r="AK668" s="55">
        <f t="shared" si="697"/>
        <v>0</v>
      </c>
      <c r="AL668" s="55">
        <f t="shared" si="698"/>
        <v>0</v>
      </c>
      <c r="AN668" s="29">
        <v>15</v>
      </c>
      <c r="AO668" s="29">
        <f>G668*0.157507108540178</f>
        <v>62.449993465095176</v>
      </c>
      <c r="AP668" s="29">
        <f>G668*(1-0.157507108540178)</f>
        <v>334.0400065349048</v>
      </c>
      <c r="AQ668" s="51" t="s">
        <v>79</v>
      </c>
      <c r="AV668" s="29">
        <f t="shared" si="699"/>
        <v>0</v>
      </c>
      <c r="AW668" s="29">
        <f t="shared" si="700"/>
        <v>0</v>
      </c>
      <c r="AX668" s="29">
        <f t="shared" si="701"/>
        <v>0</v>
      </c>
      <c r="AY668" s="54" t="s">
        <v>634</v>
      </c>
      <c r="AZ668" s="54" t="s">
        <v>1642</v>
      </c>
      <c r="BA668" s="48" t="s">
        <v>1649</v>
      </c>
      <c r="BC668" s="29">
        <f t="shared" si="702"/>
        <v>0</v>
      </c>
      <c r="BD668" s="29">
        <f t="shared" si="703"/>
        <v>396.49</v>
      </c>
      <c r="BE668" s="29">
        <v>0</v>
      </c>
      <c r="BF668" s="29">
        <f t="shared" si="704"/>
        <v>0</v>
      </c>
      <c r="BH668" s="55">
        <f t="shared" si="705"/>
        <v>0</v>
      </c>
      <c r="BI668" s="55">
        <f t="shared" si="706"/>
        <v>0</v>
      </c>
      <c r="BJ668" s="55">
        <f t="shared" si="707"/>
        <v>0</v>
      </c>
    </row>
    <row r="669" spans="1:62" ht="12.75">
      <c r="A669" s="36" t="s">
        <v>1904</v>
      </c>
      <c r="B669" s="36" t="s">
        <v>61</v>
      </c>
      <c r="C669" s="36" t="s">
        <v>258</v>
      </c>
      <c r="D669" s="36" t="s">
        <v>442</v>
      </c>
      <c r="E669" s="36" t="s">
        <v>608</v>
      </c>
      <c r="F669" s="55">
        <f>'Stavební rozpočet'!F684</f>
        <v>0</v>
      </c>
      <c r="G669" s="55">
        <f>'Stavební rozpočet'!G684</f>
        <v>51.7</v>
      </c>
      <c r="H669" s="55">
        <f t="shared" si="684"/>
        <v>0</v>
      </c>
      <c r="I669" s="55">
        <f t="shared" si="685"/>
        <v>0</v>
      </c>
      <c r="J669" s="55">
        <f t="shared" si="686"/>
        <v>0</v>
      </c>
      <c r="K669" s="55">
        <f>'Stavební rozpočet'!K684</f>
        <v>0.01119</v>
      </c>
      <c r="L669" s="55">
        <f t="shared" si="687"/>
        <v>0</v>
      </c>
      <c r="M669" s="51" t="s">
        <v>622</v>
      </c>
      <c r="Z669" s="29">
        <f t="shared" si="688"/>
        <v>0</v>
      </c>
      <c r="AB669" s="29">
        <f t="shared" si="689"/>
        <v>0</v>
      </c>
      <c r="AC669" s="29">
        <f t="shared" si="690"/>
        <v>0</v>
      </c>
      <c r="AD669" s="29">
        <f t="shared" si="691"/>
        <v>0</v>
      </c>
      <c r="AE669" s="29">
        <f t="shared" si="692"/>
        <v>0</v>
      </c>
      <c r="AF669" s="29">
        <f t="shared" si="693"/>
        <v>0</v>
      </c>
      <c r="AG669" s="29">
        <f t="shared" si="694"/>
        <v>0</v>
      </c>
      <c r="AH669" s="29">
        <f t="shared" si="695"/>
        <v>0</v>
      </c>
      <c r="AI669" s="48" t="s">
        <v>61</v>
      </c>
      <c r="AJ669" s="55">
        <f t="shared" si="696"/>
        <v>0</v>
      </c>
      <c r="AK669" s="55">
        <f t="shared" si="697"/>
        <v>0</v>
      </c>
      <c r="AL669" s="55">
        <f t="shared" si="698"/>
        <v>0</v>
      </c>
      <c r="AN669" s="29">
        <v>15</v>
      </c>
      <c r="AO669" s="29">
        <f>G669*0.206189593953567</f>
        <v>10.660002007399415</v>
      </c>
      <c r="AP669" s="29">
        <f>G669*(1-0.206189593953567)</f>
        <v>41.03999799260059</v>
      </c>
      <c r="AQ669" s="51" t="s">
        <v>79</v>
      </c>
      <c r="AV669" s="29">
        <f t="shared" si="699"/>
        <v>0</v>
      </c>
      <c r="AW669" s="29">
        <f t="shared" si="700"/>
        <v>0</v>
      </c>
      <c r="AX669" s="29">
        <f t="shared" si="701"/>
        <v>0</v>
      </c>
      <c r="AY669" s="54" t="s">
        <v>634</v>
      </c>
      <c r="AZ669" s="54" t="s">
        <v>1642</v>
      </c>
      <c r="BA669" s="48" t="s">
        <v>1649</v>
      </c>
      <c r="BC669" s="29">
        <f t="shared" si="702"/>
        <v>0</v>
      </c>
      <c r="BD669" s="29">
        <f t="shared" si="703"/>
        <v>51.7</v>
      </c>
      <c r="BE669" s="29">
        <v>0</v>
      </c>
      <c r="BF669" s="29">
        <f t="shared" si="704"/>
        <v>0</v>
      </c>
      <c r="BH669" s="55">
        <f t="shared" si="705"/>
        <v>0</v>
      </c>
      <c r="BI669" s="55">
        <f t="shared" si="706"/>
        <v>0</v>
      </c>
      <c r="BJ669" s="55">
        <f t="shared" si="707"/>
        <v>0</v>
      </c>
    </row>
    <row r="670" spans="1:62" ht="12.75">
      <c r="A670" s="36" t="s">
        <v>1905</v>
      </c>
      <c r="B670" s="36" t="s">
        <v>61</v>
      </c>
      <c r="C670" s="36" t="s">
        <v>259</v>
      </c>
      <c r="D670" s="36" t="s">
        <v>443</v>
      </c>
      <c r="E670" s="36" t="s">
        <v>608</v>
      </c>
      <c r="F670" s="55">
        <f>'Stavební rozpočet'!F685</f>
        <v>0</v>
      </c>
      <c r="G670" s="55">
        <f>'Stavební rozpočet'!G685</f>
        <v>326.5</v>
      </c>
      <c r="H670" s="55">
        <f t="shared" si="684"/>
        <v>0</v>
      </c>
      <c r="I670" s="55">
        <f t="shared" si="685"/>
        <v>0</v>
      </c>
      <c r="J670" s="55">
        <f t="shared" si="686"/>
        <v>0</v>
      </c>
      <c r="K670" s="55">
        <f>'Stavební rozpočet'!K685</f>
        <v>0.02888</v>
      </c>
      <c r="L670" s="55">
        <f t="shared" si="687"/>
        <v>0</v>
      </c>
      <c r="M670" s="51" t="s">
        <v>622</v>
      </c>
      <c r="Z670" s="29">
        <f t="shared" si="688"/>
        <v>0</v>
      </c>
      <c r="AB670" s="29">
        <f t="shared" si="689"/>
        <v>0</v>
      </c>
      <c r="AC670" s="29">
        <f t="shared" si="690"/>
        <v>0</v>
      </c>
      <c r="AD670" s="29">
        <f t="shared" si="691"/>
        <v>0</v>
      </c>
      <c r="AE670" s="29">
        <f t="shared" si="692"/>
        <v>0</v>
      </c>
      <c r="AF670" s="29">
        <f t="shared" si="693"/>
        <v>0</v>
      </c>
      <c r="AG670" s="29">
        <f t="shared" si="694"/>
        <v>0</v>
      </c>
      <c r="AH670" s="29">
        <f t="shared" si="695"/>
        <v>0</v>
      </c>
      <c r="AI670" s="48" t="s">
        <v>61</v>
      </c>
      <c r="AJ670" s="55">
        <f t="shared" si="696"/>
        <v>0</v>
      </c>
      <c r="AK670" s="55">
        <f t="shared" si="697"/>
        <v>0</v>
      </c>
      <c r="AL670" s="55">
        <f t="shared" si="698"/>
        <v>0</v>
      </c>
      <c r="AN670" s="29">
        <v>15</v>
      </c>
      <c r="AO670" s="29">
        <f>G670*0.324471683942144</f>
        <v>105.94000480711001</v>
      </c>
      <c r="AP670" s="29">
        <f>G670*(1-0.324471683942144)</f>
        <v>220.55999519289</v>
      </c>
      <c r="AQ670" s="51" t="s">
        <v>79</v>
      </c>
      <c r="AV670" s="29">
        <f t="shared" si="699"/>
        <v>0</v>
      </c>
      <c r="AW670" s="29">
        <f t="shared" si="700"/>
        <v>0</v>
      </c>
      <c r="AX670" s="29">
        <f t="shared" si="701"/>
        <v>0</v>
      </c>
      <c r="AY670" s="54" t="s">
        <v>634</v>
      </c>
      <c r="AZ670" s="54" t="s">
        <v>1642</v>
      </c>
      <c r="BA670" s="48" t="s">
        <v>1649</v>
      </c>
      <c r="BC670" s="29">
        <f t="shared" si="702"/>
        <v>0</v>
      </c>
      <c r="BD670" s="29">
        <f t="shared" si="703"/>
        <v>326.5</v>
      </c>
      <c r="BE670" s="29">
        <v>0</v>
      </c>
      <c r="BF670" s="29">
        <f t="shared" si="704"/>
        <v>0</v>
      </c>
      <c r="BH670" s="55">
        <f t="shared" si="705"/>
        <v>0</v>
      </c>
      <c r="BI670" s="55">
        <f t="shared" si="706"/>
        <v>0</v>
      </c>
      <c r="BJ670" s="55">
        <f t="shared" si="707"/>
        <v>0</v>
      </c>
    </row>
    <row r="671" spans="1:62" ht="12.75">
      <c r="A671" s="36" t="s">
        <v>1906</v>
      </c>
      <c r="B671" s="36" t="s">
        <v>61</v>
      </c>
      <c r="C671" s="36" t="s">
        <v>260</v>
      </c>
      <c r="D671" s="36" t="s">
        <v>445</v>
      </c>
      <c r="E671" s="36" t="s">
        <v>608</v>
      </c>
      <c r="F671" s="55">
        <f>'Stavební rozpočet'!F686</f>
        <v>0</v>
      </c>
      <c r="G671" s="55">
        <f>'Stavební rozpočet'!G686</f>
        <v>190.5</v>
      </c>
      <c r="H671" s="55">
        <f t="shared" si="684"/>
        <v>0</v>
      </c>
      <c r="I671" s="55">
        <f t="shared" si="685"/>
        <v>0</v>
      </c>
      <c r="J671" s="55">
        <f t="shared" si="686"/>
        <v>0</v>
      </c>
      <c r="K671" s="55">
        <f>'Stavební rozpočet'!K686</f>
        <v>0.00367</v>
      </c>
      <c r="L671" s="55">
        <f t="shared" si="687"/>
        <v>0</v>
      </c>
      <c r="M671" s="51" t="s">
        <v>622</v>
      </c>
      <c r="Z671" s="29">
        <f t="shared" si="688"/>
        <v>0</v>
      </c>
      <c r="AB671" s="29">
        <f t="shared" si="689"/>
        <v>0</v>
      </c>
      <c r="AC671" s="29">
        <f t="shared" si="690"/>
        <v>0</v>
      </c>
      <c r="AD671" s="29">
        <f t="shared" si="691"/>
        <v>0</v>
      </c>
      <c r="AE671" s="29">
        <f t="shared" si="692"/>
        <v>0</v>
      </c>
      <c r="AF671" s="29">
        <f t="shared" si="693"/>
        <v>0</v>
      </c>
      <c r="AG671" s="29">
        <f t="shared" si="694"/>
        <v>0</v>
      </c>
      <c r="AH671" s="29">
        <f t="shared" si="695"/>
        <v>0</v>
      </c>
      <c r="AI671" s="48" t="s">
        <v>61</v>
      </c>
      <c r="AJ671" s="55">
        <f t="shared" si="696"/>
        <v>0</v>
      </c>
      <c r="AK671" s="55">
        <f t="shared" si="697"/>
        <v>0</v>
      </c>
      <c r="AL671" s="55">
        <f t="shared" si="698"/>
        <v>0</v>
      </c>
      <c r="AN671" s="29">
        <v>15</v>
      </c>
      <c r="AO671" s="29">
        <f>G671*0.283412080999962</f>
        <v>53.99000143049276</v>
      </c>
      <c r="AP671" s="29">
        <f>G671*(1-0.283412080999962)</f>
        <v>136.50999856950722</v>
      </c>
      <c r="AQ671" s="51" t="s">
        <v>79</v>
      </c>
      <c r="AV671" s="29">
        <f t="shared" si="699"/>
        <v>0</v>
      </c>
      <c r="AW671" s="29">
        <f t="shared" si="700"/>
        <v>0</v>
      </c>
      <c r="AX671" s="29">
        <f t="shared" si="701"/>
        <v>0</v>
      </c>
      <c r="AY671" s="54" t="s">
        <v>634</v>
      </c>
      <c r="AZ671" s="54" t="s">
        <v>1642</v>
      </c>
      <c r="BA671" s="48" t="s">
        <v>1649</v>
      </c>
      <c r="BC671" s="29">
        <f t="shared" si="702"/>
        <v>0</v>
      </c>
      <c r="BD671" s="29">
        <f t="shared" si="703"/>
        <v>190.5</v>
      </c>
      <c r="BE671" s="29">
        <v>0</v>
      </c>
      <c r="BF671" s="29">
        <f t="shared" si="704"/>
        <v>0</v>
      </c>
      <c r="BH671" s="55">
        <f t="shared" si="705"/>
        <v>0</v>
      </c>
      <c r="BI671" s="55">
        <f t="shared" si="706"/>
        <v>0</v>
      </c>
      <c r="BJ671" s="55">
        <f t="shared" si="707"/>
        <v>0</v>
      </c>
    </row>
    <row r="672" spans="1:62" ht="12.75">
      <c r="A672" s="36" t="s">
        <v>1907</v>
      </c>
      <c r="B672" s="36" t="s">
        <v>61</v>
      </c>
      <c r="C672" s="36" t="s">
        <v>261</v>
      </c>
      <c r="D672" s="36" t="s">
        <v>447</v>
      </c>
      <c r="E672" s="36" t="s">
        <v>609</v>
      </c>
      <c r="F672" s="55">
        <f>'Stavební rozpočet'!F687</f>
        <v>0</v>
      </c>
      <c r="G672" s="55">
        <f>'Stavební rozpočet'!G687</f>
        <v>78</v>
      </c>
      <c r="H672" s="55">
        <f t="shared" si="684"/>
        <v>0</v>
      </c>
      <c r="I672" s="55">
        <f t="shared" si="685"/>
        <v>0</v>
      </c>
      <c r="J672" s="55">
        <f t="shared" si="686"/>
        <v>0</v>
      </c>
      <c r="K672" s="55">
        <f>'Stavební rozpočet'!K687</f>
        <v>0.00215</v>
      </c>
      <c r="L672" s="55">
        <f t="shared" si="687"/>
        <v>0</v>
      </c>
      <c r="M672" s="51" t="s">
        <v>622</v>
      </c>
      <c r="Z672" s="29">
        <f t="shared" si="688"/>
        <v>0</v>
      </c>
      <c r="AB672" s="29">
        <f t="shared" si="689"/>
        <v>0</v>
      </c>
      <c r="AC672" s="29">
        <f t="shared" si="690"/>
        <v>0</v>
      </c>
      <c r="AD672" s="29">
        <f t="shared" si="691"/>
        <v>0</v>
      </c>
      <c r="AE672" s="29">
        <f t="shared" si="692"/>
        <v>0</v>
      </c>
      <c r="AF672" s="29">
        <f t="shared" si="693"/>
        <v>0</v>
      </c>
      <c r="AG672" s="29">
        <f t="shared" si="694"/>
        <v>0</v>
      </c>
      <c r="AH672" s="29">
        <f t="shared" si="695"/>
        <v>0</v>
      </c>
      <c r="AI672" s="48" t="s">
        <v>61</v>
      </c>
      <c r="AJ672" s="55">
        <f t="shared" si="696"/>
        <v>0</v>
      </c>
      <c r="AK672" s="55">
        <f t="shared" si="697"/>
        <v>0</v>
      </c>
      <c r="AL672" s="55">
        <f t="shared" si="698"/>
        <v>0</v>
      </c>
      <c r="AN672" s="29">
        <v>15</v>
      </c>
      <c r="AO672" s="29">
        <f>G672*0.312307692307692</f>
        <v>24.359999999999978</v>
      </c>
      <c r="AP672" s="29">
        <f>G672*(1-0.312307692307692)</f>
        <v>53.64000000000003</v>
      </c>
      <c r="AQ672" s="51" t="s">
        <v>79</v>
      </c>
      <c r="AV672" s="29">
        <f t="shared" si="699"/>
        <v>0</v>
      </c>
      <c r="AW672" s="29">
        <f t="shared" si="700"/>
        <v>0</v>
      </c>
      <c r="AX672" s="29">
        <f t="shared" si="701"/>
        <v>0</v>
      </c>
      <c r="AY672" s="54" t="s">
        <v>634</v>
      </c>
      <c r="AZ672" s="54" t="s">
        <v>1642</v>
      </c>
      <c r="BA672" s="48" t="s">
        <v>1649</v>
      </c>
      <c r="BC672" s="29">
        <f t="shared" si="702"/>
        <v>0</v>
      </c>
      <c r="BD672" s="29">
        <f t="shared" si="703"/>
        <v>78</v>
      </c>
      <c r="BE672" s="29">
        <v>0</v>
      </c>
      <c r="BF672" s="29">
        <f t="shared" si="704"/>
        <v>0</v>
      </c>
      <c r="BH672" s="55">
        <f t="shared" si="705"/>
        <v>0</v>
      </c>
      <c r="BI672" s="55">
        <f t="shared" si="706"/>
        <v>0</v>
      </c>
      <c r="BJ672" s="55">
        <f t="shared" si="707"/>
        <v>0</v>
      </c>
    </row>
    <row r="673" spans="1:47" ht="12.75">
      <c r="A673" s="35"/>
      <c r="B673" s="42" t="s">
        <v>61</v>
      </c>
      <c r="C673" s="42" t="s">
        <v>141</v>
      </c>
      <c r="D673" s="42" t="s">
        <v>449</v>
      </c>
      <c r="E673" s="35" t="s">
        <v>57</v>
      </c>
      <c r="F673" s="35" t="s">
        <v>57</v>
      </c>
      <c r="G673" s="35" t="s">
        <v>57</v>
      </c>
      <c r="H673" s="59">
        <f>SUM(H674:H674)</f>
        <v>0</v>
      </c>
      <c r="I673" s="59">
        <f>SUM(I674:I674)</f>
        <v>0</v>
      </c>
      <c r="J673" s="59">
        <f>SUM(J674:J674)</f>
        <v>0</v>
      </c>
      <c r="K673" s="48"/>
      <c r="L673" s="59">
        <f>SUM(L674:L674)</f>
        <v>0</v>
      </c>
      <c r="M673" s="48"/>
      <c r="AI673" s="48" t="s">
        <v>61</v>
      </c>
      <c r="AS673" s="59">
        <f>SUM(AJ674:AJ674)</f>
        <v>0</v>
      </c>
      <c r="AT673" s="59">
        <f>SUM(AK674:AK674)</f>
        <v>0</v>
      </c>
      <c r="AU673" s="59">
        <f>SUM(AL674:AL674)</f>
        <v>0</v>
      </c>
    </row>
    <row r="674" spans="1:62" ht="12.75">
      <c r="A674" s="36" t="s">
        <v>1908</v>
      </c>
      <c r="B674" s="36" t="s">
        <v>61</v>
      </c>
      <c r="C674" s="36" t="s">
        <v>262</v>
      </c>
      <c r="D674" s="36" t="s">
        <v>450</v>
      </c>
      <c r="E674" s="36" t="s">
        <v>608</v>
      </c>
      <c r="F674" s="55">
        <f>'Stavební rozpočet'!F689</f>
        <v>0</v>
      </c>
      <c r="G674" s="55">
        <f>'Stavební rozpočet'!G689</f>
        <v>1151</v>
      </c>
      <c r="H674" s="55">
        <f>F674*AO674</f>
        <v>0</v>
      </c>
      <c r="I674" s="55">
        <f>F674*AP674</f>
        <v>0</v>
      </c>
      <c r="J674" s="55">
        <f>F674*G674</f>
        <v>0</v>
      </c>
      <c r="K674" s="55">
        <f>'Stavební rozpočet'!K689</f>
        <v>0.1614</v>
      </c>
      <c r="L674" s="55">
        <f>F674*K674</f>
        <v>0</v>
      </c>
      <c r="M674" s="51" t="s">
        <v>622</v>
      </c>
      <c r="Z674" s="29">
        <f>IF(AQ674="5",BJ674,0)</f>
        <v>0</v>
      </c>
      <c r="AB674" s="29">
        <f>IF(AQ674="1",BH674,0)</f>
        <v>0</v>
      </c>
      <c r="AC674" s="29">
        <f>IF(AQ674="1",BI674,0)</f>
        <v>0</v>
      </c>
      <c r="AD674" s="29">
        <f>IF(AQ674="7",BH674,0)</f>
        <v>0</v>
      </c>
      <c r="AE674" s="29">
        <f>IF(AQ674="7",BI674,0)</f>
        <v>0</v>
      </c>
      <c r="AF674" s="29">
        <f>IF(AQ674="2",BH674,0)</f>
        <v>0</v>
      </c>
      <c r="AG674" s="29">
        <f>IF(AQ674="2",BI674,0)</f>
        <v>0</v>
      </c>
      <c r="AH674" s="29">
        <f>IF(AQ674="0",BJ674,0)</f>
        <v>0</v>
      </c>
      <c r="AI674" s="48" t="s">
        <v>61</v>
      </c>
      <c r="AJ674" s="55">
        <f>IF(AN674=0,J674,0)</f>
        <v>0</v>
      </c>
      <c r="AK674" s="55">
        <f>IF(AN674=15,J674,0)</f>
        <v>0</v>
      </c>
      <c r="AL674" s="55">
        <f>IF(AN674=21,J674,0)</f>
        <v>0</v>
      </c>
      <c r="AN674" s="29">
        <v>15</v>
      </c>
      <c r="AO674" s="29">
        <f>G674*0.710773240660295</f>
        <v>818.0999999999996</v>
      </c>
      <c r="AP674" s="29">
        <f>G674*(1-0.710773240660295)</f>
        <v>332.90000000000043</v>
      </c>
      <c r="AQ674" s="51" t="s">
        <v>79</v>
      </c>
      <c r="AV674" s="29">
        <f>AW674+AX674</f>
        <v>0</v>
      </c>
      <c r="AW674" s="29">
        <f>F674*AO674</f>
        <v>0</v>
      </c>
      <c r="AX674" s="29">
        <f>F674*AP674</f>
        <v>0</v>
      </c>
      <c r="AY674" s="54" t="s">
        <v>635</v>
      </c>
      <c r="AZ674" s="54" t="s">
        <v>1642</v>
      </c>
      <c r="BA674" s="48" t="s">
        <v>1649</v>
      </c>
      <c r="BC674" s="29">
        <f>AW674+AX674</f>
        <v>0</v>
      </c>
      <c r="BD674" s="29">
        <f>G674/(100-BE674)*100</f>
        <v>1151</v>
      </c>
      <c r="BE674" s="29">
        <v>0</v>
      </c>
      <c r="BF674" s="29">
        <f>L674</f>
        <v>0</v>
      </c>
      <c r="BH674" s="55">
        <f>F674*AO674</f>
        <v>0</v>
      </c>
      <c r="BI674" s="55">
        <f>F674*AP674</f>
        <v>0</v>
      </c>
      <c r="BJ674" s="55">
        <f>F674*G674</f>
        <v>0</v>
      </c>
    </row>
    <row r="675" spans="1:47" ht="12.75">
      <c r="A675" s="35"/>
      <c r="B675" s="42" t="s">
        <v>61</v>
      </c>
      <c r="C675" s="42" t="s">
        <v>172</v>
      </c>
      <c r="D675" s="42" t="s">
        <v>453</v>
      </c>
      <c r="E675" s="35" t="s">
        <v>57</v>
      </c>
      <c r="F675" s="35" t="s">
        <v>57</v>
      </c>
      <c r="G675" s="35" t="s">
        <v>57</v>
      </c>
      <c r="H675" s="59">
        <f>SUM(H676:H679)</f>
        <v>0</v>
      </c>
      <c r="I675" s="59">
        <f>SUM(I676:I679)</f>
        <v>0</v>
      </c>
      <c r="J675" s="59">
        <f>SUM(J676:J679)</f>
        <v>0</v>
      </c>
      <c r="K675" s="48"/>
      <c r="L675" s="59">
        <f>SUM(L676:L679)</f>
        <v>0</v>
      </c>
      <c r="M675" s="48"/>
      <c r="AI675" s="48" t="s">
        <v>61</v>
      </c>
      <c r="AS675" s="59">
        <f>SUM(AJ676:AJ679)</f>
        <v>0</v>
      </c>
      <c r="AT675" s="59">
        <f>SUM(AK676:AK679)</f>
        <v>0</v>
      </c>
      <c r="AU675" s="59">
        <f>SUM(AL676:AL679)</f>
        <v>0</v>
      </c>
    </row>
    <row r="676" spans="1:62" ht="12.75">
      <c r="A676" s="36" t="s">
        <v>1909</v>
      </c>
      <c r="B676" s="36" t="s">
        <v>61</v>
      </c>
      <c r="C676" s="36" t="s">
        <v>264</v>
      </c>
      <c r="D676" s="36" t="s">
        <v>454</v>
      </c>
      <c r="E676" s="36" t="s">
        <v>608</v>
      </c>
      <c r="F676" s="55">
        <f>'Stavební rozpočet'!F691</f>
        <v>0</v>
      </c>
      <c r="G676" s="55">
        <f>'Stavební rozpočet'!G691</f>
        <v>108.49</v>
      </c>
      <c r="H676" s="55">
        <f>F676*AO676</f>
        <v>0</v>
      </c>
      <c r="I676" s="55">
        <f>F676*AP676</f>
        <v>0</v>
      </c>
      <c r="J676" s="55">
        <f>F676*G676</f>
        <v>0</v>
      </c>
      <c r="K676" s="55">
        <f>'Stavební rozpočet'!K691</f>
        <v>0.00158</v>
      </c>
      <c r="L676" s="55">
        <f>F676*K676</f>
        <v>0</v>
      </c>
      <c r="M676" s="51" t="s">
        <v>622</v>
      </c>
      <c r="Z676" s="29">
        <f>IF(AQ676="5",BJ676,0)</f>
        <v>0</v>
      </c>
      <c r="AB676" s="29">
        <f>IF(AQ676="1",BH676,0)</f>
        <v>0</v>
      </c>
      <c r="AC676" s="29">
        <f>IF(AQ676="1",BI676,0)</f>
        <v>0</v>
      </c>
      <c r="AD676" s="29">
        <f>IF(AQ676="7",BH676,0)</f>
        <v>0</v>
      </c>
      <c r="AE676" s="29">
        <f>IF(AQ676="7",BI676,0)</f>
        <v>0</v>
      </c>
      <c r="AF676" s="29">
        <f>IF(AQ676="2",BH676,0)</f>
        <v>0</v>
      </c>
      <c r="AG676" s="29">
        <f>IF(AQ676="2",BI676,0)</f>
        <v>0</v>
      </c>
      <c r="AH676" s="29">
        <f>IF(AQ676="0",BJ676,0)</f>
        <v>0</v>
      </c>
      <c r="AI676" s="48" t="s">
        <v>61</v>
      </c>
      <c r="AJ676" s="55">
        <f>IF(AN676=0,J676,0)</f>
        <v>0</v>
      </c>
      <c r="AK676" s="55">
        <f>IF(AN676=15,J676,0)</f>
        <v>0</v>
      </c>
      <c r="AL676" s="55">
        <f>IF(AN676=21,J676,0)</f>
        <v>0</v>
      </c>
      <c r="AN676" s="29">
        <v>15</v>
      </c>
      <c r="AO676" s="29">
        <f>G676*0.4197621900636</f>
        <v>45.539999999999964</v>
      </c>
      <c r="AP676" s="29">
        <f>G676*(1-0.4197621900636)</f>
        <v>62.95000000000004</v>
      </c>
      <c r="AQ676" s="51" t="s">
        <v>79</v>
      </c>
      <c r="AV676" s="29">
        <f>AW676+AX676</f>
        <v>0</v>
      </c>
      <c r="AW676" s="29">
        <f>F676*AO676</f>
        <v>0</v>
      </c>
      <c r="AX676" s="29">
        <f>F676*AP676</f>
        <v>0</v>
      </c>
      <c r="AY676" s="54" t="s">
        <v>636</v>
      </c>
      <c r="AZ676" s="54" t="s">
        <v>1643</v>
      </c>
      <c r="BA676" s="48" t="s">
        <v>1649</v>
      </c>
      <c r="BC676" s="29">
        <f>AW676+AX676</f>
        <v>0</v>
      </c>
      <c r="BD676" s="29">
        <f>G676/(100-BE676)*100</f>
        <v>108.49</v>
      </c>
      <c r="BE676" s="29">
        <v>0</v>
      </c>
      <c r="BF676" s="29">
        <f>L676</f>
        <v>0</v>
      </c>
      <c r="BH676" s="55">
        <f>F676*AO676</f>
        <v>0</v>
      </c>
      <c r="BI676" s="55">
        <f>F676*AP676</f>
        <v>0</v>
      </c>
      <c r="BJ676" s="55">
        <f>F676*G676</f>
        <v>0</v>
      </c>
    </row>
    <row r="677" spans="1:62" ht="12.75">
      <c r="A677" s="36" t="s">
        <v>1910</v>
      </c>
      <c r="B677" s="36" t="s">
        <v>61</v>
      </c>
      <c r="C677" s="36" t="s">
        <v>265</v>
      </c>
      <c r="D677" s="36" t="s">
        <v>455</v>
      </c>
      <c r="E677" s="36" t="s">
        <v>610</v>
      </c>
      <c r="F677" s="55">
        <f>'Stavební rozpočet'!F692</f>
        <v>0</v>
      </c>
      <c r="G677" s="55">
        <f>'Stavební rozpočet'!G692</f>
        <v>11.8</v>
      </c>
      <c r="H677" s="55">
        <f>F677*AO677</f>
        <v>0</v>
      </c>
      <c r="I677" s="55">
        <f>F677*AP677</f>
        <v>0</v>
      </c>
      <c r="J677" s="55">
        <f>F677*G677</f>
        <v>0</v>
      </c>
      <c r="K677" s="55">
        <f>'Stavební rozpočet'!K692</f>
        <v>0.00735</v>
      </c>
      <c r="L677" s="55">
        <f>F677*K677</f>
        <v>0</v>
      </c>
      <c r="M677" s="51" t="s">
        <v>622</v>
      </c>
      <c r="Z677" s="29">
        <f>IF(AQ677="5",BJ677,0)</f>
        <v>0</v>
      </c>
      <c r="AB677" s="29">
        <f>IF(AQ677="1",BH677,0)</f>
        <v>0</v>
      </c>
      <c r="AC677" s="29">
        <f>IF(AQ677="1",BI677,0)</f>
        <v>0</v>
      </c>
      <c r="AD677" s="29">
        <f>IF(AQ677="7",BH677,0)</f>
        <v>0</v>
      </c>
      <c r="AE677" s="29">
        <f>IF(AQ677="7",BI677,0)</f>
        <v>0</v>
      </c>
      <c r="AF677" s="29">
        <f>IF(AQ677="2",BH677,0)</f>
        <v>0</v>
      </c>
      <c r="AG677" s="29">
        <f>IF(AQ677="2",BI677,0)</f>
        <v>0</v>
      </c>
      <c r="AH677" s="29">
        <f>IF(AQ677="0",BJ677,0)</f>
        <v>0</v>
      </c>
      <c r="AI677" s="48" t="s">
        <v>61</v>
      </c>
      <c r="AJ677" s="55">
        <f>IF(AN677=0,J677,0)</f>
        <v>0</v>
      </c>
      <c r="AK677" s="55">
        <f>IF(AN677=15,J677,0)</f>
        <v>0</v>
      </c>
      <c r="AL677" s="55">
        <f>IF(AN677=21,J677,0)</f>
        <v>0</v>
      </c>
      <c r="AN677" s="29">
        <v>15</v>
      </c>
      <c r="AO677" s="29">
        <f>G677*0.00169489821563207</f>
        <v>0.019999798944458427</v>
      </c>
      <c r="AP677" s="29">
        <f>G677*(1-0.00169489821563207)</f>
        <v>11.780000201055543</v>
      </c>
      <c r="AQ677" s="51" t="s">
        <v>79</v>
      </c>
      <c r="AV677" s="29">
        <f>AW677+AX677</f>
        <v>0</v>
      </c>
      <c r="AW677" s="29">
        <f>F677*AO677</f>
        <v>0</v>
      </c>
      <c r="AX677" s="29">
        <f>F677*AP677</f>
        <v>0</v>
      </c>
      <c r="AY677" s="54" t="s">
        <v>636</v>
      </c>
      <c r="AZ677" s="54" t="s">
        <v>1643</v>
      </c>
      <c r="BA677" s="48" t="s">
        <v>1649</v>
      </c>
      <c r="BC677" s="29">
        <f>AW677+AX677</f>
        <v>0</v>
      </c>
      <c r="BD677" s="29">
        <f>G677/(100-BE677)*100</f>
        <v>11.8</v>
      </c>
      <c r="BE677" s="29">
        <v>0</v>
      </c>
      <c r="BF677" s="29">
        <f>L677</f>
        <v>0</v>
      </c>
      <c r="BH677" s="55">
        <f>F677*AO677</f>
        <v>0</v>
      </c>
      <c r="BI677" s="55">
        <f>F677*AP677</f>
        <v>0</v>
      </c>
      <c r="BJ677" s="55">
        <f>F677*G677</f>
        <v>0</v>
      </c>
    </row>
    <row r="678" spans="1:62" ht="12.75">
      <c r="A678" s="36" t="s">
        <v>1911</v>
      </c>
      <c r="B678" s="36" t="s">
        <v>61</v>
      </c>
      <c r="C678" s="36" t="s">
        <v>266</v>
      </c>
      <c r="D678" s="36" t="s">
        <v>456</v>
      </c>
      <c r="E678" s="36" t="s">
        <v>610</v>
      </c>
      <c r="F678" s="55">
        <f>'Stavební rozpočet'!F693</f>
        <v>0</v>
      </c>
      <c r="G678" s="55">
        <f>'Stavební rozpočet'!G693</f>
        <v>4.7</v>
      </c>
      <c r="H678" s="55">
        <f>F678*AO678</f>
        <v>0</v>
      </c>
      <c r="I678" s="55">
        <f>F678*AP678</f>
        <v>0</v>
      </c>
      <c r="J678" s="55">
        <f>F678*G678</f>
        <v>0</v>
      </c>
      <c r="K678" s="55">
        <f>'Stavební rozpočet'!K693</f>
        <v>0.00012</v>
      </c>
      <c r="L678" s="55">
        <f>F678*K678</f>
        <v>0</v>
      </c>
      <c r="M678" s="51" t="s">
        <v>622</v>
      </c>
      <c r="Z678" s="29">
        <f>IF(AQ678="5",BJ678,0)</f>
        <v>0</v>
      </c>
      <c r="AB678" s="29">
        <f>IF(AQ678="1",BH678,0)</f>
        <v>0</v>
      </c>
      <c r="AC678" s="29">
        <f>IF(AQ678="1",BI678,0)</f>
        <v>0</v>
      </c>
      <c r="AD678" s="29">
        <f>IF(AQ678="7",BH678,0)</f>
        <v>0</v>
      </c>
      <c r="AE678" s="29">
        <f>IF(AQ678="7",BI678,0)</f>
        <v>0</v>
      </c>
      <c r="AF678" s="29">
        <f>IF(AQ678="2",BH678,0)</f>
        <v>0</v>
      </c>
      <c r="AG678" s="29">
        <f>IF(AQ678="2",BI678,0)</f>
        <v>0</v>
      </c>
      <c r="AH678" s="29">
        <f>IF(AQ678="0",BJ678,0)</f>
        <v>0</v>
      </c>
      <c r="AI678" s="48" t="s">
        <v>61</v>
      </c>
      <c r="AJ678" s="55">
        <f>IF(AN678=0,J678,0)</f>
        <v>0</v>
      </c>
      <c r="AK678" s="55">
        <f>IF(AN678=15,J678,0)</f>
        <v>0</v>
      </c>
      <c r="AL678" s="55">
        <f>IF(AN678=21,J678,0)</f>
        <v>0</v>
      </c>
      <c r="AN678" s="29">
        <v>15</v>
      </c>
      <c r="AO678" s="29">
        <f>G678*0.929810701665825</f>
        <v>4.3701102978293775</v>
      </c>
      <c r="AP678" s="29">
        <f>G678*(1-0.929810701665825)</f>
        <v>0.3298897021706224</v>
      </c>
      <c r="AQ678" s="51" t="s">
        <v>79</v>
      </c>
      <c r="AV678" s="29">
        <f>AW678+AX678</f>
        <v>0</v>
      </c>
      <c r="AW678" s="29">
        <f>F678*AO678</f>
        <v>0</v>
      </c>
      <c r="AX678" s="29">
        <f>F678*AP678</f>
        <v>0</v>
      </c>
      <c r="AY678" s="54" t="s">
        <v>636</v>
      </c>
      <c r="AZ678" s="54" t="s">
        <v>1643</v>
      </c>
      <c r="BA678" s="48" t="s">
        <v>1649</v>
      </c>
      <c r="BC678" s="29">
        <f>AW678+AX678</f>
        <v>0</v>
      </c>
      <c r="BD678" s="29">
        <f>G678/(100-BE678)*100</f>
        <v>4.7</v>
      </c>
      <c r="BE678" s="29">
        <v>0</v>
      </c>
      <c r="BF678" s="29">
        <f>L678</f>
        <v>0</v>
      </c>
      <c r="BH678" s="55">
        <f>F678*AO678</f>
        <v>0</v>
      </c>
      <c r="BI678" s="55">
        <f>F678*AP678</f>
        <v>0</v>
      </c>
      <c r="BJ678" s="55">
        <f>F678*G678</f>
        <v>0</v>
      </c>
    </row>
    <row r="679" spans="1:62" ht="12.75">
      <c r="A679" s="36" t="s">
        <v>1912</v>
      </c>
      <c r="B679" s="36" t="s">
        <v>61</v>
      </c>
      <c r="C679" s="36" t="s">
        <v>267</v>
      </c>
      <c r="D679" s="36" t="s">
        <v>457</v>
      </c>
      <c r="E679" s="36" t="s">
        <v>610</v>
      </c>
      <c r="F679" s="55">
        <f>'Stavební rozpočet'!F694</f>
        <v>0</v>
      </c>
      <c r="G679" s="55">
        <f>'Stavební rozpočet'!G694</f>
        <v>6.9</v>
      </c>
      <c r="H679" s="55">
        <f>F679*AO679</f>
        <v>0</v>
      </c>
      <c r="I679" s="55">
        <f>F679*AP679</f>
        <v>0</v>
      </c>
      <c r="J679" s="55">
        <f>F679*G679</f>
        <v>0</v>
      </c>
      <c r="K679" s="55">
        <f>'Stavební rozpočet'!K694</f>
        <v>0</v>
      </c>
      <c r="L679" s="55">
        <f>F679*K679</f>
        <v>0</v>
      </c>
      <c r="M679" s="51" t="s">
        <v>622</v>
      </c>
      <c r="Z679" s="29">
        <f>IF(AQ679="5",BJ679,0)</f>
        <v>0</v>
      </c>
      <c r="AB679" s="29">
        <f>IF(AQ679="1",BH679,0)</f>
        <v>0</v>
      </c>
      <c r="AC679" s="29">
        <f>IF(AQ679="1",BI679,0)</f>
        <v>0</v>
      </c>
      <c r="AD679" s="29">
        <f>IF(AQ679="7",BH679,0)</f>
        <v>0</v>
      </c>
      <c r="AE679" s="29">
        <f>IF(AQ679="7",BI679,0)</f>
        <v>0</v>
      </c>
      <c r="AF679" s="29">
        <f>IF(AQ679="2",BH679,0)</f>
        <v>0</v>
      </c>
      <c r="AG679" s="29">
        <f>IF(AQ679="2",BI679,0)</f>
        <v>0</v>
      </c>
      <c r="AH679" s="29">
        <f>IF(AQ679="0",BJ679,0)</f>
        <v>0</v>
      </c>
      <c r="AI679" s="48" t="s">
        <v>61</v>
      </c>
      <c r="AJ679" s="55">
        <f>IF(AN679=0,J679,0)</f>
        <v>0</v>
      </c>
      <c r="AK679" s="55">
        <f>IF(AN679=15,J679,0)</f>
        <v>0</v>
      </c>
      <c r="AL679" s="55">
        <f>IF(AN679=21,J679,0)</f>
        <v>0</v>
      </c>
      <c r="AN679" s="29">
        <v>15</v>
      </c>
      <c r="AO679" s="29">
        <f>G679*0</f>
        <v>0</v>
      </c>
      <c r="AP679" s="29">
        <f>G679*(1-0)</f>
        <v>6.9</v>
      </c>
      <c r="AQ679" s="51" t="s">
        <v>79</v>
      </c>
      <c r="AV679" s="29">
        <f>AW679+AX679</f>
        <v>0</v>
      </c>
      <c r="AW679" s="29">
        <f>F679*AO679</f>
        <v>0</v>
      </c>
      <c r="AX679" s="29">
        <f>F679*AP679</f>
        <v>0</v>
      </c>
      <c r="AY679" s="54" t="s">
        <v>636</v>
      </c>
      <c r="AZ679" s="54" t="s">
        <v>1643</v>
      </c>
      <c r="BA679" s="48" t="s">
        <v>1649</v>
      </c>
      <c r="BC679" s="29">
        <f>AW679+AX679</f>
        <v>0</v>
      </c>
      <c r="BD679" s="29">
        <f>G679/(100-BE679)*100</f>
        <v>6.9</v>
      </c>
      <c r="BE679" s="29">
        <v>0</v>
      </c>
      <c r="BF679" s="29">
        <f>L679</f>
        <v>0</v>
      </c>
      <c r="BH679" s="55">
        <f>F679*AO679</f>
        <v>0</v>
      </c>
      <c r="BI679" s="55">
        <f>F679*AP679</f>
        <v>0</v>
      </c>
      <c r="BJ679" s="55">
        <f>F679*G679</f>
        <v>0</v>
      </c>
    </row>
    <row r="680" spans="1:47" ht="12.75">
      <c r="A680" s="35"/>
      <c r="B680" s="42" t="s">
        <v>61</v>
      </c>
      <c r="C680" s="42" t="s">
        <v>173</v>
      </c>
      <c r="D680" s="42" t="s">
        <v>458</v>
      </c>
      <c r="E680" s="35" t="s">
        <v>57</v>
      </c>
      <c r="F680" s="35" t="s">
        <v>57</v>
      </c>
      <c r="G680" s="35" t="s">
        <v>57</v>
      </c>
      <c r="H680" s="59">
        <f>SUM(H681:H684)</f>
        <v>0</v>
      </c>
      <c r="I680" s="59">
        <f>SUM(I681:I684)</f>
        <v>0</v>
      </c>
      <c r="J680" s="59">
        <f>SUM(J681:J684)</f>
        <v>0</v>
      </c>
      <c r="K680" s="48"/>
      <c r="L680" s="59">
        <f>SUM(L681:L684)</f>
        <v>0</v>
      </c>
      <c r="M680" s="48"/>
      <c r="AI680" s="48" t="s">
        <v>61</v>
      </c>
      <c r="AS680" s="59">
        <f>SUM(AJ681:AJ684)</f>
        <v>0</v>
      </c>
      <c r="AT680" s="59">
        <f>SUM(AK681:AK684)</f>
        <v>0</v>
      </c>
      <c r="AU680" s="59">
        <f>SUM(AL681:AL684)</f>
        <v>0</v>
      </c>
    </row>
    <row r="681" spans="1:62" ht="12.75">
      <c r="A681" s="36" t="s">
        <v>1913</v>
      </c>
      <c r="B681" s="36" t="s">
        <v>61</v>
      </c>
      <c r="C681" s="36" t="s">
        <v>268</v>
      </c>
      <c r="D681" s="36" t="s">
        <v>459</v>
      </c>
      <c r="E681" s="36" t="s">
        <v>608</v>
      </c>
      <c r="F681" s="55">
        <f>'Stavební rozpočet'!F696</f>
        <v>0</v>
      </c>
      <c r="G681" s="55">
        <f>'Stavební rozpočet'!G696</f>
        <v>86.5</v>
      </c>
      <c r="H681" s="55">
        <f>F681*AO681</f>
        <v>0</v>
      </c>
      <c r="I681" s="55">
        <f>F681*AP681</f>
        <v>0</v>
      </c>
      <c r="J681" s="55">
        <f>F681*G681</f>
        <v>0</v>
      </c>
      <c r="K681" s="55">
        <f>'Stavební rozpočet'!K696</f>
        <v>4E-05</v>
      </c>
      <c r="L681" s="55">
        <f>F681*K681</f>
        <v>0</v>
      </c>
      <c r="M681" s="51" t="s">
        <v>622</v>
      </c>
      <c r="Z681" s="29">
        <f>IF(AQ681="5",BJ681,0)</f>
        <v>0</v>
      </c>
      <c r="AB681" s="29">
        <f>IF(AQ681="1",BH681,0)</f>
        <v>0</v>
      </c>
      <c r="AC681" s="29">
        <f>IF(AQ681="1",BI681,0)</f>
        <v>0</v>
      </c>
      <c r="AD681" s="29">
        <f>IF(AQ681="7",BH681,0)</f>
        <v>0</v>
      </c>
      <c r="AE681" s="29">
        <f>IF(AQ681="7",BI681,0)</f>
        <v>0</v>
      </c>
      <c r="AF681" s="29">
        <f>IF(AQ681="2",BH681,0)</f>
        <v>0</v>
      </c>
      <c r="AG681" s="29">
        <f>IF(AQ681="2",BI681,0)</f>
        <v>0</v>
      </c>
      <c r="AH681" s="29">
        <f>IF(AQ681="0",BJ681,0)</f>
        <v>0</v>
      </c>
      <c r="AI681" s="48" t="s">
        <v>61</v>
      </c>
      <c r="AJ681" s="55">
        <f>IF(AN681=0,J681,0)</f>
        <v>0</v>
      </c>
      <c r="AK681" s="55">
        <f>IF(AN681=15,J681,0)</f>
        <v>0</v>
      </c>
      <c r="AL681" s="55">
        <f>IF(AN681=21,J681,0)</f>
        <v>0</v>
      </c>
      <c r="AN681" s="29">
        <v>15</v>
      </c>
      <c r="AO681" s="29">
        <f>G681*0.0165317919075145</f>
        <v>1.4300000000000044</v>
      </c>
      <c r="AP681" s="29">
        <f>G681*(1-0.0165317919075145)</f>
        <v>85.07</v>
      </c>
      <c r="AQ681" s="51" t="s">
        <v>79</v>
      </c>
      <c r="AV681" s="29">
        <f>AW681+AX681</f>
        <v>0</v>
      </c>
      <c r="AW681" s="29">
        <f>F681*AO681</f>
        <v>0</v>
      </c>
      <c r="AX681" s="29">
        <f>F681*AP681</f>
        <v>0</v>
      </c>
      <c r="AY681" s="54" t="s">
        <v>637</v>
      </c>
      <c r="AZ681" s="54" t="s">
        <v>1643</v>
      </c>
      <c r="BA681" s="48" t="s">
        <v>1649</v>
      </c>
      <c r="BC681" s="29">
        <f>AW681+AX681</f>
        <v>0</v>
      </c>
      <c r="BD681" s="29">
        <f>G681/(100-BE681)*100</f>
        <v>86.5</v>
      </c>
      <c r="BE681" s="29">
        <v>0</v>
      </c>
      <c r="BF681" s="29">
        <f>L681</f>
        <v>0</v>
      </c>
      <c r="BH681" s="55">
        <f>F681*AO681</f>
        <v>0</v>
      </c>
      <c r="BI681" s="55">
        <f>F681*AP681</f>
        <v>0</v>
      </c>
      <c r="BJ681" s="55">
        <f>F681*G681</f>
        <v>0</v>
      </c>
    </row>
    <row r="682" spans="1:62" ht="12.75">
      <c r="A682" s="36" t="s">
        <v>1914</v>
      </c>
      <c r="B682" s="36" t="s">
        <v>61</v>
      </c>
      <c r="C682" s="36" t="s">
        <v>269</v>
      </c>
      <c r="D682" s="36" t="s">
        <v>460</v>
      </c>
      <c r="E682" s="36" t="s">
        <v>606</v>
      </c>
      <c r="F682" s="55">
        <f>'Stavební rozpočet'!F697</f>
        <v>0</v>
      </c>
      <c r="G682" s="55">
        <f>'Stavební rozpočet'!G697</f>
        <v>1830</v>
      </c>
      <c r="H682" s="55">
        <f>F682*AO682</f>
        <v>0</v>
      </c>
      <c r="I682" s="55">
        <f>F682*AP682</f>
        <v>0</v>
      </c>
      <c r="J682" s="55">
        <f>F682*G682</f>
        <v>0</v>
      </c>
      <c r="K682" s="55">
        <f>'Stavební rozpočet'!K697</f>
        <v>0.0065</v>
      </c>
      <c r="L682" s="55">
        <f>F682*K682</f>
        <v>0</v>
      </c>
      <c r="M682" s="51" t="s">
        <v>622</v>
      </c>
      <c r="Z682" s="29">
        <f>IF(AQ682="5",BJ682,0)</f>
        <v>0</v>
      </c>
      <c r="AB682" s="29">
        <f>IF(AQ682="1",BH682,0)</f>
        <v>0</v>
      </c>
      <c r="AC682" s="29">
        <f>IF(AQ682="1",BI682,0)</f>
        <v>0</v>
      </c>
      <c r="AD682" s="29">
        <f>IF(AQ682="7",BH682,0)</f>
        <v>0</v>
      </c>
      <c r="AE682" s="29">
        <f>IF(AQ682="7",BI682,0)</f>
        <v>0</v>
      </c>
      <c r="AF682" s="29">
        <f>IF(AQ682="2",BH682,0)</f>
        <v>0</v>
      </c>
      <c r="AG682" s="29">
        <f>IF(AQ682="2",BI682,0)</f>
        <v>0</v>
      </c>
      <c r="AH682" s="29">
        <f>IF(AQ682="0",BJ682,0)</f>
        <v>0</v>
      </c>
      <c r="AI682" s="48" t="s">
        <v>61</v>
      </c>
      <c r="AJ682" s="55">
        <f>IF(AN682=0,J682,0)</f>
        <v>0</v>
      </c>
      <c r="AK682" s="55">
        <f>IF(AN682=15,J682,0)</f>
        <v>0</v>
      </c>
      <c r="AL682" s="55">
        <f>IF(AN682=21,J682,0)</f>
        <v>0</v>
      </c>
      <c r="AN682" s="29">
        <v>15</v>
      </c>
      <c r="AO682" s="29">
        <f>G682*0.196715846994536</f>
        <v>359.9900000000009</v>
      </c>
      <c r="AP682" s="29">
        <f>G682*(1-0.196715846994536)</f>
        <v>1470.009999999999</v>
      </c>
      <c r="AQ682" s="51" t="s">
        <v>79</v>
      </c>
      <c r="AV682" s="29">
        <f>AW682+AX682</f>
        <v>0</v>
      </c>
      <c r="AW682" s="29">
        <f>F682*AO682</f>
        <v>0</v>
      </c>
      <c r="AX682" s="29">
        <f>F682*AP682</f>
        <v>0</v>
      </c>
      <c r="AY682" s="54" t="s">
        <v>637</v>
      </c>
      <c r="AZ682" s="54" t="s">
        <v>1643</v>
      </c>
      <c r="BA682" s="48" t="s">
        <v>1649</v>
      </c>
      <c r="BC682" s="29">
        <f>AW682+AX682</f>
        <v>0</v>
      </c>
      <c r="BD682" s="29">
        <f>G682/(100-BE682)*100</f>
        <v>1830</v>
      </c>
      <c r="BE682" s="29">
        <v>0</v>
      </c>
      <c r="BF682" s="29">
        <f>L682</f>
        <v>0</v>
      </c>
      <c r="BH682" s="55">
        <f>F682*AO682</f>
        <v>0</v>
      </c>
      <c r="BI682" s="55">
        <f>F682*AP682</f>
        <v>0</v>
      </c>
      <c r="BJ682" s="55">
        <f>F682*G682</f>
        <v>0</v>
      </c>
    </row>
    <row r="683" spans="1:62" ht="12.75">
      <c r="A683" s="36" t="s">
        <v>1915</v>
      </c>
      <c r="B683" s="36" t="s">
        <v>61</v>
      </c>
      <c r="C683" s="36" t="s">
        <v>270</v>
      </c>
      <c r="D683" s="36" t="s">
        <v>461</v>
      </c>
      <c r="E683" s="36" t="s">
        <v>606</v>
      </c>
      <c r="F683" s="55">
        <f>'Stavební rozpočet'!F698</f>
        <v>0</v>
      </c>
      <c r="G683" s="55">
        <f>'Stavební rozpočet'!G698</f>
        <v>1500</v>
      </c>
      <c r="H683" s="55">
        <f>F683*AO683</f>
        <v>0</v>
      </c>
      <c r="I683" s="55">
        <f>F683*AP683</f>
        <v>0</v>
      </c>
      <c r="J683" s="55">
        <f>F683*G683</f>
        <v>0</v>
      </c>
      <c r="K683" s="55">
        <f>'Stavební rozpočet'!K698</f>
        <v>0.0005</v>
      </c>
      <c r="L683" s="55">
        <f>F683*K683</f>
        <v>0</v>
      </c>
      <c r="M683" s="51" t="s">
        <v>622</v>
      </c>
      <c r="Z683" s="29">
        <f>IF(AQ683="5",BJ683,0)</f>
        <v>0</v>
      </c>
      <c r="AB683" s="29">
        <f>IF(AQ683="1",BH683,0)</f>
        <v>0</v>
      </c>
      <c r="AC683" s="29">
        <f>IF(AQ683="1",BI683,0)</f>
        <v>0</v>
      </c>
      <c r="AD683" s="29">
        <f>IF(AQ683="7",BH683,0)</f>
        <v>0</v>
      </c>
      <c r="AE683" s="29">
        <f>IF(AQ683="7",BI683,0)</f>
        <v>0</v>
      </c>
      <c r="AF683" s="29">
        <f>IF(AQ683="2",BH683,0)</f>
        <v>0</v>
      </c>
      <c r="AG683" s="29">
        <f>IF(AQ683="2",BI683,0)</f>
        <v>0</v>
      </c>
      <c r="AH683" s="29">
        <f>IF(AQ683="0",BJ683,0)</f>
        <v>0</v>
      </c>
      <c r="AI683" s="48" t="s">
        <v>61</v>
      </c>
      <c r="AJ683" s="55">
        <f>IF(AN683=0,J683,0)</f>
        <v>0</v>
      </c>
      <c r="AK683" s="55">
        <f>IF(AN683=15,J683,0)</f>
        <v>0</v>
      </c>
      <c r="AL683" s="55">
        <f>IF(AN683=21,J683,0)</f>
        <v>0</v>
      </c>
      <c r="AN683" s="29">
        <v>15</v>
      </c>
      <c r="AO683" s="29">
        <f>G683*0.196713333333333</f>
        <v>295.0699999999995</v>
      </c>
      <c r="AP683" s="29">
        <f>G683*(1-0.196713333333333)</f>
        <v>1204.9300000000005</v>
      </c>
      <c r="AQ683" s="51" t="s">
        <v>79</v>
      </c>
      <c r="AV683" s="29">
        <f>AW683+AX683</f>
        <v>0</v>
      </c>
      <c r="AW683" s="29">
        <f>F683*AO683</f>
        <v>0</v>
      </c>
      <c r="AX683" s="29">
        <f>F683*AP683</f>
        <v>0</v>
      </c>
      <c r="AY683" s="54" t="s">
        <v>637</v>
      </c>
      <c r="AZ683" s="54" t="s">
        <v>1643</v>
      </c>
      <c r="BA683" s="48" t="s">
        <v>1649</v>
      </c>
      <c r="BC683" s="29">
        <f>AW683+AX683</f>
        <v>0</v>
      </c>
      <c r="BD683" s="29">
        <f>G683/(100-BE683)*100</f>
        <v>1500</v>
      </c>
      <c r="BE683" s="29">
        <v>0</v>
      </c>
      <c r="BF683" s="29">
        <f>L683</f>
        <v>0</v>
      </c>
      <c r="BH683" s="55">
        <f>F683*AO683</f>
        <v>0</v>
      </c>
      <c r="BI683" s="55">
        <f>F683*AP683</f>
        <v>0</v>
      </c>
      <c r="BJ683" s="55">
        <f>F683*G683</f>
        <v>0</v>
      </c>
    </row>
    <row r="684" spans="1:62" ht="12.75">
      <c r="A684" s="36" t="s">
        <v>1916</v>
      </c>
      <c r="B684" s="36" t="s">
        <v>61</v>
      </c>
      <c r="C684" s="36" t="s">
        <v>271</v>
      </c>
      <c r="D684" s="36" t="s">
        <v>462</v>
      </c>
      <c r="E684" s="36" t="s">
        <v>611</v>
      </c>
      <c r="F684" s="55">
        <f>'Stavební rozpočet'!F699</f>
        <v>0</v>
      </c>
      <c r="G684" s="55">
        <f>'Stavební rozpočet'!G699</f>
        <v>290</v>
      </c>
      <c r="H684" s="55">
        <f>F684*AO684</f>
        <v>0</v>
      </c>
      <c r="I684" s="55">
        <f>F684*AP684</f>
        <v>0</v>
      </c>
      <c r="J684" s="55">
        <f>F684*G684</f>
        <v>0</v>
      </c>
      <c r="K684" s="55">
        <f>'Stavební rozpočet'!K699</f>
        <v>0</v>
      </c>
      <c r="L684" s="55">
        <f>F684*K684</f>
        <v>0</v>
      </c>
      <c r="M684" s="51" t="s">
        <v>622</v>
      </c>
      <c r="Z684" s="29">
        <f>IF(AQ684="5",BJ684,0)</f>
        <v>0</v>
      </c>
      <c r="AB684" s="29">
        <f>IF(AQ684="1",BH684,0)</f>
        <v>0</v>
      </c>
      <c r="AC684" s="29">
        <f>IF(AQ684="1",BI684,0)</f>
        <v>0</v>
      </c>
      <c r="AD684" s="29">
        <f>IF(AQ684="7",BH684,0)</f>
        <v>0</v>
      </c>
      <c r="AE684" s="29">
        <f>IF(AQ684="7",BI684,0)</f>
        <v>0</v>
      </c>
      <c r="AF684" s="29">
        <f>IF(AQ684="2",BH684,0)</f>
        <v>0</v>
      </c>
      <c r="AG684" s="29">
        <f>IF(AQ684="2",BI684,0)</f>
        <v>0</v>
      </c>
      <c r="AH684" s="29">
        <f>IF(AQ684="0",BJ684,0)</f>
        <v>0</v>
      </c>
      <c r="AI684" s="48" t="s">
        <v>61</v>
      </c>
      <c r="AJ684" s="55">
        <f>IF(AN684=0,J684,0)</f>
        <v>0</v>
      </c>
      <c r="AK684" s="55">
        <f>IF(AN684=15,J684,0)</f>
        <v>0</v>
      </c>
      <c r="AL684" s="55">
        <f>IF(AN684=21,J684,0)</f>
        <v>0</v>
      </c>
      <c r="AN684" s="29">
        <v>15</v>
      </c>
      <c r="AO684" s="29">
        <f>G684*0.469344827586207</f>
        <v>136.11</v>
      </c>
      <c r="AP684" s="29">
        <f>G684*(1-0.469344827586207)</f>
        <v>153.89</v>
      </c>
      <c r="AQ684" s="51" t="s">
        <v>79</v>
      </c>
      <c r="AV684" s="29">
        <f>AW684+AX684</f>
        <v>0</v>
      </c>
      <c r="AW684" s="29">
        <f>F684*AO684</f>
        <v>0</v>
      </c>
      <c r="AX684" s="29">
        <f>F684*AP684</f>
        <v>0</v>
      </c>
      <c r="AY684" s="54" t="s">
        <v>637</v>
      </c>
      <c r="AZ684" s="54" t="s">
        <v>1643</v>
      </c>
      <c r="BA684" s="48" t="s">
        <v>1649</v>
      </c>
      <c r="BC684" s="29">
        <f>AW684+AX684</f>
        <v>0</v>
      </c>
      <c r="BD684" s="29">
        <f>G684/(100-BE684)*100</f>
        <v>290</v>
      </c>
      <c r="BE684" s="29">
        <v>0</v>
      </c>
      <c r="BF684" s="29">
        <f>L684</f>
        <v>0</v>
      </c>
      <c r="BH684" s="55">
        <f>F684*AO684</f>
        <v>0</v>
      </c>
      <c r="BI684" s="55">
        <f>F684*AP684</f>
        <v>0</v>
      </c>
      <c r="BJ684" s="55">
        <f>F684*G684</f>
        <v>0</v>
      </c>
    </row>
    <row r="685" spans="1:47" ht="12.75">
      <c r="A685" s="35"/>
      <c r="B685" s="42" t="s">
        <v>61</v>
      </c>
      <c r="C685" s="42" t="s">
        <v>174</v>
      </c>
      <c r="D685" s="42" t="s">
        <v>463</v>
      </c>
      <c r="E685" s="35" t="s">
        <v>57</v>
      </c>
      <c r="F685" s="35" t="s">
        <v>57</v>
      </c>
      <c r="G685" s="35" t="s">
        <v>57</v>
      </c>
      <c r="H685" s="59">
        <f>SUM(H686:H695)</f>
        <v>0</v>
      </c>
      <c r="I685" s="59">
        <f>SUM(I686:I695)</f>
        <v>0</v>
      </c>
      <c r="J685" s="59">
        <f>SUM(J686:J695)</f>
        <v>0</v>
      </c>
      <c r="K685" s="48"/>
      <c r="L685" s="59">
        <f>SUM(L686:L695)</f>
        <v>0</v>
      </c>
      <c r="M685" s="48"/>
      <c r="AI685" s="48" t="s">
        <v>61</v>
      </c>
      <c r="AS685" s="59">
        <f>SUM(AJ686:AJ695)</f>
        <v>0</v>
      </c>
      <c r="AT685" s="59">
        <f>SUM(AK686:AK695)</f>
        <v>0</v>
      </c>
      <c r="AU685" s="59">
        <f>SUM(AL686:AL695)</f>
        <v>0</v>
      </c>
    </row>
    <row r="686" spans="1:62" ht="12.75">
      <c r="A686" s="36" t="s">
        <v>1917</v>
      </c>
      <c r="B686" s="36" t="s">
        <v>61</v>
      </c>
      <c r="C686" s="36" t="s">
        <v>1551</v>
      </c>
      <c r="D686" s="36" t="s">
        <v>1595</v>
      </c>
      <c r="E686" s="36" t="s">
        <v>608</v>
      </c>
      <c r="F686" s="55">
        <f>'Stavební rozpočet'!F701</f>
        <v>0</v>
      </c>
      <c r="G686" s="55">
        <f>'Stavební rozpočet'!G701</f>
        <v>87.7</v>
      </c>
      <c r="H686" s="55">
        <f aca="true" t="shared" si="708" ref="H686:H695">F686*AO686</f>
        <v>0</v>
      </c>
      <c r="I686" s="55">
        <f aca="true" t="shared" si="709" ref="I686:I695">F686*AP686</f>
        <v>0</v>
      </c>
      <c r="J686" s="55">
        <f aca="true" t="shared" si="710" ref="J686:J695">F686*G686</f>
        <v>0</v>
      </c>
      <c r="K686" s="55">
        <f>'Stavební rozpočet'!K701</f>
        <v>0.13167</v>
      </c>
      <c r="L686" s="55">
        <f aca="true" t="shared" si="711" ref="L686:L695">F686*K686</f>
        <v>0</v>
      </c>
      <c r="M686" s="51" t="s">
        <v>622</v>
      </c>
      <c r="Z686" s="29">
        <f aca="true" t="shared" si="712" ref="Z686:Z695">IF(AQ686="5",BJ686,0)</f>
        <v>0</v>
      </c>
      <c r="AB686" s="29">
        <f aca="true" t="shared" si="713" ref="AB686:AB695">IF(AQ686="1",BH686,0)</f>
        <v>0</v>
      </c>
      <c r="AC686" s="29">
        <f aca="true" t="shared" si="714" ref="AC686:AC695">IF(AQ686="1",BI686,0)</f>
        <v>0</v>
      </c>
      <c r="AD686" s="29">
        <f aca="true" t="shared" si="715" ref="AD686:AD695">IF(AQ686="7",BH686,0)</f>
        <v>0</v>
      </c>
      <c r="AE686" s="29">
        <f aca="true" t="shared" si="716" ref="AE686:AE695">IF(AQ686="7",BI686,0)</f>
        <v>0</v>
      </c>
      <c r="AF686" s="29">
        <f aca="true" t="shared" si="717" ref="AF686:AF695">IF(AQ686="2",BH686,0)</f>
        <v>0</v>
      </c>
      <c r="AG686" s="29">
        <f aca="true" t="shared" si="718" ref="AG686:AG695">IF(AQ686="2",BI686,0)</f>
        <v>0</v>
      </c>
      <c r="AH686" s="29">
        <f aca="true" t="shared" si="719" ref="AH686:AH695">IF(AQ686="0",BJ686,0)</f>
        <v>0</v>
      </c>
      <c r="AI686" s="48" t="s">
        <v>61</v>
      </c>
      <c r="AJ686" s="55">
        <f aca="true" t="shared" si="720" ref="AJ686:AJ695">IF(AN686=0,J686,0)</f>
        <v>0</v>
      </c>
      <c r="AK686" s="55">
        <f aca="true" t="shared" si="721" ref="AK686:AK695">IF(AN686=15,J686,0)</f>
        <v>0</v>
      </c>
      <c r="AL686" s="55">
        <f aca="true" t="shared" si="722" ref="AL686:AL695">IF(AN686=21,J686,0)</f>
        <v>0</v>
      </c>
      <c r="AN686" s="29">
        <v>15</v>
      </c>
      <c r="AO686" s="29">
        <f>G686*0.180615655853315</f>
        <v>15.839993018335726</v>
      </c>
      <c r="AP686" s="29">
        <f>G686*(1-0.180615655853315)</f>
        <v>71.86000698166428</v>
      </c>
      <c r="AQ686" s="51" t="s">
        <v>79</v>
      </c>
      <c r="AV686" s="29">
        <f aca="true" t="shared" si="723" ref="AV686:AV695">AW686+AX686</f>
        <v>0</v>
      </c>
      <c r="AW686" s="29">
        <f aca="true" t="shared" si="724" ref="AW686:AW695">F686*AO686</f>
        <v>0</v>
      </c>
      <c r="AX686" s="29">
        <f aca="true" t="shared" si="725" ref="AX686:AX695">F686*AP686</f>
        <v>0</v>
      </c>
      <c r="AY686" s="54" t="s">
        <v>638</v>
      </c>
      <c r="AZ686" s="54" t="s">
        <v>1643</v>
      </c>
      <c r="BA686" s="48" t="s">
        <v>1649</v>
      </c>
      <c r="BC686" s="29">
        <f aca="true" t="shared" si="726" ref="BC686:BC695">AW686+AX686</f>
        <v>0</v>
      </c>
      <c r="BD686" s="29">
        <f aca="true" t="shared" si="727" ref="BD686:BD695">G686/(100-BE686)*100</f>
        <v>87.7</v>
      </c>
      <c r="BE686" s="29">
        <v>0</v>
      </c>
      <c r="BF686" s="29">
        <f aca="true" t="shared" si="728" ref="BF686:BF695">L686</f>
        <v>0</v>
      </c>
      <c r="BH686" s="55">
        <f aca="true" t="shared" si="729" ref="BH686:BH695">F686*AO686</f>
        <v>0</v>
      </c>
      <c r="BI686" s="55">
        <f aca="true" t="shared" si="730" ref="BI686:BI695">F686*AP686</f>
        <v>0</v>
      </c>
      <c r="BJ686" s="55">
        <f aca="true" t="shared" si="731" ref="BJ686:BJ695">F686*G686</f>
        <v>0</v>
      </c>
    </row>
    <row r="687" spans="1:62" ht="12.75">
      <c r="A687" s="36" t="s">
        <v>1918</v>
      </c>
      <c r="B687" s="36" t="s">
        <v>61</v>
      </c>
      <c r="C687" s="36" t="s">
        <v>1552</v>
      </c>
      <c r="D687" s="36" t="s">
        <v>1596</v>
      </c>
      <c r="E687" s="36" t="s">
        <v>608</v>
      </c>
      <c r="F687" s="55">
        <f>'Stavební rozpočet'!F702</f>
        <v>0</v>
      </c>
      <c r="G687" s="55">
        <f>'Stavební rozpočet'!G702</f>
        <v>106.5</v>
      </c>
      <c r="H687" s="55">
        <f t="shared" si="708"/>
        <v>0</v>
      </c>
      <c r="I687" s="55">
        <f t="shared" si="709"/>
        <v>0</v>
      </c>
      <c r="J687" s="55">
        <f t="shared" si="710"/>
        <v>0</v>
      </c>
      <c r="K687" s="55">
        <f>'Stavební rozpočet'!K702</f>
        <v>0.26167</v>
      </c>
      <c r="L687" s="55">
        <f t="shared" si="711"/>
        <v>0</v>
      </c>
      <c r="M687" s="51" t="s">
        <v>622</v>
      </c>
      <c r="Z687" s="29">
        <f t="shared" si="712"/>
        <v>0</v>
      </c>
      <c r="AB687" s="29">
        <f t="shared" si="713"/>
        <v>0</v>
      </c>
      <c r="AC687" s="29">
        <f t="shared" si="714"/>
        <v>0</v>
      </c>
      <c r="AD687" s="29">
        <f t="shared" si="715"/>
        <v>0</v>
      </c>
      <c r="AE687" s="29">
        <f t="shared" si="716"/>
        <v>0</v>
      </c>
      <c r="AF687" s="29">
        <f t="shared" si="717"/>
        <v>0</v>
      </c>
      <c r="AG687" s="29">
        <f t="shared" si="718"/>
        <v>0</v>
      </c>
      <c r="AH687" s="29">
        <f t="shared" si="719"/>
        <v>0</v>
      </c>
      <c r="AI687" s="48" t="s">
        <v>61</v>
      </c>
      <c r="AJ687" s="55">
        <f t="shared" si="720"/>
        <v>0</v>
      </c>
      <c r="AK687" s="55">
        <f t="shared" si="721"/>
        <v>0</v>
      </c>
      <c r="AL687" s="55">
        <f t="shared" si="722"/>
        <v>0</v>
      </c>
      <c r="AN687" s="29">
        <v>15</v>
      </c>
      <c r="AO687" s="29">
        <f>G687*0.148732496065204</f>
        <v>15.840010830944227</v>
      </c>
      <c r="AP687" s="29">
        <f>G687*(1-0.148732496065204)</f>
        <v>90.65998916905578</v>
      </c>
      <c r="AQ687" s="51" t="s">
        <v>79</v>
      </c>
      <c r="AV687" s="29">
        <f t="shared" si="723"/>
        <v>0</v>
      </c>
      <c r="AW687" s="29">
        <f t="shared" si="724"/>
        <v>0</v>
      </c>
      <c r="AX687" s="29">
        <f t="shared" si="725"/>
        <v>0</v>
      </c>
      <c r="AY687" s="54" t="s">
        <v>638</v>
      </c>
      <c r="AZ687" s="54" t="s">
        <v>1643</v>
      </c>
      <c r="BA687" s="48" t="s">
        <v>1649</v>
      </c>
      <c r="BC687" s="29">
        <f t="shared" si="726"/>
        <v>0</v>
      </c>
      <c r="BD687" s="29">
        <f t="shared" si="727"/>
        <v>106.5</v>
      </c>
      <c r="BE687" s="29">
        <v>0</v>
      </c>
      <c r="BF687" s="29">
        <f t="shared" si="728"/>
        <v>0</v>
      </c>
      <c r="BH687" s="55">
        <f t="shared" si="729"/>
        <v>0</v>
      </c>
      <c r="BI687" s="55">
        <f t="shared" si="730"/>
        <v>0</v>
      </c>
      <c r="BJ687" s="55">
        <f t="shared" si="731"/>
        <v>0</v>
      </c>
    </row>
    <row r="688" spans="1:62" ht="12.75">
      <c r="A688" s="36" t="s">
        <v>1919</v>
      </c>
      <c r="B688" s="36" t="s">
        <v>61</v>
      </c>
      <c r="C688" s="36" t="s">
        <v>1553</v>
      </c>
      <c r="D688" s="36" t="s">
        <v>1597</v>
      </c>
      <c r="E688" s="36" t="s">
        <v>610</v>
      </c>
      <c r="F688" s="55">
        <f>'Stavební rozpočet'!F703</f>
        <v>0</v>
      </c>
      <c r="G688" s="55">
        <f>'Stavební rozpočet'!G703</f>
        <v>2140</v>
      </c>
      <c r="H688" s="55">
        <f t="shared" si="708"/>
        <v>0</v>
      </c>
      <c r="I688" s="55">
        <f t="shared" si="709"/>
        <v>0</v>
      </c>
      <c r="J688" s="55">
        <f t="shared" si="710"/>
        <v>0</v>
      </c>
      <c r="K688" s="55">
        <f>'Stavební rozpočet'!K703</f>
        <v>2.2</v>
      </c>
      <c r="L688" s="55">
        <f t="shared" si="711"/>
        <v>0</v>
      </c>
      <c r="M688" s="51" t="s">
        <v>622</v>
      </c>
      <c r="Z688" s="29">
        <f t="shared" si="712"/>
        <v>0</v>
      </c>
      <c r="AB688" s="29">
        <f t="shared" si="713"/>
        <v>0</v>
      </c>
      <c r="AC688" s="29">
        <f t="shared" si="714"/>
        <v>0</v>
      </c>
      <c r="AD688" s="29">
        <f t="shared" si="715"/>
        <v>0</v>
      </c>
      <c r="AE688" s="29">
        <f t="shared" si="716"/>
        <v>0</v>
      </c>
      <c r="AF688" s="29">
        <f t="shared" si="717"/>
        <v>0</v>
      </c>
      <c r="AG688" s="29">
        <f t="shared" si="718"/>
        <v>0</v>
      </c>
      <c r="AH688" s="29">
        <f t="shared" si="719"/>
        <v>0</v>
      </c>
      <c r="AI688" s="48" t="s">
        <v>61</v>
      </c>
      <c r="AJ688" s="55">
        <f t="shared" si="720"/>
        <v>0</v>
      </c>
      <c r="AK688" s="55">
        <f t="shared" si="721"/>
        <v>0</v>
      </c>
      <c r="AL688" s="55">
        <f t="shared" si="722"/>
        <v>0</v>
      </c>
      <c r="AN688" s="29">
        <v>15</v>
      </c>
      <c r="AO688" s="29">
        <f>G688*0</f>
        <v>0</v>
      </c>
      <c r="AP688" s="29">
        <f>G688*(1-0)</f>
        <v>2140</v>
      </c>
      <c r="AQ688" s="51" t="s">
        <v>79</v>
      </c>
      <c r="AV688" s="29">
        <f t="shared" si="723"/>
        <v>0</v>
      </c>
      <c r="AW688" s="29">
        <f t="shared" si="724"/>
        <v>0</v>
      </c>
      <c r="AX688" s="29">
        <f t="shared" si="725"/>
        <v>0</v>
      </c>
      <c r="AY688" s="54" t="s">
        <v>638</v>
      </c>
      <c r="AZ688" s="54" t="s">
        <v>1643</v>
      </c>
      <c r="BA688" s="48" t="s">
        <v>1649</v>
      </c>
      <c r="BC688" s="29">
        <f t="shared" si="726"/>
        <v>0</v>
      </c>
      <c r="BD688" s="29">
        <f t="shared" si="727"/>
        <v>2140</v>
      </c>
      <c r="BE688" s="29">
        <v>0</v>
      </c>
      <c r="BF688" s="29">
        <f t="shared" si="728"/>
        <v>0</v>
      </c>
      <c r="BH688" s="55">
        <f t="shared" si="729"/>
        <v>0</v>
      </c>
      <c r="BI688" s="55">
        <f t="shared" si="730"/>
        <v>0</v>
      </c>
      <c r="BJ688" s="55">
        <f t="shared" si="731"/>
        <v>0</v>
      </c>
    </row>
    <row r="689" spans="1:62" ht="12.75">
      <c r="A689" s="36" t="s">
        <v>1920</v>
      </c>
      <c r="B689" s="36" t="s">
        <v>61</v>
      </c>
      <c r="C689" s="36" t="s">
        <v>953</v>
      </c>
      <c r="D689" s="36" t="s">
        <v>1598</v>
      </c>
      <c r="E689" s="36" t="s">
        <v>610</v>
      </c>
      <c r="F689" s="55">
        <f>'Stavební rozpočet'!F704</f>
        <v>0</v>
      </c>
      <c r="G689" s="55">
        <f>'Stavební rozpočet'!G704</f>
        <v>1757</v>
      </c>
      <c r="H689" s="55">
        <f t="shared" si="708"/>
        <v>0</v>
      </c>
      <c r="I689" s="55">
        <f t="shared" si="709"/>
        <v>0</v>
      </c>
      <c r="J689" s="55">
        <f t="shared" si="710"/>
        <v>0</v>
      </c>
      <c r="K689" s="55">
        <f>'Stavební rozpočet'!K704</f>
        <v>2.2</v>
      </c>
      <c r="L689" s="55">
        <f t="shared" si="711"/>
        <v>0</v>
      </c>
      <c r="M689" s="51" t="s">
        <v>622</v>
      </c>
      <c r="Z689" s="29">
        <f t="shared" si="712"/>
        <v>0</v>
      </c>
      <c r="AB689" s="29">
        <f t="shared" si="713"/>
        <v>0</v>
      </c>
      <c r="AC689" s="29">
        <f t="shared" si="714"/>
        <v>0</v>
      </c>
      <c r="AD689" s="29">
        <f t="shared" si="715"/>
        <v>0</v>
      </c>
      <c r="AE689" s="29">
        <f t="shared" si="716"/>
        <v>0</v>
      </c>
      <c r="AF689" s="29">
        <f t="shared" si="717"/>
        <v>0</v>
      </c>
      <c r="AG689" s="29">
        <f t="shared" si="718"/>
        <v>0</v>
      </c>
      <c r="AH689" s="29">
        <f t="shared" si="719"/>
        <v>0</v>
      </c>
      <c r="AI689" s="48" t="s">
        <v>61</v>
      </c>
      <c r="AJ689" s="55">
        <f t="shared" si="720"/>
        <v>0</v>
      </c>
      <c r="AK689" s="55">
        <f t="shared" si="721"/>
        <v>0</v>
      </c>
      <c r="AL689" s="55">
        <f t="shared" si="722"/>
        <v>0</v>
      </c>
      <c r="AN689" s="29">
        <v>15</v>
      </c>
      <c r="AO689" s="29">
        <f>G689*0</f>
        <v>0</v>
      </c>
      <c r="AP689" s="29">
        <f>G689*(1-0)</f>
        <v>1757</v>
      </c>
      <c r="AQ689" s="51" t="s">
        <v>79</v>
      </c>
      <c r="AV689" s="29">
        <f t="shared" si="723"/>
        <v>0</v>
      </c>
      <c r="AW689" s="29">
        <f t="shared" si="724"/>
        <v>0</v>
      </c>
      <c r="AX689" s="29">
        <f t="shared" si="725"/>
        <v>0</v>
      </c>
      <c r="AY689" s="54" t="s">
        <v>638</v>
      </c>
      <c r="AZ689" s="54" t="s">
        <v>1643</v>
      </c>
      <c r="BA689" s="48" t="s">
        <v>1649</v>
      </c>
      <c r="BC689" s="29">
        <f t="shared" si="726"/>
        <v>0</v>
      </c>
      <c r="BD689" s="29">
        <f t="shared" si="727"/>
        <v>1757</v>
      </c>
      <c r="BE689" s="29">
        <v>0</v>
      </c>
      <c r="BF689" s="29">
        <f t="shared" si="728"/>
        <v>0</v>
      </c>
      <c r="BH689" s="55">
        <f t="shared" si="729"/>
        <v>0</v>
      </c>
      <c r="BI689" s="55">
        <f t="shared" si="730"/>
        <v>0</v>
      </c>
      <c r="BJ689" s="55">
        <f t="shared" si="731"/>
        <v>0</v>
      </c>
    </row>
    <row r="690" spans="1:62" ht="12.75">
      <c r="A690" s="36" t="s">
        <v>1921</v>
      </c>
      <c r="B690" s="36" t="s">
        <v>61</v>
      </c>
      <c r="C690" s="36" t="s">
        <v>955</v>
      </c>
      <c r="D690" s="36" t="s">
        <v>1244</v>
      </c>
      <c r="E690" s="36" t="s">
        <v>610</v>
      </c>
      <c r="F690" s="55">
        <f>'Stavební rozpočet'!F705</f>
        <v>0</v>
      </c>
      <c r="G690" s="55">
        <f>'Stavební rozpočet'!G705</f>
        <v>1332</v>
      </c>
      <c r="H690" s="55">
        <f t="shared" si="708"/>
        <v>0</v>
      </c>
      <c r="I690" s="55">
        <f t="shared" si="709"/>
        <v>0</v>
      </c>
      <c r="J690" s="55">
        <f t="shared" si="710"/>
        <v>0</v>
      </c>
      <c r="K690" s="55">
        <f>'Stavební rozpočet'!K705</f>
        <v>0</v>
      </c>
      <c r="L690" s="55">
        <f t="shared" si="711"/>
        <v>0</v>
      </c>
      <c r="M690" s="51" t="s">
        <v>622</v>
      </c>
      <c r="Z690" s="29">
        <f t="shared" si="712"/>
        <v>0</v>
      </c>
      <c r="AB690" s="29">
        <f t="shared" si="713"/>
        <v>0</v>
      </c>
      <c r="AC690" s="29">
        <f t="shared" si="714"/>
        <v>0</v>
      </c>
      <c r="AD690" s="29">
        <f t="shared" si="715"/>
        <v>0</v>
      </c>
      <c r="AE690" s="29">
        <f t="shared" si="716"/>
        <v>0</v>
      </c>
      <c r="AF690" s="29">
        <f t="shared" si="717"/>
        <v>0</v>
      </c>
      <c r="AG690" s="29">
        <f t="shared" si="718"/>
        <v>0</v>
      </c>
      <c r="AH690" s="29">
        <f t="shared" si="719"/>
        <v>0</v>
      </c>
      <c r="AI690" s="48" t="s">
        <v>61</v>
      </c>
      <c r="AJ690" s="55">
        <f t="shared" si="720"/>
        <v>0</v>
      </c>
      <c r="AK690" s="55">
        <f t="shared" si="721"/>
        <v>0</v>
      </c>
      <c r="AL690" s="55">
        <f t="shared" si="722"/>
        <v>0</v>
      </c>
      <c r="AN690" s="29">
        <v>15</v>
      </c>
      <c r="AO690" s="29">
        <f>G690*0</f>
        <v>0</v>
      </c>
      <c r="AP690" s="29">
        <f>G690*(1-0)</f>
        <v>1332</v>
      </c>
      <c r="AQ690" s="51" t="s">
        <v>79</v>
      </c>
      <c r="AV690" s="29">
        <f t="shared" si="723"/>
        <v>0</v>
      </c>
      <c r="AW690" s="29">
        <f t="shared" si="724"/>
        <v>0</v>
      </c>
      <c r="AX690" s="29">
        <f t="shared" si="725"/>
        <v>0</v>
      </c>
      <c r="AY690" s="54" t="s">
        <v>638</v>
      </c>
      <c r="AZ690" s="54" t="s">
        <v>1643</v>
      </c>
      <c r="BA690" s="48" t="s">
        <v>1649</v>
      </c>
      <c r="BC690" s="29">
        <f t="shared" si="726"/>
        <v>0</v>
      </c>
      <c r="BD690" s="29">
        <f t="shared" si="727"/>
        <v>1332</v>
      </c>
      <c r="BE690" s="29">
        <v>0</v>
      </c>
      <c r="BF690" s="29">
        <f t="shared" si="728"/>
        <v>0</v>
      </c>
      <c r="BH690" s="55">
        <f t="shared" si="729"/>
        <v>0</v>
      </c>
      <c r="BI690" s="55">
        <f t="shared" si="730"/>
        <v>0</v>
      </c>
      <c r="BJ690" s="55">
        <f t="shared" si="731"/>
        <v>0</v>
      </c>
    </row>
    <row r="691" spans="1:62" ht="12.75">
      <c r="A691" s="36" t="s">
        <v>1922</v>
      </c>
      <c r="B691" s="36" t="s">
        <v>61</v>
      </c>
      <c r="C691" s="36" t="s">
        <v>1554</v>
      </c>
      <c r="D691" s="36" t="s">
        <v>1599</v>
      </c>
      <c r="E691" s="36" t="s">
        <v>608</v>
      </c>
      <c r="F691" s="55">
        <f>'Stavební rozpočet'!F706</f>
        <v>0</v>
      </c>
      <c r="G691" s="55">
        <f>'Stavební rozpočet'!G706</f>
        <v>29.59</v>
      </c>
      <c r="H691" s="55">
        <f t="shared" si="708"/>
        <v>0</v>
      </c>
      <c r="I691" s="55">
        <f t="shared" si="709"/>
        <v>0</v>
      </c>
      <c r="J691" s="55">
        <f t="shared" si="710"/>
        <v>0</v>
      </c>
      <c r="K691" s="55">
        <f>'Stavební rozpočet'!K706</f>
        <v>0.001</v>
      </c>
      <c r="L691" s="55">
        <f t="shared" si="711"/>
        <v>0</v>
      </c>
      <c r="M691" s="51" t="s">
        <v>622</v>
      </c>
      <c r="Z691" s="29">
        <f t="shared" si="712"/>
        <v>0</v>
      </c>
      <c r="AB691" s="29">
        <f t="shared" si="713"/>
        <v>0</v>
      </c>
      <c r="AC691" s="29">
        <f t="shared" si="714"/>
        <v>0</v>
      </c>
      <c r="AD691" s="29">
        <f t="shared" si="715"/>
        <v>0</v>
      </c>
      <c r="AE691" s="29">
        <f t="shared" si="716"/>
        <v>0</v>
      </c>
      <c r="AF691" s="29">
        <f t="shared" si="717"/>
        <v>0</v>
      </c>
      <c r="AG691" s="29">
        <f t="shared" si="718"/>
        <v>0</v>
      </c>
      <c r="AH691" s="29">
        <f t="shared" si="719"/>
        <v>0</v>
      </c>
      <c r="AI691" s="48" t="s">
        <v>61</v>
      </c>
      <c r="AJ691" s="55">
        <f t="shared" si="720"/>
        <v>0</v>
      </c>
      <c r="AK691" s="55">
        <f t="shared" si="721"/>
        <v>0</v>
      </c>
      <c r="AL691" s="55">
        <f t="shared" si="722"/>
        <v>0</v>
      </c>
      <c r="AN691" s="29">
        <v>15</v>
      </c>
      <c r="AO691" s="29">
        <f>G691*0</f>
        <v>0</v>
      </c>
      <c r="AP691" s="29">
        <f>G691*(1-0)</f>
        <v>29.59</v>
      </c>
      <c r="AQ691" s="51" t="s">
        <v>79</v>
      </c>
      <c r="AV691" s="29">
        <f t="shared" si="723"/>
        <v>0</v>
      </c>
      <c r="AW691" s="29">
        <f t="shared" si="724"/>
        <v>0</v>
      </c>
      <c r="AX691" s="29">
        <f t="shared" si="725"/>
        <v>0</v>
      </c>
      <c r="AY691" s="54" t="s">
        <v>638</v>
      </c>
      <c r="AZ691" s="54" t="s">
        <v>1643</v>
      </c>
      <c r="BA691" s="48" t="s">
        <v>1649</v>
      </c>
      <c r="BC691" s="29">
        <f t="shared" si="726"/>
        <v>0</v>
      </c>
      <c r="BD691" s="29">
        <f t="shared" si="727"/>
        <v>29.59</v>
      </c>
      <c r="BE691" s="29">
        <v>0</v>
      </c>
      <c r="BF691" s="29">
        <f t="shared" si="728"/>
        <v>0</v>
      </c>
      <c r="BH691" s="55">
        <f t="shared" si="729"/>
        <v>0</v>
      </c>
      <c r="BI691" s="55">
        <f t="shared" si="730"/>
        <v>0</v>
      </c>
      <c r="BJ691" s="55">
        <f t="shared" si="731"/>
        <v>0</v>
      </c>
    </row>
    <row r="692" spans="1:62" ht="12.75">
      <c r="A692" s="36" t="s">
        <v>1923</v>
      </c>
      <c r="B692" s="36" t="s">
        <v>61</v>
      </c>
      <c r="C692" s="36" t="s">
        <v>275</v>
      </c>
      <c r="D692" s="36" t="s">
        <v>1600</v>
      </c>
      <c r="E692" s="36" t="s">
        <v>608</v>
      </c>
      <c r="F692" s="55">
        <f>'Stavební rozpočet'!F707</f>
        <v>0</v>
      </c>
      <c r="G692" s="55">
        <f>'Stavební rozpočet'!G707</f>
        <v>49.1</v>
      </c>
      <c r="H692" s="55">
        <f t="shared" si="708"/>
        <v>0</v>
      </c>
      <c r="I692" s="55">
        <f t="shared" si="709"/>
        <v>0</v>
      </c>
      <c r="J692" s="55">
        <f t="shared" si="710"/>
        <v>0</v>
      </c>
      <c r="K692" s="55">
        <f>'Stavební rozpočet'!K707</f>
        <v>0.02</v>
      </c>
      <c r="L692" s="55">
        <f t="shared" si="711"/>
        <v>0</v>
      </c>
      <c r="M692" s="51" t="s">
        <v>622</v>
      </c>
      <c r="Z692" s="29">
        <f t="shared" si="712"/>
        <v>0</v>
      </c>
      <c r="AB692" s="29">
        <f t="shared" si="713"/>
        <v>0</v>
      </c>
      <c r="AC692" s="29">
        <f t="shared" si="714"/>
        <v>0</v>
      </c>
      <c r="AD692" s="29">
        <f t="shared" si="715"/>
        <v>0</v>
      </c>
      <c r="AE692" s="29">
        <f t="shared" si="716"/>
        <v>0</v>
      </c>
      <c r="AF692" s="29">
        <f t="shared" si="717"/>
        <v>0</v>
      </c>
      <c r="AG692" s="29">
        <f t="shared" si="718"/>
        <v>0</v>
      </c>
      <c r="AH692" s="29">
        <f t="shared" si="719"/>
        <v>0</v>
      </c>
      <c r="AI692" s="48" t="s">
        <v>61</v>
      </c>
      <c r="AJ692" s="55">
        <f t="shared" si="720"/>
        <v>0</v>
      </c>
      <c r="AK692" s="55">
        <f t="shared" si="721"/>
        <v>0</v>
      </c>
      <c r="AL692" s="55">
        <f t="shared" si="722"/>
        <v>0</v>
      </c>
      <c r="AN692" s="29">
        <v>15</v>
      </c>
      <c r="AO692" s="29">
        <f>G692*0</f>
        <v>0</v>
      </c>
      <c r="AP692" s="29">
        <f>G692*(1-0)</f>
        <v>49.1</v>
      </c>
      <c r="AQ692" s="51" t="s">
        <v>79</v>
      </c>
      <c r="AV692" s="29">
        <f t="shared" si="723"/>
        <v>0</v>
      </c>
      <c r="AW692" s="29">
        <f t="shared" si="724"/>
        <v>0</v>
      </c>
      <c r="AX692" s="29">
        <f t="shared" si="725"/>
        <v>0</v>
      </c>
      <c r="AY692" s="54" t="s">
        <v>638</v>
      </c>
      <c r="AZ692" s="54" t="s">
        <v>1643</v>
      </c>
      <c r="BA692" s="48" t="s">
        <v>1649</v>
      </c>
      <c r="BC692" s="29">
        <f t="shared" si="726"/>
        <v>0</v>
      </c>
      <c r="BD692" s="29">
        <f t="shared" si="727"/>
        <v>49.1</v>
      </c>
      <c r="BE692" s="29">
        <v>0</v>
      </c>
      <c r="BF692" s="29">
        <f t="shared" si="728"/>
        <v>0</v>
      </c>
      <c r="BH692" s="55">
        <f t="shared" si="729"/>
        <v>0</v>
      </c>
      <c r="BI692" s="55">
        <f t="shared" si="730"/>
        <v>0</v>
      </c>
      <c r="BJ692" s="55">
        <f t="shared" si="731"/>
        <v>0</v>
      </c>
    </row>
    <row r="693" spans="1:62" ht="12.75">
      <c r="A693" s="36" t="s">
        <v>1924</v>
      </c>
      <c r="B693" s="36" t="s">
        <v>61</v>
      </c>
      <c r="C693" s="36" t="s">
        <v>276</v>
      </c>
      <c r="D693" s="36" t="s">
        <v>468</v>
      </c>
      <c r="E693" s="36" t="s">
        <v>608</v>
      </c>
      <c r="F693" s="55">
        <f>'Stavební rozpočet'!F708</f>
        <v>0</v>
      </c>
      <c r="G693" s="55">
        <f>'Stavební rozpočet'!G708</f>
        <v>258.5</v>
      </c>
      <c r="H693" s="55">
        <f t="shared" si="708"/>
        <v>0</v>
      </c>
      <c r="I693" s="55">
        <f t="shared" si="709"/>
        <v>0</v>
      </c>
      <c r="J693" s="55">
        <f t="shared" si="710"/>
        <v>0</v>
      </c>
      <c r="K693" s="55">
        <f>'Stavební rozpočet'!K708</f>
        <v>0.27534</v>
      </c>
      <c r="L693" s="55">
        <f t="shared" si="711"/>
        <v>0</v>
      </c>
      <c r="M693" s="51" t="s">
        <v>622</v>
      </c>
      <c r="Z693" s="29">
        <f t="shared" si="712"/>
        <v>0</v>
      </c>
      <c r="AB693" s="29">
        <f t="shared" si="713"/>
        <v>0</v>
      </c>
      <c r="AC693" s="29">
        <f t="shared" si="714"/>
        <v>0</v>
      </c>
      <c r="AD693" s="29">
        <f t="shared" si="715"/>
        <v>0</v>
      </c>
      <c r="AE693" s="29">
        <f t="shared" si="716"/>
        <v>0</v>
      </c>
      <c r="AF693" s="29">
        <f t="shared" si="717"/>
        <v>0</v>
      </c>
      <c r="AG693" s="29">
        <f t="shared" si="718"/>
        <v>0</v>
      </c>
      <c r="AH693" s="29">
        <f t="shared" si="719"/>
        <v>0</v>
      </c>
      <c r="AI693" s="48" t="s">
        <v>61</v>
      </c>
      <c r="AJ693" s="55">
        <f t="shared" si="720"/>
        <v>0</v>
      </c>
      <c r="AK693" s="55">
        <f t="shared" si="721"/>
        <v>0</v>
      </c>
      <c r="AL693" s="55">
        <f t="shared" si="722"/>
        <v>0</v>
      </c>
      <c r="AN693" s="29">
        <v>15</v>
      </c>
      <c r="AO693" s="29">
        <f>G693*0.0308316736466574</f>
        <v>7.969987637660938</v>
      </c>
      <c r="AP693" s="29">
        <f>G693*(1-0.0308316736466574)</f>
        <v>250.53001236233905</v>
      </c>
      <c r="AQ693" s="51" t="s">
        <v>79</v>
      </c>
      <c r="AV693" s="29">
        <f t="shared" si="723"/>
        <v>0</v>
      </c>
      <c r="AW693" s="29">
        <f t="shared" si="724"/>
        <v>0</v>
      </c>
      <c r="AX693" s="29">
        <f t="shared" si="725"/>
        <v>0</v>
      </c>
      <c r="AY693" s="54" t="s">
        <v>638</v>
      </c>
      <c r="AZ693" s="54" t="s">
        <v>1643</v>
      </c>
      <c r="BA693" s="48" t="s">
        <v>1649</v>
      </c>
      <c r="BC693" s="29">
        <f t="shared" si="726"/>
        <v>0</v>
      </c>
      <c r="BD693" s="29">
        <f t="shared" si="727"/>
        <v>258.5</v>
      </c>
      <c r="BE693" s="29">
        <v>0</v>
      </c>
      <c r="BF693" s="29">
        <f t="shared" si="728"/>
        <v>0</v>
      </c>
      <c r="BH693" s="55">
        <f t="shared" si="729"/>
        <v>0</v>
      </c>
      <c r="BI693" s="55">
        <f t="shared" si="730"/>
        <v>0</v>
      </c>
      <c r="BJ693" s="55">
        <f t="shared" si="731"/>
        <v>0</v>
      </c>
    </row>
    <row r="694" spans="1:62" ht="12.75">
      <c r="A694" s="36" t="s">
        <v>1925</v>
      </c>
      <c r="B694" s="36" t="s">
        <v>61</v>
      </c>
      <c r="C694" s="36" t="s">
        <v>1555</v>
      </c>
      <c r="D694" s="36" t="s">
        <v>1601</v>
      </c>
      <c r="E694" s="36" t="s">
        <v>606</v>
      </c>
      <c r="F694" s="55">
        <f>'Stavební rozpočet'!F709</f>
        <v>0</v>
      </c>
      <c r="G694" s="55">
        <f>'Stavební rozpočet'!G709</f>
        <v>211</v>
      </c>
      <c r="H694" s="55">
        <f t="shared" si="708"/>
        <v>0</v>
      </c>
      <c r="I694" s="55">
        <f t="shared" si="709"/>
        <v>0</v>
      </c>
      <c r="J694" s="55">
        <f t="shared" si="710"/>
        <v>0</v>
      </c>
      <c r="K694" s="55">
        <f>'Stavební rozpočet'!K709</f>
        <v>0</v>
      </c>
      <c r="L694" s="55">
        <f t="shared" si="711"/>
        <v>0</v>
      </c>
      <c r="M694" s="51" t="s">
        <v>622</v>
      </c>
      <c r="Z694" s="29">
        <f t="shared" si="712"/>
        <v>0</v>
      </c>
      <c r="AB694" s="29">
        <f t="shared" si="713"/>
        <v>0</v>
      </c>
      <c r="AC694" s="29">
        <f t="shared" si="714"/>
        <v>0</v>
      </c>
      <c r="AD694" s="29">
        <f t="shared" si="715"/>
        <v>0</v>
      </c>
      <c r="AE694" s="29">
        <f t="shared" si="716"/>
        <v>0</v>
      </c>
      <c r="AF694" s="29">
        <f t="shared" si="717"/>
        <v>0</v>
      </c>
      <c r="AG694" s="29">
        <f t="shared" si="718"/>
        <v>0</v>
      </c>
      <c r="AH694" s="29">
        <f t="shared" si="719"/>
        <v>0</v>
      </c>
      <c r="AI694" s="48" t="s">
        <v>61</v>
      </c>
      <c r="AJ694" s="55">
        <f t="shared" si="720"/>
        <v>0</v>
      </c>
      <c r="AK694" s="55">
        <f t="shared" si="721"/>
        <v>0</v>
      </c>
      <c r="AL694" s="55">
        <f t="shared" si="722"/>
        <v>0</v>
      </c>
      <c r="AN694" s="29">
        <v>15</v>
      </c>
      <c r="AO694" s="29">
        <f>G694*0</f>
        <v>0</v>
      </c>
      <c r="AP694" s="29">
        <f>G694*(1-0)</f>
        <v>211</v>
      </c>
      <c r="AQ694" s="51" t="s">
        <v>79</v>
      </c>
      <c r="AV694" s="29">
        <f t="shared" si="723"/>
        <v>0</v>
      </c>
      <c r="AW694" s="29">
        <f t="shared" si="724"/>
        <v>0</v>
      </c>
      <c r="AX694" s="29">
        <f t="shared" si="725"/>
        <v>0</v>
      </c>
      <c r="AY694" s="54" t="s">
        <v>638</v>
      </c>
      <c r="AZ694" s="54" t="s">
        <v>1643</v>
      </c>
      <c r="BA694" s="48" t="s">
        <v>1649</v>
      </c>
      <c r="BC694" s="29">
        <f t="shared" si="726"/>
        <v>0</v>
      </c>
      <c r="BD694" s="29">
        <f t="shared" si="727"/>
        <v>211</v>
      </c>
      <c r="BE694" s="29">
        <v>0</v>
      </c>
      <c r="BF694" s="29">
        <f t="shared" si="728"/>
        <v>0</v>
      </c>
      <c r="BH694" s="55">
        <f t="shared" si="729"/>
        <v>0</v>
      </c>
      <c r="BI694" s="55">
        <f t="shared" si="730"/>
        <v>0</v>
      </c>
      <c r="BJ694" s="55">
        <f t="shared" si="731"/>
        <v>0</v>
      </c>
    </row>
    <row r="695" spans="1:62" ht="12.75">
      <c r="A695" s="36" t="s">
        <v>1926</v>
      </c>
      <c r="B695" s="36" t="s">
        <v>61</v>
      </c>
      <c r="C695" s="36" t="s">
        <v>1556</v>
      </c>
      <c r="D695" s="36" t="s">
        <v>1602</v>
      </c>
      <c r="E695" s="36" t="s">
        <v>608</v>
      </c>
      <c r="F695" s="55">
        <f>'Stavební rozpočet'!F710</f>
        <v>0</v>
      </c>
      <c r="G695" s="55">
        <f>'Stavební rozpočet'!G710</f>
        <v>276.5</v>
      </c>
      <c r="H695" s="55">
        <f t="shared" si="708"/>
        <v>0</v>
      </c>
      <c r="I695" s="55">
        <f t="shared" si="709"/>
        <v>0</v>
      </c>
      <c r="J695" s="55">
        <f t="shared" si="710"/>
        <v>0</v>
      </c>
      <c r="K695" s="55">
        <f>'Stavební rozpočet'!K710</f>
        <v>0.07717</v>
      </c>
      <c r="L695" s="55">
        <f t="shared" si="711"/>
        <v>0</v>
      </c>
      <c r="M695" s="51" t="s">
        <v>622</v>
      </c>
      <c r="Z695" s="29">
        <f t="shared" si="712"/>
        <v>0</v>
      </c>
      <c r="AB695" s="29">
        <f t="shared" si="713"/>
        <v>0</v>
      </c>
      <c r="AC695" s="29">
        <f t="shared" si="714"/>
        <v>0</v>
      </c>
      <c r="AD695" s="29">
        <f t="shared" si="715"/>
        <v>0</v>
      </c>
      <c r="AE695" s="29">
        <f t="shared" si="716"/>
        <v>0</v>
      </c>
      <c r="AF695" s="29">
        <f t="shared" si="717"/>
        <v>0</v>
      </c>
      <c r="AG695" s="29">
        <f t="shared" si="718"/>
        <v>0</v>
      </c>
      <c r="AH695" s="29">
        <f t="shared" si="719"/>
        <v>0</v>
      </c>
      <c r="AI695" s="48" t="s">
        <v>61</v>
      </c>
      <c r="AJ695" s="55">
        <f t="shared" si="720"/>
        <v>0</v>
      </c>
      <c r="AK695" s="55">
        <f t="shared" si="721"/>
        <v>0</v>
      </c>
      <c r="AL695" s="55">
        <f t="shared" si="722"/>
        <v>0</v>
      </c>
      <c r="AN695" s="29">
        <v>15</v>
      </c>
      <c r="AO695" s="29">
        <f>G695*0.100723357130378</f>
        <v>27.850008246549518</v>
      </c>
      <c r="AP695" s="29">
        <f>G695*(1-0.100723357130378)</f>
        <v>248.64999175345048</v>
      </c>
      <c r="AQ695" s="51" t="s">
        <v>79</v>
      </c>
      <c r="AV695" s="29">
        <f t="shared" si="723"/>
        <v>0</v>
      </c>
      <c r="AW695" s="29">
        <f t="shared" si="724"/>
        <v>0</v>
      </c>
      <c r="AX695" s="29">
        <f t="shared" si="725"/>
        <v>0</v>
      </c>
      <c r="AY695" s="54" t="s">
        <v>638</v>
      </c>
      <c r="AZ695" s="54" t="s">
        <v>1643</v>
      </c>
      <c r="BA695" s="48" t="s">
        <v>1649</v>
      </c>
      <c r="BC695" s="29">
        <f t="shared" si="726"/>
        <v>0</v>
      </c>
      <c r="BD695" s="29">
        <f t="shared" si="727"/>
        <v>276.5</v>
      </c>
      <c r="BE695" s="29">
        <v>0</v>
      </c>
      <c r="BF695" s="29">
        <f t="shared" si="728"/>
        <v>0</v>
      </c>
      <c r="BH695" s="55">
        <f t="shared" si="729"/>
        <v>0</v>
      </c>
      <c r="BI695" s="55">
        <f t="shared" si="730"/>
        <v>0</v>
      </c>
      <c r="BJ695" s="55">
        <f t="shared" si="731"/>
        <v>0</v>
      </c>
    </row>
    <row r="696" spans="1:47" ht="12.75">
      <c r="A696" s="35"/>
      <c r="B696" s="42" t="s">
        <v>61</v>
      </c>
      <c r="C696" s="42" t="s">
        <v>175</v>
      </c>
      <c r="D696" s="42" t="s">
        <v>470</v>
      </c>
      <c r="E696" s="35" t="s">
        <v>57</v>
      </c>
      <c r="F696" s="35" t="s">
        <v>57</v>
      </c>
      <c r="G696" s="35" t="s">
        <v>57</v>
      </c>
      <c r="H696" s="59">
        <f>SUM(H697:H704)</f>
        <v>0</v>
      </c>
      <c r="I696" s="59">
        <f>SUM(I697:I704)</f>
        <v>0</v>
      </c>
      <c r="J696" s="59">
        <f>SUM(J697:J704)</f>
        <v>0</v>
      </c>
      <c r="K696" s="48"/>
      <c r="L696" s="59">
        <f>SUM(L697:L704)</f>
        <v>0</v>
      </c>
      <c r="M696" s="48"/>
      <c r="AI696" s="48" t="s">
        <v>61</v>
      </c>
      <c r="AS696" s="59">
        <f>SUM(AJ697:AJ704)</f>
        <v>0</v>
      </c>
      <c r="AT696" s="59">
        <f>SUM(AK697:AK704)</f>
        <v>0</v>
      </c>
      <c r="AU696" s="59">
        <f>SUM(AL697:AL704)</f>
        <v>0</v>
      </c>
    </row>
    <row r="697" spans="1:62" ht="12.75">
      <c r="A697" s="36" t="s">
        <v>1927</v>
      </c>
      <c r="B697" s="36" t="s">
        <v>61</v>
      </c>
      <c r="C697" s="36" t="s">
        <v>956</v>
      </c>
      <c r="D697" s="36" t="s">
        <v>1603</v>
      </c>
      <c r="E697" s="36" t="s">
        <v>606</v>
      </c>
      <c r="F697" s="55">
        <f>'Stavební rozpočet'!F712</f>
        <v>0</v>
      </c>
      <c r="G697" s="55">
        <f>'Stavební rozpočet'!G712</f>
        <v>355</v>
      </c>
      <c r="H697" s="55">
        <f aca="true" t="shared" si="732" ref="H697:H704">F697*AO697</f>
        <v>0</v>
      </c>
      <c r="I697" s="55">
        <f aca="true" t="shared" si="733" ref="I697:I704">F697*AP697</f>
        <v>0</v>
      </c>
      <c r="J697" s="55">
        <f aca="true" t="shared" si="734" ref="J697:J704">F697*G697</f>
        <v>0</v>
      </c>
      <c r="K697" s="55">
        <f>'Stavební rozpočet'!K712</f>
        <v>0</v>
      </c>
      <c r="L697" s="55">
        <f aca="true" t="shared" si="735" ref="L697:L704">F697*K697</f>
        <v>0</v>
      </c>
      <c r="M697" s="51" t="s">
        <v>622</v>
      </c>
      <c r="Z697" s="29">
        <f aca="true" t="shared" si="736" ref="Z697:Z704">IF(AQ697="5",BJ697,0)</f>
        <v>0</v>
      </c>
      <c r="AB697" s="29">
        <f aca="true" t="shared" si="737" ref="AB697:AB704">IF(AQ697="1",BH697,0)</f>
        <v>0</v>
      </c>
      <c r="AC697" s="29">
        <f aca="true" t="shared" si="738" ref="AC697:AC704">IF(AQ697="1",BI697,0)</f>
        <v>0</v>
      </c>
      <c r="AD697" s="29">
        <f aca="true" t="shared" si="739" ref="AD697:AD704">IF(AQ697="7",BH697,0)</f>
        <v>0</v>
      </c>
      <c r="AE697" s="29">
        <f aca="true" t="shared" si="740" ref="AE697:AE704">IF(AQ697="7",BI697,0)</f>
        <v>0</v>
      </c>
      <c r="AF697" s="29">
        <f aca="true" t="shared" si="741" ref="AF697:AF704">IF(AQ697="2",BH697,0)</f>
        <v>0</v>
      </c>
      <c r="AG697" s="29">
        <f aca="true" t="shared" si="742" ref="AG697:AG704">IF(AQ697="2",BI697,0)</f>
        <v>0</v>
      </c>
      <c r="AH697" s="29">
        <f aca="true" t="shared" si="743" ref="AH697:AH704">IF(AQ697="0",BJ697,0)</f>
        <v>0</v>
      </c>
      <c r="AI697" s="48" t="s">
        <v>61</v>
      </c>
      <c r="AJ697" s="55">
        <f aca="true" t="shared" si="744" ref="AJ697:AJ704">IF(AN697=0,J697,0)</f>
        <v>0</v>
      </c>
      <c r="AK697" s="55">
        <f aca="true" t="shared" si="745" ref="AK697:AK704">IF(AN697=15,J697,0)</f>
        <v>0</v>
      </c>
      <c r="AL697" s="55">
        <f aca="true" t="shared" si="746" ref="AL697:AL704">IF(AN697=21,J697,0)</f>
        <v>0</v>
      </c>
      <c r="AN697" s="29">
        <v>15</v>
      </c>
      <c r="AO697" s="29">
        <f>G697*0</f>
        <v>0</v>
      </c>
      <c r="AP697" s="29">
        <f>G697*(1-0)</f>
        <v>355</v>
      </c>
      <c r="AQ697" s="51" t="s">
        <v>79</v>
      </c>
      <c r="AV697" s="29">
        <f aca="true" t="shared" si="747" ref="AV697:AV704">AW697+AX697</f>
        <v>0</v>
      </c>
      <c r="AW697" s="29">
        <f aca="true" t="shared" si="748" ref="AW697:AW704">F697*AO697</f>
        <v>0</v>
      </c>
      <c r="AX697" s="29">
        <f aca="true" t="shared" si="749" ref="AX697:AX704">F697*AP697</f>
        <v>0</v>
      </c>
      <c r="AY697" s="54" t="s">
        <v>639</v>
      </c>
      <c r="AZ697" s="54" t="s">
        <v>1643</v>
      </c>
      <c r="BA697" s="48" t="s">
        <v>1649</v>
      </c>
      <c r="BC697" s="29">
        <f aca="true" t="shared" si="750" ref="BC697:BC704">AW697+AX697</f>
        <v>0</v>
      </c>
      <c r="BD697" s="29">
        <f aca="true" t="shared" si="751" ref="BD697:BD704">G697/(100-BE697)*100</f>
        <v>355</v>
      </c>
      <c r="BE697" s="29">
        <v>0</v>
      </c>
      <c r="BF697" s="29">
        <f aca="true" t="shared" si="752" ref="BF697:BF704">L697</f>
        <v>0</v>
      </c>
      <c r="BH697" s="55">
        <f aca="true" t="shared" si="753" ref="BH697:BH704">F697*AO697</f>
        <v>0</v>
      </c>
      <c r="BI697" s="55">
        <f aca="true" t="shared" si="754" ref="BI697:BI704">F697*AP697</f>
        <v>0</v>
      </c>
      <c r="BJ697" s="55">
        <f aca="true" t="shared" si="755" ref="BJ697:BJ704">F697*G697</f>
        <v>0</v>
      </c>
    </row>
    <row r="698" spans="1:62" ht="12.75">
      <c r="A698" s="36" t="s">
        <v>1928</v>
      </c>
      <c r="B698" s="36" t="s">
        <v>61</v>
      </c>
      <c r="C698" s="36" t="s">
        <v>1557</v>
      </c>
      <c r="D698" s="36" t="s">
        <v>1604</v>
      </c>
      <c r="E698" s="36" t="s">
        <v>608</v>
      </c>
      <c r="F698" s="55">
        <f>'Stavební rozpočet'!F713</f>
        <v>0</v>
      </c>
      <c r="G698" s="55">
        <f>'Stavební rozpočet'!G713</f>
        <v>127</v>
      </c>
      <c r="H698" s="55">
        <f t="shared" si="732"/>
        <v>0</v>
      </c>
      <c r="I698" s="55">
        <f t="shared" si="733"/>
        <v>0</v>
      </c>
      <c r="J698" s="55">
        <f t="shared" si="734"/>
        <v>0</v>
      </c>
      <c r="K698" s="55">
        <f>'Stavební rozpočet'!K713</f>
        <v>0.27054</v>
      </c>
      <c r="L698" s="55">
        <f t="shared" si="735"/>
        <v>0</v>
      </c>
      <c r="M698" s="51" t="s">
        <v>622</v>
      </c>
      <c r="Z698" s="29">
        <f t="shared" si="736"/>
        <v>0</v>
      </c>
      <c r="AB698" s="29">
        <f t="shared" si="737"/>
        <v>0</v>
      </c>
      <c r="AC698" s="29">
        <f t="shared" si="738"/>
        <v>0</v>
      </c>
      <c r="AD698" s="29">
        <f t="shared" si="739"/>
        <v>0</v>
      </c>
      <c r="AE698" s="29">
        <f t="shared" si="740"/>
        <v>0</v>
      </c>
      <c r="AF698" s="29">
        <f t="shared" si="741"/>
        <v>0</v>
      </c>
      <c r="AG698" s="29">
        <f t="shared" si="742"/>
        <v>0</v>
      </c>
      <c r="AH698" s="29">
        <f t="shared" si="743"/>
        <v>0</v>
      </c>
      <c r="AI698" s="48" t="s">
        <v>61</v>
      </c>
      <c r="AJ698" s="55">
        <f t="shared" si="744"/>
        <v>0</v>
      </c>
      <c r="AK698" s="55">
        <f t="shared" si="745"/>
        <v>0</v>
      </c>
      <c r="AL698" s="55">
        <f t="shared" si="746"/>
        <v>0</v>
      </c>
      <c r="AN698" s="29">
        <v>15</v>
      </c>
      <c r="AO698" s="29">
        <f>G698*0.101339833384758</f>
        <v>12.870158839864265</v>
      </c>
      <c r="AP698" s="29">
        <f>G698*(1-0.101339833384758)</f>
        <v>114.12984116013574</v>
      </c>
      <c r="AQ698" s="51" t="s">
        <v>79</v>
      </c>
      <c r="AV698" s="29">
        <f t="shared" si="747"/>
        <v>0</v>
      </c>
      <c r="AW698" s="29">
        <f t="shared" si="748"/>
        <v>0</v>
      </c>
      <c r="AX698" s="29">
        <f t="shared" si="749"/>
        <v>0</v>
      </c>
      <c r="AY698" s="54" t="s">
        <v>639</v>
      </c>
      <c r="AZ698" s="54" t="s">
        <v>1643</v>
      </c>
      <c r="BA698" s="48" t="s">
        <v>1649</v>
      </c>
      <c r="BC698" s="29">
        <f t="shared" si="750"/>
        <v>0</v>
      </c>
      <c r="BD698" s="29">
        <f t="shared" si="751"/>
        <v>127</v>
      </c>
      <c r="BE698" s="29">
        <v>0</v>
      </c>
      <c r="BF698" s="29">
        <f t="shared" si="752"/>
        <v>0</v>
      </c>
      <c r="BH698" s="55">
        <f t="shared" si="753"/>
        <v>0</v>
      </c>
      <c r="BI698" s="55">
        <f t="shared" si="754"/>
        <v>0</v>
      </c>
      <c r="BJ698" s="55">
        <f t="shared" si="755"/>
        <v>0</v>
      </c>
    </row>
    <row r="699" spans="1:62" ht="12.75">
      <c r="A699" s="36" t="s">
        <v>1929</v>
      </c>
      <c r="B699" s="36" t="s">
        <v>61</v>
      </c>
      <c r="C699" s="36" t="s">
        <v>957</v>
      </c>
      <c r="D699" s="36" t="s">
        <v>1247</v>
      </c>
      <c r="E699" s="36" t="s">
        <v>609</v>
      </c>
      <c r="F699" s="55">
        <f>'Stavební rozpočet'!F714</f>
        <v>0</v>
      </c>
      <c r="G699" s="55">
        <f>'Stavební rozpočet'!G714</f>
        <v>1750</v>
      </c>
      <c r="H699" s="55">
        <f t="shared" si="732"/>
        <v>0</v>
      </c>
      <c r="I699" s="55">
        <f t="shared" si="733"/>
        <v>0</v>
      </c>
      <c r="J699" s="55">
        <f t="shared" si="734"/>
        <v>0</v>
      </c>
      <c r="K699" s="55">
        <f>'Stavební rozpočet'!K714</f>
        <v>0</v>
      </c>
      <c r="L699" s="55">
        <f t="shared" si="735"/>
        <v>0</v>
      </c>
      <c r="M699" s="51" t="s">
        <v>622</v>
      </c>
      <c r="Z699" s="29">
        <f t="shared" si="736"/>
        <v>0</v>
      </c>
      <c r="AB699" s="29">
        <f t="shared" si="737"/>
        <v>0</v>
      </c>
      <c r="AC699" s="29">
        <f t="shared" si="738"/>
        <v>0</v>
      </c>
      <c r="AD699" s="29">
        <f t="shared" si="739"/>
        <v>0</v>
      </c>
      <c r="AE699" s="29">
        <f t="shared" si="740"/>
        <v>0</v>
      </c>
      <c r="AF699" s="29">
        <f t="shared" si="741"/>
        <v>0</v>
      </c>
      <c r="AG699" s="29">
        <f t="shared" si="742"/>
        <v>0</v>
      </c>
      <c r="AH699" s="29">
        <f t="shared" si="743"/>
        <v>0</v>
      </c>
      <c r="AI699" s="48" t="s">
        <v>61</v>
      </c>
      <c r="AJ699" s="55">
        <f t="shared" si="744"/>
        <v>0</v>
      </c>
      <c r="AK699" s="55">
        <f t="shared" si="745"/>
        <v>0</v>
      </c>
      <c r="AL699" s="55">
        <f t="shared" si="746"/>
        <v>0</v>
      </c>
      <c r="AN699" s="29">
        <v>15</v>
      </c>
      <c r="AO699" s="29">
        <f>G699*0.105417142857143</f>
        <v>184.48000000000025</v>
      </c>
      <c r="AP699" s="29">
        <f>G699*(1-0.105417142857143)</f>
        <v>1565.5199999999998</v>
      </c>
      <c r="AQ699" s="51" t="s">
        <v>79</v>
      </c>
      <c r="AV699" s="29">
        <f t="shared" si="747"/>
        <v>0</v>
      </c>
      <c r="AW699" s="29">
        <f t="shared" si="748"/>
        <v>0</v>
      </c>
      <c r="AX699" s="29">
        <f t="shared" si="749"/>
        <v>0</v>
      </c>
      <c r="AY699" s="54" t="s">
        <v>639</v>
      </c>
      <c r="AZ699" s="54" t="s">
        <v>1643</v>
      </c>
      <c r="BA699" s="48" t="s">
        <v>1649</v>
      </c>
      <c r="BC699" s="29">
        <f t="shared" si="750"/>
        <v>0</v>
      </c>
      <c r="BD699" s="29">
        <f t="shared" si="751"/>
        <v>1750</v>
      </c>
      <c r="BE699" s="29">
        <v>0</v>
      </c>
      <c r="BF699" s="29">
        <f t="shared" si="752"/>
        <v>0</v>
      </c>
      <c r="BH699" s="55">
        <f t="shared" si="753"/>
        <v>0</v>
      </c>
      <c r="BI699" s="55">
        <f t="shared" si="754"/>
        <v>0</v>
      </c>
      <c r="BJ699" s="55">
        <f t="shared" si="755"/>
        <v>0</v>
      </c>
    </row>
    <row r="700" spans="1:62" ht="12.75">
      <c r="A700" s="36" t="s">
        <v>1930</v>
      </c>
      <c r="B700" s="36" t="s">
        <v>61</v>
      </c>
      <c r="C700" s="36" t="s">
        <v>1558</v>
      </c>
      <c r="D700" s="36" t="s">
        <v>1605</v>
      </c>
      <c r="E700" s="36" t="s">
        <v>608</v>
      </c>
      <c r="F700" s="55">
        <f>'Stavební rozpočet'!F715</f>
        <v>0</v>
      </c>
      <c r="G700" s="55">
        <f>'Stavební rozpočet'!G715</f>
        <v>7.1</v>
      </c>
      <c r="H700" s="55">
        <f t="shared" si="732"/>
        <v>0</v>
      </c>
      <c r="I700" s="55">
        <f t="shared" si="733"/>
        <v>0</v>
      </c>
      <c r="J700" s="55">
        <f t="shared" si="734"/>
        <v>0</v>
      </c>
      <c r="K700" s="55">
        <f>'Stavební rozpočet'!K715</f>
        <v>0.004</v>
      </c>
      <c r="L700" s="55">
        <f t="shared" si="735"/>
        <v>0</v>
      </c>
      <c r="M700" s="51" t="s">
        <v>622</v>
      </c>
      <c r="Z700" s="29">
        <f t="shared" si="736"/>
        <v>0</v>
      </c>
      <c r="AB700" s="29">
        <f t="shared" si="737"/>
        <v>0</v>
      </c>
      <c r="AC700" s="29">
        <f t="shared" si="738"/>
        <v>0</v>
      </c>
      <c r="AD700" s="29">
        <f t="shared" si="739"/>
        <v>0</v>
      </c>
      <c r="AE700" s="29">
        <f t="shared" si="740"/>
        <v>0</v>
      </c>
      <c r="AF700" s="29">
        <f t="shared" si="741"/>
        <v>0</v>
      </c>
      <c r="AG700" s="29">
        <f t="shared" si="742"/>
        <v>0</v>
      </c>
      <c r="AH700" s="29">
        <f t="shared" si="743"/>
        <v>0</v>
      </c>
      <c r="AI700" s="48" t="s">
        <v>61</v>
      </c>
      <c r="AJ700" s="55">
        <f t="shared" si="744"/>
        <v>0</v>
      </c>
      <c r="AK700" s="55">
        <f t="shared" si="745"/>
        <v>0</v>
      </c>
      <c r="AL700" s="55">
        <f t="shared" si="746"/>
        <v>0</v>
      </c>
      <c r="AN700" s="29">
        <v>15</v>
      </c>
      <c r="AO700" s="29">
        <f>G700*0</f>
        <v>0</v>
      </c>
      <c r="AP700" s="29">
        <f>G700*(1-0)</f>
        <v>7.1</v>
      </c>
      <c r="AQ700" s="51" t="s">
        <v>79</v>
      </c>
      <c r="AV700" s="29">
        <f t="shared" si="747"/>
        <v>0</v>
      </c>
      <c r="AW700" s="29">
        <f t="shared" si="748"/>
        <v>0</v>
      </c>
      <c r="AX700" s="29">
        <f t="shared" si="749"/>
        <v>0</v>
      </c>
      <c r="AY700" s="54" t="s">
        <v>639</v>
      </c>
      <c r="AZ700" s="54" t="s">
        <v>1643</v>
      </c>
      <c r="BA700" s="48" t="s">
        <v>1649</v>
      </c>
      <c r="BC700" s="29">
        <f t="shared" si="750"/>
        <v>0</v>
      </c>
      <c r="BD700" s="29">
        <f t="shared" si="751"/>
        <v>7.1</v>
      </c>
      <c r="BE700" s="29">
        <v>0</v>
      </c>
      <c r="BF700" s="29">
        <f t="shared" si="752"/>
        <v>0</v>
      </c>
      <c r="BH700" s="55">
        <f t="shared" si="753"/>
        <v>0</v>
      </c>
      <c r="BI700" s="55">
        <f t="shared" si="754"/>
        <v>0</v>
      </c>
      <c r="BJ700" s="55">
        <f t="shared" si="755"/>
        <v>0</v>
      </c>
    </row>
    <row r="701" spans="1:62" ht="12.75">
      <c r="A701" s="36" t="s">
        <v>1931</v>
      </c>
      <c r="B701" s="36" t="s">
        <v>61</v>
      </c>
      <c r="C701" s="36" t="s">
        <v>1559</v>
      </c>
      <c r="D701" s="36" t="s">
        <v>1606</v>
      </c>
      <c r="E701" s="36" t="s">
        <v>608</v>
      </c>
      <c r="F701" s="55">
        <f>'Stavební rozpočet'!F716</f>
        <v>0</v>
      </c>
      <c r="G701" s="55">
        <f>'Stavební rozpočet'!G716</f>
        <v>18.9</v>
      </c>
      <c r="H701" s="55">
        <f t="shared" si="732"/>
        <v>0</v>
      </c>
      <c r="I701" s="55">
        <f t="shared" si="733"/>
        <v>0</v>
      </c>
      <c r="J701" s="55">
        <f t="shared" si="734"/>
        <v>0</v>
      </c>
      <c r="K701" s="55">
        <f>'Stavební rozpočet'!K716</f>
        <v>0.01</v>
      </c>
      <c r="L701" s="55">
        <f t="shared" si="735"/>
        <v>0</v>
      </c>
      <c r="M701" s="51" t="s">
        <v>622</v>
      </c>
      <c r="Z701" s="29">
        <f t="shared" si="736"/>
        <v>0</v>
      </c>
      <c r="AB701" s="29">
        <f t="shared" si="737"/>
        <v>0</v>
      </c>
      <c r="AC701" s="29">
        <f t="shared" si="738"/>
        <v>0</v>
      </c>
      <c r="AD701" s="29">
        <f t="shared" si="739"/>
        <v>0</v>
      </c>
      <c r="AE701" s="29">
        <f t="shared" si="740"/>
        <v>0</v>
      </c>
      <c r="AF701" s="29">
        <f t="shared" si="741"/>
        <v>0</v>
      </c>
      <c r="AG701" s="29">
        <f t="shared" si="742"/>
        <v>0</v>
      </c>
      <c r="AH701" s="29">
        <f t="shared" si="743"/>
        <v>0</v>
      </c>
      <c r="AI701" s="48" t="s">
        <v>61</v>
      </c>
      <c r="AJ701" s="55">
        <f t="shared" si="744"/>
        <v>0</v>
      </c>
      <c r="AK701" s="55">
        <f t="shared" si="745"/>
        <v>0</v>
      </c>
      <c r="AL701" s="55">
        <f t="shared" si="746"/>
        <v>0</v>
      </c>
      <c r="AN701" s="29">
        <v>15</v>
      </c>
      <c r="AO701" s="29">
        <f>G701*0</f>
        <v>0</v>
      </c>
      <c r="AP701" s="29">
        <f>G701*(1-0)</f>
        <v>18.9</v>
      </c>
      <c r="AQ701" s="51" t="s">
        <v>79</v>
      </c>
      <c r="AV701" s="29">
        <f t="shared" si="747"/>
        <v>0</v>
      </c>
      <c r="AW701" s="29">
        <f t="shared" si="748"/>
        <v>0</v>
      </c>
      <c r="AX701" s="29">
        <f t="shared" si="749"/>
        <v>0</v>
      </c>
      <c r="AY701" s="54" t="s">
        <v>639</v>
      </c>
      <c r="AZ701" s="54" t="s">
        <v>1643</v>
      </c>
      <c r="BA701" s="48" t="s">
        <v>1649</v>
      </c>
      <c r="BC701" s="29">
        <f t="shared" si="750"/>
        <v>0</v>
      </c>
      <c r="BD701" s="29">
        <f t="shared" si="751"/>
        <v>18.9</v>
      </c>
      <c r="BE701" s="29">
        <v>0</v>
      </c>
      <c r="BF701" s="29">
        <f t="shared" si="752"/>
        <v>0</v>
      </c>
      <c r="BH701" s="55">
        <f t="shared" si="753"/>
        <v>0</v>
      </c>
      <c r="BI701" s="55">
        <f t="shared" si="754"/>
        <v>0</v>
      </c>
      <c r="BJ701" s="55">
        <f t="shared" si="755"/>
        <v>0</v>
      </c>
    </row>
    <row r="702" spans="1:62" ht="12.75">
      <c r="A702" s="36" t="s">
        <v>1932</v>
      </c>
      <c r="B702" s="36" t="s">
        <v>61</v>
      </c>
      <c r="C702" s="36" t="s">
        <v>278</v>
      </c>
      <c r="D702" s="36" t="s">
        <v>1607</v>
      </c>
      <c r="E702" s="36" t="s">
        <v>608</v>
      </c>
      <c r="F702" s="55">
        <f>'Stavební rozpočet'!F717</f>
        <v>0</v>
      </c>
      <c r="G702" s="55">
        <f>'Stavební rozpočet'!G717</f>
        <v>61.4</v>
      </c>
      <c r="H702" s="55">
        <f t="shared" si="732"/>
        <v>0</v>
      </c>
      <c r="I702" s="55">
        <f t="shared" si="733"/>
        <v>0</v>
      </c>
      <c r="J702" s="55">
        <f t="shared" si="734"/>
        <v>0</v>
      </c>
      <c r="K702" s="55">
        <f>'Stavební rozpočet'!K717</f>
        <v>0.046</v>
      </c>
      <c r="L702" s="55">
        <f t="shared" si="735"/>
        <v>0</v>
      </c>
      <c r="M702" s="51" t="s">
        <v>622</v>
      </c>
      <c r="Z702" s="29">
        <f t="shared" si="736"/>
        <v>0</v>
      </c>
      <c r="AB702" s="29">
        <f t="shared" si="737"/>
        <v>0</v>
      </c>
      <c r="AC702" s="29">
        <f t="shared" si="738"/>
        <v>0</v>
      </c>
      <c r="AD702" s="29">
        <f t="shared" si="739"/>
        <v>0</v>
      </c>
      <c r="AE702" s="29">
        <f t="shared" si="740"/>
        <v>0</v>
      </c>
      <c r="AF702" s="29">
        <f t="shared" si="741"/>
        <v>0</v>
      </c>
      <c r="AG702" s="29">
        <f t="shared" si="742"/>
        <v>0</v>
      </c>
      <c r="AH702" s="29">
        <f t="shared" si="743"/>
        <v>0</v>
      </c>
      <c r="AI702" s="48" t="s">
        <v>61</v>
      </c>
      <c r="AJ702" s="55">
        <f t="shared" si="744"/>
        <v>0</v>
      </c>
      <c r="AK702" s="55">
        <f t="shared" si="745"/>
        <v>0</v>
      </c>
      <c r="AL702" s="55">
        <f t="shared" si="746"/>
        <v>0</v>
      </c>
      <c r="AN702" s="29">
        <v>15</v>
      </c>
      <c r="AO702" s="29">
        <f>G702*0</f>
        <v>0</v>
      </c>
      <c r="AP702" s="29">
        <f>G702*(1-0)</f>
        <v>61.4</v>
      </c>
      <c r="AQ702" s="51" t="s">
        <v>79</v>
      </c>
      <c r="AV702" s="29">
        <f t="shared" si="747"/>
        <v>0</v>
      </c>
      <c r="AW702" s="29">
        <f t="shared" si="748"/>
        <v>0</v>
      </c>
      <c r="AX702" s="29">
        <f t="shared" si="749"/>
        <v>0</v>
      </c>
      <c r="AY702" s="54" t="s">
        <v>639</v>
      </c>
      <c r="AZ702" s="54" t="s">
        <v>1643</v>
      </c>
      <c r="BA702" s="48" t="s">
        <v>1649</v>
      </c>
      <c r="BC702" s="29">
        <f t="shared" si="750"/>
        <v>0</v>
      </c>
      <c r="BD702" s="29">
        <f t="shared" si="751"/>
        <v>61.4</v>
      </c>
      <c r="BE702" s="29">
        <v>0</v>
      </c>
      <c r="BF702" s="29">
        <f t="shared" si="752"/>
        <v>0</v>
      </c>
      <c r="BH702" s="55">
        <f t="shared" si="753"/>
        <v>0</v>
      </c>
      <c r="BI702" s="55">
        <f t="shared" si="754"/>
        <v>0</v>
      </c>
      <c r="BJ702" s="55">
        <f t="shared" si="755"/>
        <v>0</v>
      </c>
    </row>
    <row r="703" spans="1:62" ht="12.75">
      <c r="A703" s="36" t="s">
        <v>1933</v>
      </c>
      <c r="B703" s="36" t="s">
        <v>61</v>
      </c>
      <c r="C703" s="36" t="s">
        <v>279</v>
      </c>
      <c r="D703" s="36" t="s">
        <v>1608</v>
      </c>
      <c r="E703" s="36" t="s">
        <v>608</v>
      </c>
      <c r="F703" s="55">
        <f>'Stavební rozpočet'!F718</f>
        <v>0</v>
      </c>
      <c r="G703" s="55">
        <f>'Stavební rozpočet'!G718</f>
        <v>78.3</v>
      </c>
      <c r="H703" s="55">
        <f t="shared" si="732"/>
        <v>0</v>
      </c>
      <c r="I703" s="55">
        <f t="shared" si="733"/>
        <v>0</v>
      </c>
      <c r="J703" s="55">
        <f t="shared" si="734"/>
        <v>0</v>
      </c>
      <c r="K703" s="55">
        <f>'Stavební rozpočet'!K718</f>
        <v>0.068</v>
      </c>
      <c r="L703" s="55">
        <f t="shared" si="735"/>
        <v>0</v>
      </c>
      <c r="M703" s="51" t="s">
        <v>622</v>
      </c>
      <c r="Z703" s="29">
        <f t="shared" si="736"/>
        <v>0</v>
      </c>
      <c r="AB703" s="29">
        <f t="shared" si="737"/>
        <v>0</v>
      </c>
      <c r="AC703" s="29">
        <f t="shared" si="738"/>
        <v>0</v>
      </c>
      <c r="AD703" s="29">
        <f t="shared" si="739"/>
        <v>0</v>
      </c>
      <c r="AE703" s="29">
        <f t="shared" si="740"/>
        <v>0</v>
      </c>
      <c r="AF703" s="29">
        <f t="shared" si="741"/>
        <v>0</v>
      </c>
      <c r="AG703" s="29">
        <f t="shared" si="742"/>
        <v>0</v>
      </c>
      <c r="AH703" s="29">
        <f t="shared" si="743"/>
        <v>0</v>
      </c>
      <c r="AI703" s="48" t="s">
        <v>61</v>
      </c>
      <c r="AJ703" s="55">
        <f t="shared" si="744"/>
        <v>0</v>
      </c>
      <c r="AK703" s="55">
        <f t="shared" si="745"/>
        <v>0</v>
      </c>
      <c r="AL703" s="55">
        <f t="shared" si="746"/>
        <v>0</v>
      </c>
      <c r="AN703" s="29">
        <v>15</v>
      </c>
      <c r="AO703" s="29">
        <f>G703*0</f>
        <v>0</v>
      </c>
      <c r="AP703" s="29">
        <f>G703*(1-0)</f>
        <v>78.3</v>
      </c>
      <c r="AQ703" s="51" t="s">
        <v>79</v>
      </c>
      <c r="AV703" s="29">
        <f t="shared" si="747"/>
        <v>0</v>
      </c>
      <c r="AW703" s="29">
        <f t="shared" si="748"/>
        <v>0</v>
      </c>
      <c r="AX703" s="29">
        <f t="shared" si="749"/>
        <v>0</v>
      </c>
      <c r="AY703" s="54" t="s">
        <v>639</v>
      </c>
      <c r="AZ703" s="54" t="s">
        <v>1643</v>
      </c>
      <c r="BA703" s="48" t="s">
        <v>1649</v>
      </c>
      <c r="BC703" s="29">
        <f t="shared" si="750"/>
        <v>0</v>
      </c>
      <c r="BD703" s="29">
        <f t="shared" si="751"/>
        <v>78.3</v>
      </c>
      <c r="BE703" s="29">
        <v>0</v>
      </c>
      <c r="BF703" s="29">
        <f t="shared" si="752"/>
        <v>0</v>
      </c>
      <c r="BH703" s="55">
        <f t="shared" si="753"/>
        <v>0</v>
      </c>
      <c r="BI703" s="55">
        <f t="shared" si="754"/>
        <v>0</v>
      </c>
      <c r="BJ703" s="55">
        <f t="shared" si="755"/>
        <v>0</v>
      </c>
    </row>
    <row r="704" spans="1:62" ht="12.75">
      <c r="A704" s="36" t="s">
        <v>1934</v>
      </c>
      <c r="B704" s="36" t="s">
        <v>61</v>
      </c>
      <c r="C704" s="36" t="s">
        <v>1560</v>
      </c>
      <c r="D704" s="36" t="s">
        <v>1609</v>
      </c>
      <c r="E704" s="36" t="s">
        <v>608</v>
      </c>
      <c r="F704" s="55">
        <f>'Stavební rozpočet'!F719</f>
        <v>0</v>
      </c>
      <c r="G704" s="55">
        <f>'Stavební rozpočet'!G719</f>
        <v>85</v>
      </c>
      <c r="H704" s="55">
        <f t="shared" si="732"/>
        <v>0</v>
      </c>
      <c r="I704" s="55">
        <f t="shared" si="733"/>
        <v>0</v>
      </c>
      <c r="J704" s="55">
        <f t="shared" si="734"/>
        <v>0</v>
      </c>
      <c r="K704" s="55">
        <f>'Stavební rozpočet'!K719</f>
        <v>0.0286</v>
      </c>
      <c r="L704" s="55">
        <f t="shared" si="735"/>
        <v>0</v>
      </c>
      <c r="M704" s="51" t="s">
        <v>622</v>
      </c>
      <c r="Z704" s="29">
        <f t="shared" si="736"/>
        <v>0</v>
      </c>
      <c r="AB704" s="29">
        <f t="shared" si="737"/>
        <v>0</v>
      </c>
      <c r="AC704" s="29">
        <f t="shared" si="738"/>
        <v>0</v>
      </c>
      <c r="AD704" s="29">
        <f t="shared" si="739"/>
        <v>0</v>
      </c>
      <c r="AE704" s="29">
        <f t="shared" si="740"/>
        <v>0</v>
      </c>
      <c r="AF704" s="29">
        <f t="shared" si="741"/>
        <v>0</v>
      </c>
      <c r="AG704" s="29">
        <f t="shared" si="742"/>
        <v>0</v>
      </c>
      <c r="AH704" s="29">
        <f t="shared" si="743"/>
        <v>0</v>
      </c>
      <c r="AI704" s="48" t="s">
        <v>61</v>
      </c>
      <c r="AJ704" s="55">
        <f t="shared" si="744"/>
        <v>0</v>
      </c>
      <c r="AK704" s="55">
        <f t="shared" si="745"/>
        <v>0</v>
      </c>
      <c r="AL704" s="55">
        <f t="shared" si="746"/>
        <v>0</v>
      </c>
      <c r="AN704" s="29">
        <v>15</v>
      </c>
      <c r="AO704" s="29">
        <f>G704*0</f>
        <v>0</v>
      </c>
      <c r="AP704" s="29">
        <f>G704*(1-0)</f>
        <v>85</v>
      </c>
      <c r="AQ704" s="51" t="s">
        <v>79</v>
      </c>
      <c r="AV704" s="29">
        <f t="shared" si="747"/>
        <v>0</v>
      </c>
      <c r="AW704" s="29">
        <f t="shared" si="748"/>
        <v>0</v>
      </c>
      <c r="AX704" s="29">
        <f t="shared" si="749"/>
        <v>0</v>
      </c>
      <c r="AY704" s="54" t="s">
        <v>639</v>
      </c>
      <c r="AZ704" s="54" t="s">
        <v>1643</v>
      </c>
      <c r="BA704" s="48" t="s">
        <v>1649</v>
      </c>
      <c r="BC704" s="29">
        <f t="shared" si="750"/>
        <v>0</v>
      </c>
      <c r="BD704" s="29">
        <f t="shared" si="751"/>
        <v>85</v>
      </c>
      <c r="BE704" s="29">
        <v>0</v>
      </c>
      <c r="BF704" s="29">
        <f t="shared" si="752"/>
        <v>0</v>
      </c>
      <c r="BH704" s="55">
        <f t="shared" si="753"/>
        <v>0</v>
      </c>
      <c r="BI704" s="55">
        <f t="shared" si="754"/>
        <v>0</v>
      </c>
      <c r="BJ704" s="55">
        <f t="shared" si="755"/>
        <v>0</v>
      </c>
    </row>
    <row r="705" spans="1:47" ht="12.75">
      <c r="A705" s="35"/>
      <c r="B705" s="42" t="s">
        <v>61</v>
      </c>
      <c r="C705" s="42" t="s">
        <v>280</v>
      </c>
      <c r="D705" s="42" t="s">
        <v>473</v>
      </c>
      <c r="E705" s="35" t="s">
        <v>57</v>
      </c>
      <c r="F705" s="35" t="s">
        <v>57</v>
      </c>
      <c r="G705" s="35" t="s">
        <v>57</v>
      </c>
      <c r="H705" s="59">
        <f>SUM(H706:H714)</f>
        <v>0</v>
      </c>
      <c r="I705" s="59">
        <f>SUM(I706:I714)</f>
        <v>0</v>
      </c>
      <c r="J705" s="59">
        <f>SUM(J706:J714)</f>
        <v>0</v>
      </c>
      <c r="K705" s="48"/>
      <c r="L705" s="59">
        <f>SUM(L706:L714)</f>
        <v>0</v>
      </c>
      <c r="M705" s="48"/>
      <c r="AI705" s="48" t="s">
        <v>61</v>
      </c>
      <c r="AS705" s="59">
        <f>SUM(AJ706:AJ714)</f>
        <v>0</v>
      </c>
      <c r="AT705" s="59">
        <f>SUM(AK706:AK714)</f>
        <v>0</v>
      </c>
      <c r="AU705" s="59">
        <f>SUM(AL706:AL714)</f>
        <v>0</v>
      </c>
    </row>
    <row r="706" spans="1:62" ht="12.75">
      <c r="A706" s="36" t="s">
        <v>1935</v>
      </c>
      <c r="B706" s="36" t="s">
        <v>61</v>
      </c>
      <c r="C706" s="36" t="s">
        <v>281</v>
      </c>
      <c r="D706" s="36" t="s">
        <v>474</v>
      </c>
      <c r="E706" s="36" t="s">
        <v>612</v>
      </c>
      <c r="F706" s="55">
        <f>'Stavební rozpočet'!F721</f>
        <v>0</v>
      </c>
      <c r="G706" s="55">
        <f>'Stavební rozpočet'!G721</f>
        <v>174.5</v>
      </c>
      <c r="H706" s="55">
        <f aca="true" t="shared" si="756" ref="H706:H714">F706*AO706</f>
        <v>0</v>
      </c>
      <c r="I706" s="55">
        <f aca="true" t="shared" si="757" ref="I706:I714">F706*AP706</f>
        <v>0</v>
      </c>
      <c r="J706" s="55">
        <f aca="true" t="shared" si="758" ref="J706:J714">F706*G706</f>
        <v>0</v>
      </c>
      <c r="K706" s="55">
        <f>'Stavební rozpočet'!K721</f>
        <v>0</v>
      </c>
      <c r="L706" s="55">
        <f aca="true" t="shared" si="759" ref="L706:L714">F706*K706</f>
        <v>0</v>
      </c>
      <c r="M706" s="51" t="s">
        <v>622</v>
      </c>
      <c r="Z706" s="29">
        <f aca="true" t="shared" si="760" ref="Z706:Z714">IF(AQ706="5",BJ706,0)</f>
        <v>0</v>
      </c>
      <c r="AB706" s="29">
        <f aca="true" t="shared" si="761" ref="AB706:AB714">IF(AQ706="1",BH706,0)</f>
        <v>0</v>
      </c>
      <c r="AC706" s="29">
        <f aca="true" t="shared" si="762" ref="AC706:AC714">IF(AQ706="1",BI706,0)</f>
        <v>0</v>
      </c>
      <c r="AD706" s="29">
        <f aca="true" t="shared" si="763" ref="AD706:AD714">IF(AQ706="7",BH706,0)</f>
        <v>0</v>
      </c>
      <c r="AE706" s="29">
        <f aca="true" t="shared" si="764" ref="AE706:AE714">IF(AQ706="7",BI706,0)</f>
        <v>0</v>
      </c>
      <c r="AF706" s="29">
        <f aca="true" t="shared" si="765" ref="AF706:AF714">IF(AQ706="2",BH706,0)</f>
        <v>0</v>
      </c>
      <c r="AG706" s="29">
        <f aca="true" t="shared" si="766" ref="AG706:AG714">IF(AQ706="2",BI706,0)</f>
        <v>0</v>
      </c>
      <c r="AH706" s="29">
        <f aca="true" t="shared" si="767" ref="AH706:AH714">IF(AQ706="0",BJ706,0)</f>
        <v>0</v>
      </c>
      <c r="AI706" s="48" t="s">
        <v>61</v>
      </c>
      <c r="AJ706" s="55">
        <f aca="true" t="shared" si="768" ref="AJ706:AJ714">IF(AN706=0,J706,0)</f>
        <v>0</v>
      </c>
      <c r="AK706" s="55">
        <f aca="true" t="shared" si="769" ref="AK706:AK714">IF(AN706=15,J706,0)</f>
        <v>0</v>
      </c>
      <c r="AL706" s="55">
        <f aca="true" t="shared" si="770" ref="AL706:AL714">IF(AN706=21,J706,0)</f>
        <v>0</v>
      </c>
      <c r="AN706" s="29">
        <v>15</v>
      </c>
      <c r="AO706" s="29">
        <f aca="true" t="shared" si="771" ref="AO706:AO714">G706*0</f>
        <v>0</v>
      </c>
      <c r="AP706" s="29">
        <f aca="true" t="shared" si="772" ref="AP706:AP714">G706*(1-0)</f>
        <v>174.5</v>
      </c>
      <c r="AQ706" s="51" t="s">
        <v>83</v>
      </c>
      <c r="AV706" s="29">
        <f aca="true" t="shared" si="773" ref="AV706:AV714">AW706+AX706</f>
        <v>0</v>
      </c>
      <c r="AW706" s="29">
        <f aca="true" t="shared" si="774" ref="AW706:AW714">F706*AO706</f>
        <v>0</v>
      </c>
      <c r="AX706" s="29">
        <f aca="true" t="shared" si="775" ref="AX706:AX714">F706*AP706</f>
        <v>0</v>
      </c>
      <c r="AY706" s="54" t="s">
        <v>640</v>
      </c>
      <c r="AZ706" s="54" t="s">
        <v>1643</v>
      </c>
      <c r="BA706" s="48" t="s">
        <v>1649</v>
      </c>
      <c r="BC706" s="29">
        <f aca="true" t="shared" si="776" ref="BC706:BC714">AW706+AX706</f>
        <v>0</v>
      </c>
      <c r="BD706" s="29">
        <f aca="true" t="shared" si="777" ref="BD706:BD714">G706/(100-BE706)*100</f>
        <v>174.5</v>
      </c>
      <c r="BE706" s="29">
        <v>0</v>
      </c>
      <c r="BF706" s="29">
        <f aca="true" t="shared" si="778" ref="BF706:BF714">L706</f>
        <v>0</v>
      </c>
      <c r="BH706" s="55">
        <f aca="true" t="shared" si="779" ref="BH706:BH714">F706*AO706</f>
        <v>0</v>
      </c>
      <c r="BI706" s="55">
        <f aca="true" t="shared" si="780" ref="BI706:BI714">F706*AP706</f>
        <v>0</v>
      </c>
      <c r="BJ706" s="55">
        <f aca="true" t="shared" si="781" ref="BJ706:BJ714">F706*G706</f>
        <v>0</v>
      </c>
    </row>
    <row r="707" spans="1:62" ht="12.75">
      <c r="A707" s="36" t="s">
        <v>1936</v>
      </c>
      <c r="B707" s="36" t="s">
        <v>61</v>
      </c>
      <c r="C707" s="36" t="s">
        <v>282</v>
      </c>
      <c r="D707" s="36" t="s">
        <v>475</v>
      </c>
      <c r="E707" s="36" t="s">
        <v>612</v>
      </c>
      <c r="F707" s="55">
        <f>'Stavební rozpočet'!F722</f>
        <v>0</v>
      </c>
      <c r="G707" s="55">
        <f>'Stavební rozpočet'!G722</f>
        <v>15</v>
      </c>
      <c r="H707" s="55">
        <f t="shared" si="756"/>
        <v>0</v>
      </c>
      <c r="I707" s="55">
        <f t="shared" si="757"/>
        <v>0</v>
      </c>
      <c r="J707" s="55">
        <f t="shared" si="758"/>
        <v>0</v>
      </c>
      <c r="K707" s="55">
        <f>'Stavební rozpočet'!K722</f>
        <v>0</v>
      </c>
      <c r="L707" s="55">
        <f t="shared" si="759"/>
        <v>0</v>
      </c>
      <c r="M707" s="51" t="s">
        <v>622</v>
      </c>
      <c r="Z707" s="29">
        <f t="shared" si="760"/>
        <v>0</v>
      </c>
      <c r="AB707" s="29">
        <f t="shared" si="761"/>
        <v>0</v>
      </c>
      <c r="AC707" s="29">
        <f t="shared" si="762"/>
        <v>0</v>
      </c>
      <c r="AD707" s="29">
        <f t="shared" si="763"/>
        <v>0</v>
      </c>
      <c r="AE707" s="29">
        <f t="shared" si="764"/>
        <v>0</v>
      </c>
      <c r="AF707" s="29">
        <f t="shared" si="765"/>
        <v>0</v>
      </c>
      <c r="AG707" s="29">
        <f t="shared" si="766"/>
        <v>0</v>
      </c>
      <c r="AH707" s="29">
        <f t="shared" si="767"/>
        <v>0</v>
      </c>
      <c r="AI707" s="48" t="s">
        <v>61</v>
      </c>
      <c r="AJ707" s="55">
        <f t="shared" si="768"/>
        <v>0</v>
      </c>
      <c r="AK707" s="55">
        <f t="shared" si="769"/>
        <v>0</v>
      </c>
      <c r="AL707" s="55">
        <f t="shared" si="770"/>
        <v>0</v>
      </c>
      <c r="AN707" s="29">
        <v>15</v>
      </c>
      <c r="AO707" s="29">
        <f t="shared" si="771"/>
        <v>0</v>
      </c>
      <c r="AP707" s="29">
        <f t="shared" si="772"/>
        <v>15</v>
      </c>
      <c r="AQ707" s="51" t="s">
        <v>83</v>
      </c>
      <c r="AV707" s="29">
        <f t="shared" si="773"/>
        <v>0</v>
      </c>
      <c r="AW707" s="29">
        <f t="shared" si="774"/>
        <v>0</v>
      </c>
      <c r="AX707" s="29">
        <f t="shared" si="775"/>
        <v>0</v>
      </c>
      <c r="AY707" s="54" t="s">
        <v>640</v>
      </c>
      <c r="AZ707" s="54" t="s">
        <v>1643</v>
      </c>
      <c r="BA707" s="48" t="s">
        <v>1649</v>
      </c>
      <c r="BC707" s="29">
        <f t="shared" si="776"/>
        <v>0</v>
      </c>
      <c r="BD707" s="29">
        <f t="shared" si="777"/>
        <v>15</v>
      </c>
      <c r="BE707" s="29">
        <v>0</v>
      </c>
      <c r="BF707" s="29">
        <f t="shared" si="778"/>
        <v>0</v>
      </c>
      <c r="BH707" s="55">
        <f t="shared" si="779"/>
        <v>0</v>
      </c>
      <c r="BI707" s="55">
        <f t="shared" si="780"/>
        <v>0</v>
      </c>
      <c r="BJ707" s="55">
        <f t="shared" si="781"/>
        <v>0</v>
      </c>
    </row>
    <row r="708" spans="1:62" ht="12.75">
      <c r="A708" s="36" t="s">
        <v>1937</v>
      </c>
      <c r="B708" s="36" t="s">
        <v>61</v>
      </c>
      <c r="C708" s="36" t="s">
        <v>283</v>
      </c>
      <c r="D708" s="36" t="s">
        <v>476</v>
      </c>
      <c r="E708" s="36" t="s">
        <v>612</v>
      </c>
      <c r="F708" s="55">
        <f>'Stavební rozpočet'!F723</f>
        <v>0</v>
      </c>
      <c r="G708" s="55">
        <f>'Stavební rozpočet'!G723</f>
        <v>222.5</v>
      </c>
      <c r="H708" s="55">
        <f t="shared" si="756"/>
        <v>0</v>
      </c>
      <c r="I708" s="55">
        <f t="shared" si="757"/>
        <v>0</v>
      </c>
      <c r="J708" s="55">
        <f t="shared" si="758"/>
        <v>0</v>
      </c>
      <c r="K708" s="55">
        <f>'Stavební rozpočet'!K723</f>
        <v>0</v>
      </c>
      <c r="L708" s="55">
        <f t="shared" si="759"/>
        <v>0</v>
      </c>
      <c r="M708" s="51" t="s">
        <v>622</v>
      </c>
      <c r="Z708" s="29">
        <f t="shared" si="760"/>
        <v>0</v>
      </c>
      <c r="AB708" s="29">
        <f t="shared" si="761"/>
        <v>0</v>
      </c>
      <c r="AC708" s="29">
        <f t="shared" si="762"/>
        <v>0</v>
      </c>
      <c r="AD708" s="29">
        <f t="shared" si="763"/>
        <v>0</v>
      </c>
      <c r="AE708" s="29">
        <f t="shared" si="764"/>
        <v>0</v>
      </c>
      <c r="AF708" s="29">
        <f t="shared" si="765"/>
        <v>0</v>
      </c>
      <c r="AG708" s="29">
        <f t="shared" si="766"/>
        <v>0</v>
      </c>
      <c r="AH708" s="29">
        <f t="shared" si="767"/>
        <v>0</v>
      </c>
      <c r="AI708" s="48" t="s">
        <v>61</v>
      </c>
      <c r="AJ708" s="55">
        <f t="shared" si="768"/>
        <v>0</v>
      </c>
      <c r="AK708" s="55">
        <f t="shared" si="769"/>
        <v>0</v>
      </c>
      <c r="AL708" s="55">
        <f t="shared" si="770"/>
        <v>0</v>
      </c>
      <c r="AN708" s="29">
        <v>15</v>
      </c>
      <c r="AO708" s="29">
        <f t="shared" si="771"/>
        <v>0</v>
      </c>
      <c r="AP708" s="29">
        <f t="shared" si="772"/>
        <v>222.5</v>
      </c>
      <c r="AQ708" s="51" t="s">
        <v>83</v>
      </c>
      <c r="AV708" s="29">
        <f t="shared" si="773"/>
        <v>0</v>
      </c>
      <c r="AW708" s="29">
        <f t="shared" si="774"/>
        <v>0</v>
      </c>
      <c r="AX708" s="29">
        <f t="shared" si="775"/>
        <v>0</v>
      </c>
      <c r="AY708" s="54" t="s">
        <v>640</v>
      </c>
      <c r="AZ708" s="54" t="s">
        <v>1643</v>
      </c>
      <c r="BA708" s="48" t="s">
        <v>1649</v>
      </c>
      <c r="BC708" s="29">
        <f t="shared" si="776"/>
        <v>0</v>
      </c>
      <c r="BD708" s="29">
        <f t="shared" si="777"/>
        <v>222.5</v>
      </c>
      <c r="BE708" s="29">
        <v>0</v>
      </c>
      <c r="BF708" s="29">
        <f t="shared" si="778"/>
        <v>0</v>
      </c>
      <c r="BH708" s="55">
        <f t="shared" si="779"/>
        <v>0</v>
      </c>
      <c r="BI708" s="55">
        <f t="shared" si="780"/>
        <v>0</v>
      </c>
      <c r="BJ708" s="55">
        <f t="shared" si="781"/>
        <v>0</v>
      </c>
    </row>
    <row r="709" spans="1:62" ht="12.75">
      <c r="A709" s="36" t="s">
        <v>1938</v>
      </c>
      <c r="B709" s="36" t="s">
        <v>61</v>
      </c>
      <c r="C709" s="36" t="s">
        <v>284</v>
      </c>
      <c r="D709" s="36" t="s">
        <v>477</v>
      </c>
      <c r="E709" s="36" t="s">
        <v>612</v>
      </c>
      <c r="F709" s="55">
        <f>'Stavební rozpočet'!F724</f>
        <v>0</v>
      </c>
      <c r="G709" s="55">
        <f>'Stavební rozpočet'!G724</f>
        <v>24.8</v>
      </c>
      <c r="H709" s="55">
        <f t="shared" si="756"/>
        <v>0</v>
      </c>
      <c r="I709" s="55">
        <f t="shared" si="757"/>
        <v>0</v>
      </c>
      <c r="J709" s="55">
        <f t="shared" si="758"/>
        <v>0</v>
      </c>
      <c r="K709" s="55">
        <f>'Stavební rozpočet'!K724</f>
        <v>0</v>
      </c>
      <c r="L709" s="55">
        <f t="shared" si="759"/>
        <v>0</v>
      </c>
      <c r="M709" s="51" t="s">
        <v>622</v>
      </c>
      <c r="Z709" s="29">
        <f t="shared" si="760"/>
        <v>0</v>
      </c>
      <c r="AB709" s="29">
        <f t="shared" si="761"/>
        <v>0</v>
      </c>
      <c r="AC709" s="29">
        <f t="shared" si="762"/>
        <v>0</v>
      </c>
      <c r="AD709" s="29">
        <f t="shared" si="763"/>
        <v>0</v>
      </c>
      <c r="AE709" s="29">
        <f t="shared" si="764"/>
        <v>0</v>
      </c>
      <c r="AF709" s="29">
        <f t="shared" si="765"/>
        <v>0</v>
      </c>
      <c r="AG709" s="29">
        <f t="shared" si="766"/>
        <v>0</v>
      </c>
      <c r="AH709" s="29">
        <f t="shared" si="767"/>
        <v>0</v>
      </c>
      <c r="AI709" s="48" t="s">
        <v>61</v>
      </c>
      <c r="AJ709" s="55">
        <f t="shared" si="768"/>
        <v>0</v>
      </c>
      <c r="AK709" s="55">
        <f t="shared" si="769"/>
        <v>0</v>
      </c>
      <c r="AL709" s="55">
        <f t="shared" si="770"/>
        <v>0</v>
      </c>
      <c r="AN709" s="29">
        <v>15</v>
      </c>
      <c r="AO709" s="29">
        <f t="shared" si="771"/>
        <v>0</v>
      </c>
      <c r="AP709" s="29">
        <f t="shared" si="772"/>
        <v>24.8</v>
      </c>
      <c r="AQ709" s="51" t="s">
        <v>83</v>
      </c>
      <c r="AV709" s="29">
        <f t="shared" si="773"/>
        <v>0</v>
      </c>
      <c r="AW709" s="29">
        <f t="shared" si="774"/>
        <v>0</v>
      </c>
      <c r="AX709" s="29">
        <f t="shared" si="775"/>
        <v>0</v>
      </c>
      <c r="AY709" s="54" t="s">
        <v>640</v>
      </c>
      <c r="AZ709" s="54" t="s">
        <v>1643</v>
      </c>
      <c r="BA709" s="48" t="s">
        <v>1649</v>
      </c>
      <c r="BC709" s="29">
        <f t="shared" si="776"/>
        <v>0</v>
      </c>
      <c r="BD709" s="29">
        <f t="shared" si="777"/>
        <v>24.8</v>
      </c>
      <c r="BE709" s="29">
        <v>0</v>
      </c>
      <c r="BF709" s="29">
        <f t="shared" si="778"/>
        <v>0</v>
      </c>
      <c r="BH709" s="55">
        <f t="shared" si="779"/>
        <v>0</v>
      </c>
      <c r="BI709" s="55">
        <f t="shared" si="780"/>
        <v>0</v>
      </c>
      <c r="BJ709" s="55">
        <f t="shared" si="781"/>
        <v>0</v>
      </c>
    </row>
    <row r="710" spans="1:62" ht="12.75">
      <c r="A710" s="36" t="s">
        <v>1939</v>
      </c>
      <c r="B710" s="36" t="s">
        <v>61</v>
      </c>
      <c r="C710" s="36" t="s">
        <v>285</v>
      </c>
      <c r="D710" s="36" t="s">
        <v>478</v>
      </c>
      <c r="E710" s="36" t="s">
        <v>612</v>
      </c>
      <c r="F710" s="55">
        <f>'Stavební rozpočet'!F725</f>
        <v>0</v>
      </c>
      <c r="G710" s="55">
        <f>'Stavební rozpočet'!G725</f>
        <v>110.49</v>
      </c>
      <c r="H710" s="55">
        <f t="shared" si="756"/>
        <v>0</v>
      </c>
      <c r="I710" s="55">
        <f t="shared" si="757"/>
        <v>0</v>
      </c>
      <c r="J710" s="55">
        <f t="shared" si="758"/>
        <v>0</v>
      </c>
      <c r="K710" s="55">
        <f>'Stavební rozpočet'!K725</f>
        <v>0</v>
      </c>
      <c r="L710" s="55">
        <f t="shared" si="759"/>
        <v>0</v>
      </c>
      <c r="M710" s="51" t="s">
        <v>622</v>
      </c>
      <c r="Z710" s="29">
        <f t="shared" si="760"/>
        <v>0</v>
      </c>
      <c r="AB710" s="29">
        <f t="shared" si="761"/>
        <v>0</v>
      </c>
      <c r="AC710" s="29">
        <f t="shared" si="762"/>
        <v>0</v>
      </c>
      <c r="AD710" s="29">
        <f t="shared" si="763"/>
        <v>0</v>
      </c>
      <c r="AE710" s="29">
        <f t="shared" si="764"/>
        <v>0</v>
      </c>
      <c r="AF710" s="29">
        <f t="shared" si="765"/>
        <v>0</v>
      </c>
      <c r="AG710" s="29">
        <f t="shared" si="766"/>
        <v>0</v>
      </c>
      <c r="AH710" s="29">
        <f t="shared" si="767"/>
        <v>0</v>
      </c>
      <c r="AI710" s="48" t="s">
        <v>61</v>
      </c>
      <c r="AJ710" s="55">
        <f t="shared" si="768"/>
        <v>0</v>
      </c>
      <c r="AK710" s="55">
        <f t="shared" si="769"/>
        <v>0</v>
      </c>
      <c r="AL710" s="55">
        <f t="shared" si="770"/>
        <v>0</v>
      </c>
      <c r="AN710" s="29">
        <v>15</v>
      </c>
      <c r="AO710" s="29">
        <f t="shared" si="771"/>
        <v>0</v>
      </c>
      <c r="AP710" s="29">
        <f t="shared" si="772"/>
        <v>110.49</v>
      </c>
      <c r="AQ710" s="51" t="s">
        <v>83</v>
      </c>
      <c r="AV710" s="29">
        <f t="shared" si="773"/>
        <v>0</v>
      </c>
      <c r="AW710" s="29">
        <f t="shared" si="774"/>
        <v>0</v>
      </c>
      <c r="AX710" s="29">
        <f t="shared" si="775"/>
        <v>0</v>
      </c>
      <c r="AY710" s="54" t="s">
        <v>640</v>
      </c>
      <c r="AZ710" s="54" t="s">
        <v>1643</v>
      </c>
      <c r="BA710" s="48" t="s">
        <v>1649</v>
      </c>
      <c r="BC710" s="29">
        <f t="shared" si="776"/>
        <v>0</v>
      </c>
      <c r="BD710" s="29">
        <f t="shared" si="777"/>
        <v>110.49</v>
      </c>
      <c r="BE710" s="29">
        <v>0</v>
      </c>
      <c r="BF710" s="29">
        <f t="shared" si="778"/>
        <v>0</v>
      </c>
      <c r="BH710" s="55">
        <f t="shared" si="779"/>
        <v>0</v>
      </c>
      <c r="BI710" s="55">
        <f t="shared" si="780"/>
        <v>0</v>
      </c>
      <c r="BJ710" s="55">
        <f t="shared" si="781"/>
        <v>0</v>
      </c>
    </row>
    <row r="711" spans="1:62" ht="12.75">
      <c r="A711" s="36" t="s">
        <v>1940</v>
      </c>
      <c r="B711" s="36" t="s">
        <v>61</v>
      </c>
      <c r="C711" s="36" t="s">
        <v>286</v>
      </c>
      <c r="D711" s="36" t="s">
        <v>479</v>
      </c>
      <c r="E711" s="36" t="s">
        <v>612</v>
      </c>
      <c r="F711" s="55">
        <f>'Stavební rozpočet'!F726</f>
        <v>0</v>
      </c>
      <c r="G711" s="55">
        <f>'Stavební rozpočet'!G726</f>
        <v>250</v>
      </c>
      <c r="H711" s="55">
        <f t="shared" si="756"/>
        <v>0</v>
      </c>
      <c r="I711" s="55">
        <f t="shared" si="757"/>
        <v>0</v>
      </c>
      <c r="J711" s="55">
        <f t="shared" si="758"/>
        <v>0</v>
      </c>
      <c r="K711" s="55">
        <f>'Stavební rozpočet'!K726</f>
        <v>0</v>
      </c>
      <c r="L711" s="55">
        <f t="shared" si="759"/>
        <v>0</v>
      </c>
      <c r="M711" s="51" t="s">
        <v>622</v>
      </c>
      <c r="Z711" s="29">
        <f t="shared" si="760"/>
        <v>0</v>
      </c>
      <c r="AB711" s="29">
        <f t="shared" si="761"/>
        <v>0</v>
      </c>
      <c r="AC711" s="29">
        <f t="shared" si="762"/>
        <v>0</v>
      </c>
      <c r="AD711" s="29">
        <f t="shared" si="763"/>
        <v>0</v>
      </c>
      <c r="AE711" s="29">
        <f t="shared" si="764"/>
        <v>0</v>
      </c>
      <c r="AF711" s="29">
        <f t="shared" si="765"/>
        <v>0</v>
      </c>
      <c r="AG711" s="29">
        <f t="shared" si="766"/>
        <v>0</v>
      </c>
      <c r="AH711" s="29">
        <f t="shared" si="767"/>
        <v>0</v>
      </c>
      <c r="AI711" s="48" t="s">
        <v>61</v>
      </c>
      <c r="AJ711" s="55">
        <f t="shared" si="768"/>
        <v>0</v>
      </c>
      <c r="AK711" s="55">
        <f t="shared" si="769"/>
        <v>0</v>
      </c>
      <c r="AL711" s="55">
        <f t="shared" si="770"/>
        <v>0</v>
      </c>
      <c r="AN711" s="29">
        <v>15</v>
      </c>
      <c r="AO711" s="29">
        <f t="shared" si="771"/>
        <v>0</v>
      </c>
      <c r="AP711" s="29">
        <f t="shared" si="772"/>
        <v>250</v>
      </c>
      <c r="AQ711" s="51" t="s">
        <v>83</v>
      </c>
      <c r="AV711" s="29">
        <f t="shared" si="773"/>
        <v>0</v>
      </c>
      <c r="AW711" s="29">
        <f t="shared" si="774"/>
        <v>0</v>
      </c>
      <c r="AX711" s="29">
        <f t="shared" si="775"/>
        <v>0</v>
      </c>
      <c r="AY711" s="54" t="s">
        <v>640</v>
      </c>
      <c r="AZ711" s="54" t="s">
        <v>1643</v>
      </c>
      <c r="BA711" s="48" t="s">
        <v>1649</v>
      </c>
      <c r="BC711" s="29">
        <f t="shared" si="776"/>
        <v>0</v>
      </c>
      <c r="BD711" s="29">
        <f t="shared" si="777"/>
        <v>250</v>
      </c>
      <c r="BE711" s="29">
        <v>0</v>
      </c>
      <c r="BF711" s="29">
        <f t="shared" si="778"/>
        <v>0</v>
      </c>
      <c r="BH711" s="55">
        <f t="shared" si="779"/>
        <v>0</v>
      </c>
      <c r="BI711" s="55">
        <f t="shared" si="780"/>
        <v>0</v>
      </c>
      <c r="BJ711" s="55">
        <f t="shared" si="781"/>
        <v>0</v>
      </c>
    </row>
    <row r="712" spans="1:62" ht="12.75">
      <c r="A712" s="36" t="s">
        <v>1941</v>
      </c>
      <c r="B712" s="36" t="s">
        <v>61</v>
      </c>
      <c r="C712" s="36" t="s">
        <v>1561</v>
      </c>
      <c r="D712" s="36" t="s">
        <v>1610</v>
      </c>
      <c r="E712" s="36" t="s">
        <v>612</v>
      </c>
      <c r="F712" s="55">
        <f>'Stavební rozpočet'!F727</f>
        <v>0</v>
      </c>
      <c r="G712" s="55">
        <f>'Stavební rozpočet'!G727</f>
        <v>550</v>
      </c>
      <c r="H712" s="55">
        <f t="shared" si="756"/>
        <v>0</v>
      </c>
      <c r="I712" s="55">
        <f t="shared" si="757"/>
        <v>0</v>
      </c>
      <c r="J712" s="55">
        <f t="shared" si="758"/>
        <v>0</v>
      </c>
      <c r="K712" s="55">
        <f>'Stavební rozpočet'!K727</f>
        <v>0</v>
      </c>
      <c r="L712" s="55">
        <f t="shared" si="759"/>
        <v>0</v>
      </c>
      <c r="M712" s="51" t="s">
        <v>622</v>
      </c>
      <c r="Z712" s="29">
        <f t="shared" si="760"/>
        <v>0</v>
      </c>
      <c r="AB712" s="29">
        <f t="shared" si="761"/>
        <v>0</v>
      </c>
      <c r="AC712" s="29">
        <f t="shared" si="762"/>
        <v>0</v>
      </c>
      <c r="AD712" s="29">
        <f t="shared" si="763"/>
        <v>0</v>
      </c>
      <c r="AE712" s="29">
        <f t="shared" si="764"/>
        <v>0</v>
      </c>
      <c r="AF712" s="29">
        <f t="shared" si="765"/>
        <v>0</v>
      </c>
      <c r="AG712" s="29">
        <f t="shared" si="766"/>
        <v>0</v>
      </c>
      <c r="AH712" s="29">
        <f t="shared" si="767"/>
        <v>0</v>
      </c>
      <c r="AI712" s="48" t="s">
        <v>61</v>
      </c>
      <c r="AJ712" s="55">
        <f t="shared" si="768"/>
        <v>0</v>
      </c>
      <c r="AK712" s="55">
        <f t="shared" si="769"/>
        <v>0</v>
      </c>
      <c r="AL712" s="55">
        <f t="shared" si="770"/>
        <v>0</v>
      </c>
      <c r="AN712" s="29">
        <v>15</v>
      </c>
      <c r="AO712" s="29">
        <f t="shared" si="771"/>
        <v>0</v>
      </c>
      <c r="AP712" s="29">
        <f t="shared" si="772"/>
        <v>550</v>
      </c>
      <c r="AQ712" s="51" t="s">
        <v>83</v>
      </c>
      <c r="AV712" s="29">
        <f t="shared" si="773"/>
        <v>0</v>
      </c>
      <c r="AW712" s="29">
        <f t="shared" si="774"/>
        <v>0</v>
      </c>
      <c r="AX712" s="29">
        <f t="shared" si="775"/>
        <v>0</v>
      </c>
      <c r="AY712" s="54" t="s">
        <v>640</v>
      </c>
      <c r="AZ712" s="54" t="s">
        <v>1643</v>
      </c>
      <c r="BA712" s="48" t="s">
        <v>1649</v>
      </c>
      <c r="BC712" s="29">
        <f t="shared" si="776"/>
        <v>0</v>
      </c>
      <c r="BD712" s="29">
        <f t="shared" si="777"/>
        <v>550</v>
      </c>
      <c r="BE712" s="29">
        <v>0</v>
      </c>
      <c r="BF712" s="29">
        <f t="shared" si="778"/>
        <v>0</v>
      </c>
      <c r="BH712" s="55">
        <f t="shared" si="779"/>
        <v>0</v>
      </c>
      <c r="BI712" s="55">
        <f t="shared" si="780"/>
        <v>0</v>
      </c>
      <c r="BJ712" s="55">
        <f t="shared" si="781"/>
        <v>0</v>
      </c>
    </row>
    <row r="713" spans="1:62" ht="12.75">
      <c r="A713" s="36" t="s">
        <v>1942</v>
      </c>
      <c r="B713" s="36" t="s">
        <v>61</v>
      </c>
      <c r="C713" s="36" t="s">
        <v>287</v>
      </c>
      <c r="D713" s="36" t="s">
        <v>480</v>
      </c>
      <c r="E713" s="36" t="s">
        <v>612</v>
      </c>
      <c r="F713" s="55">
        <f>'Stavební rozpočet'!F728</f>
        <v>0</v>
      </c>
      <c r="G713" s="55">
        <f>'Stavební rozpočet'!G728</f>
        <v>550</v>
      </c>
      <c r="H713" s="55">
        <f t="shared" si="756"/>
        <v>0</v>
      </c>
      <c r="I713" s="55">
        <f t="shared" si="757"/>
        <v>0</v>
      </c>
      <c r="J713" s="55">
        <f t="shared" si="758"/>
        <v>0</v>
      </c>
      <c r="K713" s="55">
        <f>'Stavební rozpočet'!K728</f>
        <v>0</v>
      </c>
      <c r="L713" s="55">
        <f t="shared" si="759"/>
        <v>0</v>
      </c>
      <c r="M713" s="51" t="s">
        <v>622</v>
      </c>
      <c r="Z713" s="29">
        <f t="shared" si="760"/>
        <v>0</v>
      </c>
      <c r="AB713" s="29">
        <f t="shared" si="761"/>
        <v>0</v>
      </c>
      <c r="AC713" s="29">
        <f t="shared" si="762"/>
        <v>0</v>
      </c>
      <c r="AD713" s="29">
        <f t="shared" si="763"/>
        <v>0</v>
      </c>
      <c r="AE713" s="29">
        <f t="shared" si="764"/>
        <v>0</v>
      </c>
      <c r="AF713" s="29">
        <f t="shared" si="765"/>
        <v>0</v>
      </c>
      <c r="AG713" s="29">
        <f t="shared" si="766"/>
        <v>0</v>
      </c>
      <c r="AH713" s="29">
        <f t="shared" si="767"/>
        <v>0</v>
      </c>
      <c r="AI713" s="48" t="s">
        <v>61</v>
      </c>
      <c r="AJ713" s="55">
        <f t="shared" si="768"/>
        <v>0</v>
      </c>
      <c r="AK713" s="55">
        <f t="shared" si="769"/>
        <v>0</v>
      </c>
      <c r="AL713" s="55">
        <f t="shared" si="770"/>
        <v>0</v>
      </c>
      <c r="AN713" s="29">
        <v>15</v>
      </c>
      <c r="AO713" s="29">
        <f t="shared" si="771"/>
        <v>0</v>
      </c>
      <c r="AP713" s="29">
        <f t="shared" si="772"/>
        <v>550</v>
      </c>
      <c r="AQ713" s="51" t="s">
        <v>83</v>
      </c>
      <c r="AV713" s="29">
        <f t="shared" si="773"/>
        <v>0</v>
      </c>
      <c r="AW713" s="29">
        <f t="shared" si="774"/>
        <v>0</v>
      </c>
      <c r="AX713" s="29">
        <f t="shared" si="775"/>
        <v>0</v>
      </c>
      <c r="AY713" s="54" t="s">
        <v>640</v>
      </c>
      <c r="AZ713" s="54" t="s">
        <v>1643</v>
      </c>
      <c r="BA713" s="48" t="s">
        <v>1649</v>
      </c>
      <c r="BC713" s="29">
        <f t="shared" si="776"/>
        <v>0</v>
      </c>
      <c r="BD713" s="29">
        <f t="shared" si="777"/>
        <v>550</v>
      </c>
      <c r="BE713" s="29">
        <v>0</v>
      </c>
      <c r="BF713" s="29">
        <f t="shared" si="778"/>
        <v>0</v>
      </c>
      <c r="BH713" s="55">
        <f t="shared" si="779"/>
        <v>0</v>
      </c>
      <c r="BI713" s="55">
        <f t="shared" si="780"/>
        <v>0</v>
      </c>
      <c r="BJ713" s="55">
        <f t="shared" si="781"/>
        <v>0</v>
      </c>
    </row>
    <row r="714" spans="1:62" ht="12.75">
      <c r="A714" s="36" t="s">
        <v>1943</v>
      </c>
      <c r="B714" s="36" t="s">
        <v>61</v>
      </c>
      <c r="C714" s="36" t="s">
        <v>1562</v>
      </c>
      <c r="D714" s="36" t="s">
        <v>1611</v>
      </c>
      <c r="E714" s="36" t="s">
        <v>612</v>
      </c>
      <c r="F714" s="55">
        <f>'Stavební rozpočet'!F729</f>
        <v>0</v>
      </c>
      <c r="G714" s="55">
        <f>'Stavební rozpočet'!G729</f>
        <v>1200</v>
      </c>
      <c r="H714" s="55">
        <f t="shared" si="756"/>
        <v>0</v>
      </c>
      <c r="I714" s="55">
        <f t="shared" si="757"/>
        <v>0</v>
      </c>
      <c r="J714" s="55">
        <f t="shared" si="758"/>
        <v>0</v>
      </c>
      <c r="K714" s="55">
        <f>'Stavební rozpočet'!K729</f>
        <v>0</v>
      </c>
      <c r="L714" s="55">
        <f t="shared" si="759"/>
        <v>0</v>
      </c>
      <c r="M714" s="51" t="s">
        <v>622</v>
      </c>
      <c r="Z714" s="29">
        <f t="shared" si="760"/>
        <v>0</v>
      </c>
      <c r="AB714" s="29">
        <f t="shared" si="761"/>
        <v>0</v>
      </c>
      <c r="AC714" s="29">
        <f t="shared" si="762"/>
        <v>0</v>
      </c>
      <c r="AD714" s="29">
        <f t="shared" si="763"/>
        <v>0</v>
      </c>
      <c r="AE714" s="29">
        <f t="shared" si="764"/>
        <v>0</v>
      </c>
      <c r="AF714" s="29">
        <f t="shared" si="765"/>
        <v>0</v>
      </c>
      <c r="AG714" s="29">
        <f t="shared" si="766"/>
        <v>0</v>
      </c>
      <c r="AH714" s="29">
        <f t="shared" si="767"/>
        <v>0</v>
      </c>
      <c r="AI714" s="48" t="s">
        <v>61</v>
      </c>
      <c r="AJ714" s="55">
        <f t="shared" si="768"/>
        <v>0</v>
      </c>
      <c r="AK714" s="55">
        <f t="shared" si="769"/>
        <v>0</v>
      </c>
      <c r="AL714" s="55">
        <f t="shared" si="770"/>
        <v>0</v>
      </c>
      <c r="AN714" s="29">
        <v>15</v>
      </c>
      <c r="AO714" s="29">
        <f t="shared" si="771"/>
        <v>0</v>
      </c>
      <c r="AP714" s="29">
        <f t="shared" si="772"/>
        <v>1200</v>
      </c>
      <c r="AQ714" s="51" t="s">
        <v>83</v>
      </c>
      <c r="AV714" s="29">
        <f t="shared" si="773"/>
        <v>0</v>
      </c>
      <c r="AW714" s="29">
        <f t="shared" si="774"/>
        <v>0</v>
      </c>
      <c r="AX714" s="29">
        <f t="shared" si="775"/>
        <v>0</v>
      </c>
      <c r="AY714" s="54" t="s">
        <v>640</v>
      </c>
      <c r="AZ714" s="54" t="s">
        <v>1643</v>
      </c>
      <c r="BA714" s="48" t="s">
        <v>1649</v>
      </c>
      <c r="BC714" s="29">
        <f t="shared" si="776"/>
        <v>0</v>
      </c>
      <c r="BD714" s="29">
        <f t="shared" si="777"/>
        <v>1200</v>
      </c>
      <c r="BE714" s="29">
        <v>0</v>
      </c>
      <c r="BF714" s="29">
        <f t="shared" si="778"/>
        <v>0</v>
      </c>
      <c r="BH714" s="55">
        <f t="shared" si="779"/>
        <v>0</v>
      </c>
      <c r="BI714" s="55">
        <f t="shared" si="780"/>
        <v>0</v>
      </c>
      <c r="BJ714" s="55">
        <f t="shared" si="781"/>
        <v>0</v>
      </c>
    </row>
    <row r="715" spans="1:47" ht="12.75">
      <c r="A715" s="35"/>
      <c r="B715" s="42" t="s">
        <v>61</v>
      </c>
      <c r="C715" s="42" t="s">
        <v>288</v>
      </c>
      <c r="D715" s="42" t="s">
        <v>481</v>
      </c>
      <c r="E715" s="35" t="s">
        <v>57</v>
      </c>
      <c r="F715" s="35" t="s">
        <v>57</v>
      </c>
      <c r="G715" s="35" t="s">
        <v>57</v>
      </c>
      <c r="H715" s="59">
        <f>SUM(H716:H716)</f>
        <v>0</v>
      </c>
      <c r="I715" s="59">
        <f>SUM(I716:I716)</f>
        <v>0</v>
      </c>
      <c r="J715" s="59">
        <f>SUM(J716:J716)</f>
        <v>0</v>
      </c>
      <c r="K715" s="48"/>
      <c r="L715" s="59">
        <f>SUM(L716:L716)</f>
        <v>0</v>
      </c>
      <c r="M715" s="48"/>
      <c r="AI715" s="48" t="s">
        <v>61</v>
      </c>
      <c r="AS715" s="59">
        <f>SUM(AJ716:AJ716)</f>
        <v>0</v>
      </c>
      <c r="AT715" s="59">
        <f>SUM(AK716:AK716)</f>
        <v>0</v>
      </c>
      <c r="AU715" s="59">
        <f>SUM(AL716:AL716)</f>
        <v>0</v>
      </c>
    </row>
    <row r="716" spans="1:62" ht="12.75">
      <c r="A716" s="36" t="s">
        <v>1944</v>
      </c>
      <c r="B716" s="36" t="s">
        <v>61</v>
      </c>
      <c r="C716" s="36" t="s">
        <v>289</v>
      </c>
      <c r="D716" s="36" t="s">
        <v>482</v>
      </c>
      <c r="E716" s="36" t="s">
        <v>612</v>
      </c>
      <c r="F716" s="55">
        <f>'Stavební rozpočet'!F731</f>
        <v>0</v>
      </c>
      <c r="G716" s="55">
        <f>'Stavební rozpočet'!G731</f>
        <v>255</v>
      </c>
      <c r="H716" s="55">
        <f>F716*AO716</f>
        <v>0</v>
      </c>
      <c r="I716" s="55">
        <f>F716*AP716</f>
        <v>0</v>
      </c>
      <c r="J716" s="55">
        <f>F716*G716</f>
        <v>0</v>
      </c>
      <c r="K716" s="55">
        <f>'Stavební rozpočet'!K731</f>
        <v>0</v>
      </c>
      <c r="L716" s="55">
        <f>F716*K716</f>
        <v>0</v>
      </c>
      <c r="M716" s="51" t="s">
        <v>622</v>
      </c>
      <c r="Z716" s="29">
        <f>IF(AQ716="5",BJ716,0)</f>
        <v>0</v>
      </c>
      <c r="AB716" s="29">
        <f>IF(AQ716="1",BH716,0)</f>
        <v>0</v>
      </c>
      <c r="AC716" s="29">
        <f>IF(AQ716="1",BI716,0)</f>
        <v>0</v>
      </c>
      <c r="AD716" s="29">
        <f>IF(AQ716="7",BH716,0)</f>
        <v>0</v>
      </c>
      <c r="AE716" s="29">
        <f>IF(AQ716="7",BI716,0)</f>
        <v>0</v>
      </c>
      <c r="AF716" s="29">
        <f>IF(AQ716="2",BH716,0)</f>
        <v>0</v>
      </c>
      <c r="AG716" s="29">
        <f>IF(AQ716="2",BI716,0)</f>
        <v>0</v>
      </c>
      <c r="AH716" s="29">
        <f>IF(AQ716="0",BJ716,0)</f>
        <v>0</v>
      </c>
      <c r="AI716" s="48" t="s">
        <v>61</v>
      </c>
      <c r="AJ716" s="55">
        <f>IF(AN716=0,J716,0)</f>
        <v>0</v>
      </c>
      <c r="AK716" s="55">
        <f>IF(AN716=15,J716,0)</f>
        <v>0</v>
      </c>
      <c r="AL716" s="55">
        <f>IF(AN716=21,J716,0)</f>
        <v>0</v>
      </c>
      <c r="AN716" s="29">
        <v>15</v>
      </c>
      <c r="AO716" s="29">
        <f>G716*0</f>
        <v>0</v>
      </c>
      <c r="AP716" s="29">
        <f>G716*(1-0)</f>
        <v>255</v>
      </c>
      <c r="AQ716" s="51" t="s">
        <v>83</v>
      </c>
      <c r="AV716" s="29">
        <f>AW716+AX716</f>
        <v>0</v>
      </c>
      <c r="AW716" s="29">
        <f>F716*AO716</f>
        <v>0</v>
      </c>
      <c r="AX716" s="29">
        <f>F716*AP716</f>
        <v>0</v>
      </c>
      <c r="AY716" s="54" t="s">
        <v>641</v>
      </c>
      <c r="AZ716" s="54" t="s">
        <v>1643</v>
      </c>
      <c r="BA716" s="48" t="s">
        <v>1649</v>
      </c>
      <c r="BC716" s="29">
        <f>AW716+AX716</f>
        <v>0</v>
      </c>
      <c r="BD716" s="29">
        <f>G716/(100-BE716)*100</f>
        <v>254.99999999999997</v>
      </c>
      <c r="BE716" s="29">
        <v>0</v>
      </c>
      <c r="BF716" s="29">
        <f>L716</f>
        <v>0</v>
      </c>
      <c r="BH716" s="55">
        <f>F716*AO716</f>
        <v>0</v>
      </c>
      <c r="BI716" s="55">
        <f>F716*AP716</f>
        <v>0</v>
      </c>
      <c r="BJ716" s="55">
        <f>F716*G716</f>
        <v>0</v>
      </c>
    </row>
    <row r="717" spans="1:47" ht="12.75">
      <c r="A717" s="35"/>
      <c r="B717" s="42" t="s">
        <v>61</v>
      </c>
      <c r="C717" s="42" t="s">
        <v>290</v>
      </c>
      <c r="D717" s="42" t="s">
        <v>483</v>
      </c>
      <c r="E717" s="35" t="s">
        <v>57</v>
      </c>
      <c r="F717" s="35" t="s">
        <v>57</v>
      </c>
      <c r="G717" s="35" t="s">
        <v>57</v>
      </c>
      <c r="H717" s="59">
        <f>SUM(H718:H754)</f>
        <v>0</v>
      </c>
      <c r="I717" s="59">
        <f>SUM(I718:I754)</f>
        <v>0</v>
      </c>
      <c r="J717" s="59">
        <f>SUM(J718:J754)</f>
        <v>0</v>
      </c>
      <c r="K717" s="48"/>
      <c r="L717" s="59">
        <f>SUM(L718:L754)</f>
        <v>0</v>
      </c>
      <c r="M717" s="48"/>
      <c r="AI717" s="48" t="s">
        <v>61</v>
      </c>
      <c r="AS717" s="59">
        <f>SUM(AJ718:AJ754)</f>
        <v>0</v>
      </c>
      <c r="AT717" s="59">
        <f>SUM(AK718:AK754)</f>
        <v>0</v>
      </c>
      <c r="AU717" s="59">
        <f>SUM(AL718:AL754)</f>
        <v>0</v>
      </c>
    </row>
    <row r="718" spans="1:62" ht="12.75">
      <c r="A718" s="36" t="s">
        <v>1945</v>
      </c>
      <c r="B718" s="36" t="s">
        <v>61</v>
      </c>
      <c r="C718" s="36" t="s">
        <v>291</v>
      </c>
      <c r="D718" s="36" t="s">
        <v>1612</v>
      </c>
      <c r="E718" s="36" t="s">
        <v>609</v>
      </c>
      <c r="F718" s="55">
        <f>'Stavební rozpočet'!F733</f>
        <v>0</v>
      </c>
      <c r="G718" s="55">
        <f>'Stavební rozpočet'!G733</f>
        <v>180</v>
      </c>
      <c r="H718" s="55">
        <f aca="true" t="shared" si="782" ref="H718:H754">F718*AO718</f>
        <v>0</v>
      </c>
      <c r="I718" s="55">
        <f aca="true" t="shared" si="783" ref="I718:I754">F718*AP718</f>
        <v>0</v>
      </c>
      <c r="J718" s="55">
        <f aca="true" t="shared" si="784" ref="J718:J754">F718*G718</f>
        <v>0</v>
      </c>
      <c r="K718" s="55">
        <f>'Stavební rozpočet'!K733</f>
        <v>0</v>
      </c>
      <c r="L718" s="55">
        <f aca="true" t="shared" si="785" ref="L718:L754">F718*K718</f>
        <v>0</v>
      </c>
      <c r="M718" s="51" t="s">
        <v>622</v>
      </c>
      <c r="Z718" s="29">
        <f aca="true" t="shared" si="786" ref="Z718:Z754">IF(AQ718="5",BJ718,0)</f>
        <v>0</v>
      </c>
      <c r="AB718" s="29">
        <f aca="true" t="shared" si="787" ref="AB718:AB754">IF(AQ718="1",BH718,0)</f>
        <v>0</v>
      </c>
      <c r="AC718" s="29">
        <f aca="true" t="shared" si="788" ref="AC718:AC754">IF(AQ718="1",BI718,0)</f>
        <v>0</v>
      </c>
      <c r="AD718" s="29">
        <f aca="true" t="shared" si="789" ref="AD718:AD754">IF(AQ718="7",BH718,0)</f>
        <v>0</v>
      </c>
      <c r="AE718" s="29">
        <f aca="true" t="shared" si="790" ref="AE718:AE754">IF(AQ718="7",BI718,0)</f>
        <v>0</v>
      </c>
      <c r="AF718" s="29">
        <f aca="true" t="shared" si="791" ref="AF718:AF754">IF(AQ718="2",BH718,0)</f>
        <v>0</v>
      </c>
      <c r="AG718" s="29">
        <f aca="true" t="shared" si="792" ref="AG718:AG754">IF(AQ718="2",BI718,0)</f>
        <v>0</v>
      </c>
      <c r="AH718" s="29">
        <f aca="true" t="shared" si="793" ref="AH718:AH754">IF(AQ718="0",BJ718,0)</f>
        <v>0</v>
      </c>
      <c r="AI718" s="48" t="s">
        <v>61</v>
      </c>
      <c r="AJ718" s="55">
        <f aca="true" t="shared" si="794" ref="AJ718:AJ754">IF(AN718=0,J718,0)</f>
        <v>0</v>
      </c>
      <c r="AK718" s="55">
        <f aca="true" t="shared" si="795" ref="AK718:AK754">IF(AN718=15,J718,0)</f>
        <v>0</v>
      </c>
      <c r="AL718" s="55">
        <f aca="true" t="shared" si="796" ref="AL718:AL754">IF(AN718=21,J718,0)</f>
        <v>0</v>
      </c>
      <c r="AN718" s="29">
        <v>15</v>
      </c>
      <c r="AO718" s="29">
        <f aca="true" t="shared" si="797" ref="AO718:AO754">G718*0</f>
        <v>0</v>
      </c>
      <c r="AP718" s="29">
        <f aca="true" t="shared" si="798" ref="AP718:AP754">G718*(1-0)</f>
        <v>180</v>
      </c>
      <c r="AQ718" s="51" t="s">
        <v>85</v>
      </c>
      <c r="AV718" s="29">
        <f aca="true" t="shared" si="799" ref="AV718:AV754">AW718+AX718</f>
        <v>0</v>
      </c>
      <c r="AW718" s="29">
        <f aca="true" t="shared" si="800" ref="AW718:AW754">F718*AO718</f>
        <v>0</v>
      </c>
      <c r="AX718" s="29">
        <f aca="true" t="shared" si="801" ref="AX718:AX754">F718*AP718</f>
        <v>0</v>
      </c>
      <c r="AY718" s="54" t="s">
        <v>642</v>
      </c>
      <c r="AZ718" s="54" t="s">
        <v>1644</v>
      </c>
      <c r="BA718" s="48" t="s">
        <v>1649</v>
      </c>
      <c r="BC718" s="29">
        <f aca="true" t="shared" si="802" ref="BC718:BC754">AW718+AX718</f>
        <v>0</v>
      </c>
      <c r="BD718" s="29">
        <f aca="true" t="shared" si="803" ref="BD718:BD754">G718/(100-BE718)*100</f>
        <v>180</v>
      </c>
      <c r="BE718" s="29">
        <v>0</v>
      </c>
      <c r="BF718" s="29">
        <f aca="true" t="shared" si="804" ref="BF718:BF754">L718</f>
        <v>0</v>
      </c>
      <c r="BH718" s="55">
        <f aca="true" t="shared" si="805" ref="BH718:BH754">F718*AO718</f>
        <v>0</v>
      </c>
      <c r="BI718" s="55">
        <f aca="true" t="shared" si="806" ref="BI718:BI754">F718*AP718</f>
        <v>0</v>
      </c>
      <c r="BJ718" s="55">
        <f aca="true" t="shared" si="807" ref="BJ718:BJ754">F718*G718</f>
        <v>0</v>
      </c>
    </row>
    <row r="719" spans="1:62" ht="12.75">
      <c r="A719" s="36" t="s">
        <v>1946</v>
      </c>
      <c r="B719" s="36" t="s">
        <v>61</v>
      </c>
      <c r="C719" s="36" t="s">
        <v>292</v>
      </c>
      <c r="D719" s="36" t="s">
        <v>1613</v>
      </c>
      <c r="E719" s="36" t="s">
        <v>609</v>
      </c>
      <c r="F719" s="55">
        <f>'Stavební rozpočet'!F734</f>
        <v>0</v>
      </c>
      <c r="G719" s="55">
        <f>'Stavební rozpočet'!G734</f>
        <v>45</v>
      </c>
      <c r="H719" s="55">
        <f t="shared" si="782"/>
        <v>0</v>
      </c>
      <c r="I719" s="55">
        <f t="shared" si="783"/>
        <v>0</v>
      </c>
      <c r="J719" s="55">
        <f t="shared" si="784"/>
        <v>0</v>
      </c>
      <c r="K719" s="55">
        <f>'Stavební rozpočet'!K734</f>
        <v>0</v>
      </c>
      <c r="L719" s="55">
        <f t="shared" si="785"/>
        <v>0</v>
      </c>
      <c r="M719" s="51" t="s">
        <v>622</v>
      </c>
      <c r="Z719" s="29">
        <f t="shared" si="786"/>
        <v>0</v>
      </c>
      <c r="AB719" s="29">
        <f t="shared" si="787"/>
        <v>0</v>
      </c>
      <c r="AC719" s="29">
        <f t="shared" si="788"/>
        <v>0</v>
      </c>
      <c r="AD719" s="29">
        <f t="shared" si="789"/>
        <v>0</v>
      </c>
      <c r="AE719" s="29">
        <f t="shared" si="790"/>
        <v>0</v>
      </c>
      <c r="AF719" s="29">
        <f t="shared" si="791"/>
        <v>0</v>
      </c>
      <c r="AG719" s="29">
        <f t="shared" si="792"/>
        <v>0</v>
      </c>
      <c r="AH719" s="29">
        <f t="shared" si="793"/>
        <v>0</v>
      </c>
      <c r="AI719" s="48" t="s">
        <v>61</v>
      </c>
      <c r="AJ719" s="55">
        <f t="shared" si="794"/>
        <v>0</v>
      </c>
      <c r="AK719" s="55">
        <f t="shared" si="795"/>
        <v>0</v>
      </c>
      <c r="AL719" s="55">
        <f t="shared" si="796"/>
        <v>0</v>
      </c>
      <c r="AN719" s="29">
        <v>15</v>
      </c>
      <c r="AO719" s="29">
        <f t="shared" si="797"/>
        <v>0</v>
      </c>
      <c r="AP719" s="29">
        <f t="shared" si="798"/>
        <v>45</v>
      </c>
      <c r="AQ719" s="51" t="s">
        <v>85</v>
      </c>
      <c r="AV719" s="29">
        <f t="shared" si="799"/>
        <v>0</v>
      </c>
      <c r="AW719" s="29">
        <f t="shared" si="800"/>
        <v>0</v>
      </c>
      <c r="AX719" s="29">
        <f t="shared" si="801"/>
        <v>0</v>
      </c>
      <c r="AY719" s="54" t="s">
        <v>642</v>
      </c>
      <c r="AZ719" s="54" t="s">
        <v>1644</v>
      </c>
      <c r="BA719" s="48" t="s">
        <v>1649</v>
      </c>
      <c r="BC719" s="29">
        <f t="shared" si="802"/>
        <v>0</v>
      </c>
      <c r="BD719" s="29">
        <f t="shared" si="803"/>
        <v>45</v>
      </c>
      <c r="BE719" s="29">
        <v>0</v>
      </c>
      <c r="BF719" s="29">
        <f t="shared" si="804"/>
        <v>0</v>
      </c>
      <c r="BH719" s="55">
        <f t="shared" si="805"/>
        <v>0</v>
      </c>
      <c r="BI719" s="55">
        <f t="shared" si="806"/>
        <v>0</v>
      </c>
      <c r="BJ719" s="55">
        <f t="shared" si="807"/>
        <v>0</v>
      </c>
    </row>
    <row r="720" spans="1:62" ht="12.75">
      <c r="A720" s="36" t="s">
        <v>1947</v>
      </c>
      <c r="B720" s="36" t="s">
        <v>61</v>
      </c>
      <c r="C720" s="36" t="s">
        <v>1563</v>
      </c>
      <c r="D720" s="36" t="s">
        <v>1614</v>
      </c>
      <c r="E720" s="36" t="s">
        <v>606</v>
      </c>
      <c r="F720" s="55">
        <f>'Stavební rozpočet'!F735</f>
        <v>0</v>
      </c>
      <c r="G720" s="55">
        <f>'Stavební rozpočet'!G735</f>
        <v>150</v>
      </c>
      <c r="H720" s="55">
        <f t="shared" si="782"/>
        <v>0</v>
      </c>
      <c r="I720" s="55">
        <f t="shared" si="783"/>
        <v>0</v>
      </c>
      <c r="J720" s="55">
        <f t="shared" si="784"/>
        <v>0</v>
      </c>
      <c r="K720" s="55">
        <f>'Stavební rozpočet'!K735</f>
        <v>0</v>
      </c>
      <c r="L720" s="55">
        <f t="shared" si="785"/>
        <v>0</v>
      </c>
      <c r="M720" s="51" t="s">
        <v>622</v>
      </c>
      <c r="Z720" s="29">
        <f t="shared" si="786"/>
        <v>0</v>
      </c>
      <c r="AB720" s="29">
        <f t="shared" si="787"/>
        <v>0</v>
      </c>
      <c r="AC720" s="29">
        <f t="shared" si="788"/>
        <v>0</v>
      </c>
      <c r="AD720" s="29">
        <f t="shared" si="789"/>
        <v>0</v>
      </c>
      <c r="AE720" s="29">
        <f t="shared" si="790"/>
        <v>0</v>
      </c>
      <c r="AF720" s="29">
        <f t="shared" si="791"/>
        <v>0</v>
      </c>
      <c r="AG720" s="29">
        <f t="shared" si="792"/>
        <v>0</v>
      </c>
      <c r="AH720" s="29">
        <f t="shared" si="793"/>
        <v>0</v>
      </c>
      <c r="AI720" s="48" t="s">
        <v>61</v>
      </c>
      <c r="AJ720" s="55">
        <f t="shared" si="794"/>
        <v>0</v>
      </c>
      <c r="AK720" s="55">
        <f t="shared" si="795"/>
        <v>0</v>
      </c>
      <c r="AL720" s="55">
        <f t="shared" si="796"/>
        <v>0</v>
      </c>
      <c r="AN720" s="29">
        <v>15</v>
      </c>
      <c r="AO720" s="29">
        <f t="shared" si="797"/>
        <v>0</v>
      </c>
      <c r="AP720" s="29">
        <f t="shared" si="798"/>
        <v>150</v>
      </c>
      <c r="AQ720" s="51" t="s">
        <v>85</v>
      </c>
      <c r="AV720" s="29">
        <f t="shared" si="799"/>
        <v>0</v>
      </c>
      <c r="AW720" s="29">
        <f t="shared" si="800"/>
        <v>0</v>
      </c>
      <c r="AX720" s="29">
        <f t="shared" si="801"/>
        <v>0</v>
      </c>
      <c r="AY720" s="54" t="s">
        <v>642</v>
      </c>
      <c r="AZ720" s="54" t="s">
        <v>1644</v>
      </c>
      <c r="BA720" s="48" t="s">
        <v>1649</v>
      </c>
      <c r="BC720" s="29">
        <f t="shared" si="802"/>
        <v>0</v>
      </c>
      <c r="BD720" s="29">
        <f t="shared" si="803"/>
        <v>150</v>
      </c>
      <c r="BE720" s="29">
        <v>0</v>
      </c>
      <c r="BF720" s="29">
        <f t="shared" si="804"/>
        <v>0</v>
      </c>
      <c r="BH720" s="55">
        <f t="shared" si="805"/>
        <v>0</v>
      </c>
      <c r="BI720" s="55">
        <f t="shared" si="806"/>
        <v>0</v>
      </c>
      <c r="BJ720" s="55">
        <f t="shared" si="807"/>
        <v>0</v>
      </c>
    </row>
    <row r="721" spans="1:62" ht="12.75">
      <c r="A721" s="36" t="s">
        <v>1948</v>
      </c>
      <c r="B721" s="36" t="s">
        <v>61</v>
      </c>
      <c r="C721" s="36" t="s">
        <v>1564</v>
      </c>
      <c r="D721" s="36" t="s">
        <v>1615</v>
      </c>
      <c r="E721" s="36" t="s">
        <v>606</v>
      </c>
      <c r="F721" s="55">
        <f>'Stavební rozpočet'!F736</f>
        <v>0</v>
      </c>
      <c r="G721" s="55">
        <f>'Stavební rozpočet'!G736</f>
        <v>150</v>
      </c>
      <c r="H721" s="55">
        <f t="shared" si="782"/>
        <v>0</v>
      </c>
      <c r="I721" s="55">
        <f t="shared" si="783"/>
        <v>0</v>
      </c>
      <c r="J721" s="55">
        <f t="shared" si="784"/>
        <v>0</v>
      </c>
      <c r="K721" s="55">
        <f>'Stavební rozpočet'!K736</f>
        <v>0</v>
      </c>
      <c r="L721" s="55">
        <f t="shared" si="785"/>
        <v>0</v>
      </c>
      <c r="M721" s="51" t="s">
        <v>622</v>
      </c>
      <c r="Z721" s="29">
        <f t="shared" si="786"/>
        <v>0</v>
      </c>
      <c r="AB721" s="29">
        <f t="shared" si="787"/>
        <v>0</v>
      </c>
      <c r="AC721" s="29">
        <f t="shared" si="788"/>
        <v>0</v>
      </c>
      <c r="AD721" s="29">
        <f t="shared" si="789"/>
        <v>0</v>
      </c>
      <c r="AE721" s="29">
        <f t="shared" si="790"/>
        <v>0</v>
      </c>
      <c r="AF721" s="29">
        <f t="shared" si="791"/>
        <v>0</v>
      </c>
      <c r="AG721" s="29">
        <f t="shared" si="792"/>
        <v>0</v>
      </c>
      <c r="AH721" s="29">
        <f t="shared" si="793"/>
        <v>0</v>
      </c>
      <c r="AI721" s="48" t="s">
        <v>61</v>
      </c>
      <c r="AJ721" s="55">
        <f t="shared" si="794"/>
        <v>0</v>
      </c>
      <c r="AK721" s="55">
        <f t="shared" si="795"/>
        <v>0</v>
      </c>
      <c r="AL721" s="55">
        <f t="shared" si="796"/>
        <v>0</v>
      </c>
      <c r="AN721" s="29">
        <v>15</v>
      </c>
      <c r="AO721" s="29">
        <f t="shared" si="797"/>
        <v>0</v>
      </c>
      <c r="AP721" s="29">
        <f t="shared" si="798"/>
        <v>150</v>
      </c>
      <c r="AQ721" s="51" t="s">
        <v>85</v>
      </c>
      <c r="AV721" s="29">
        <f t="shared" si="799"/>
        <v>0</v>
      </c>
      <c r="AW721" s="29">
        <f t="shared" si="800"/>
        <v>0</v>
      </c>
      <c r="AX721" s="29">
        <f t="shared" si="801"/>
        <v>0</v>
      </c>
      <c r="AY721" s="54" t="s">
        <v>642</v>
      </c>
      <c r="AZ721" s="54" t="s">
        <v>1644</v>
      </c>
      <c r="BA721" s="48" t="s">
        <v>1649</v>
      </c>
      <c r="BC721" s="29">
        <f t="shared" si="802"/>
        <v>0</v>
      </c>
      <c r="BD721" s="29">
        <f t="shared" si="803"/>
        <v>150</v>
      </c>
      <c r="BE721" s="29">
        <v>0</v>
      </c>
      <c r="BF721" s="29">
        <f t="shared" si="804"/>
        <v>0</v>
      </c>
      <c r="BH721" s="55">
        <f t="shared" si="805"/>
        <v>0</v>
      </c>
      <c r="BI721" s="55">
        <f t="shared" si="806"/>
        <v>0</v>
      </c>
      <c r="BJ721" s="55">
        <f t="shared" si="807"/>
        <v>0</v>
      </c>
    </row>
    <row r="722" spans="1:62" ht="12.75">
      <c r="A722" s="36" t="s">
        <v>1949</v>
      </c>
      <c r="B722" s="36" t="s">
        <v>61</v>
      </c>
      <c r="C722" s="36" t="s">
        <v>1565</v>
      </c>
      <c r="D722" s="36" t="s">
        <v>1616</v>
      </c>
      <c r="E722" s="36" t="s">
        <v>606</v>
      </c>
      <c r="F722" s="55">
        <f>'Stavební rozpočet'!F737</f>
        <v>0</v>
      </c>
      <c r="G722" s="55">
        <f>'Stavební rozpočet'!G737</f>
        <v>150</v>
      </c>
      <c r="H722" s="55">
        <f t="shared" si="782"/>
        <v>0</v>
      </c>
      <c r="I722" s="55">
        <f t="shared" si="783"/>
        <v>0</v>
      </c>
      <c r="J722" s="55">
        <f t="shared" si="784"/>
        <v>0</v>
      </c>
      <c r="K722" s="55">
        <f>'Stavební rozpočet'!K737</f>
        <v>0</v>
      </c>
      <c r="L722" s="55">
        <f t="shared" si="785"/>
        <v>0</v>
      </c>
      <c r="M722" s="51" t="s">
        <v>622</v>
      </c>
      <c r="Z722" s="29">
        <f t="shared" si="786"/>
        <v>0</v>
      </c>
      <c r="AB722" s="29">
        <f t="shared" si="787"/>
        <v>0</v>
      </c>
      <c r="AC722" s="29">
        <f t="shared" si="788"/>
        <v>0</v>
      </c>
      <c r="AD722" s="29">
        <f t="shared" si="789"/>
        <v>0</v>
      </c>
      <c r="AE722" s="29">
        <f t="shared" si="790"/>
        <v>0</v>
      </c>
      <c r="AF722" s="29">
        <f t="shared" si="791"/>
        <v>0</v>
      </c>
      <c r="AG722" s="29">
        <f t="shared" si="792"/>
        <v>0</v>
      </c>
      <c r="AH722" s="29">
        <f t="shared" si="793"/>
        <v>0</v>
      </c>
      <c r="AI722" s="48" t="s">
        <v>61</v>
      </c>
      <c r="AJ722" s="55">
        <f t="shared" si="794"/>
        <v>0</v>
      </c>
      <c r="AK722" s="55">
        <f t="shared" si="795"/>
        <v>0</v>
      </c>
      <c r="AL722" s="55">
        <f t="shared" si="796"/>
        <v>0</v>
      </c>
      <c r="AN722" s="29">
        <v>15</v>
      </c>
      <c r="AO722" s="29">
        <f t="shared" si="797"/>
        <v>0</v>
      </c>
      <c r="AP722" s="29">
        <f t="shared" si="798"/>
        <v>150</v>
      </c>
      <c r="AQ722" s="51" t="s">
        <v>85</v>
      </c>
      <c r="AV722" s="29">
        <f t="shared" si="799"/>
        <v>0</v>
      </c>
      <c r="AW722" s="29">
        <f t="shared" si="800"/>
        <v>0</v>
      </c>
      <c r="AX722" s="29">
        <f t="shared" si="801"/>
        <v>0</v>
      </c>
      <c r="AY722" s="54" t="s">
        <v>642</v>
      </c>
      <c r="AZ722" s="54" t="s">
        <v>1644</v>
      </c>
      <c r="BA722" s="48" t="s">
        <v>1649</v>
      </c>
      <c r="BC722" s="29">
        <f t="shared" si="802"/>
        <v>0</v>
      </c>
      <c r="BD722" s="29">
        <f t="shared" si="803"/>
        <v>150</v>
      </c>
      <c r="BE722" s="29">
        <v>0</v>
      </c>
      <c r="BF722" s="29">
        <f t="shared" si="804"/>
        <v>0</v>
      </c>
      <c r="BH722" s="55">
        <f t="shared" si="805"/>
        <v>0</v>
      </c>
      <c r="BI722" s="55">
        <f t="shared" si="806"/>
        <v>0</v>
      </c>
      <c r="BJ722" s="55">
        <f t="shared" si="807"/>
        <v>0</v>
      </c>
    </row>
    <row r="723" spans="1:62" ht="12.75">
      <c r="A723" s="36" t="s">
        <v>1950</v>
      </c>
      <c r="B723" s="36" t="s">
        <v>61</v>
      </c>
      <c r="C723" s="36" t="s">
        <v>293</v>
      </c>
      <c r="D723" s="36" t="s">
        <v>1617</v>
      </c>
      <c r="E723" s="36" t="s">
        <v>609</v>
      </c>
      <c r="F723" s="55">
        <f>'Stavební rozpočet'!F738</f>
        <v>0</v>
      </c>
      <c r="G723" s="55">
        <f>'Stavební rozpočet'!G738</f>
        <v>750</v>
      </c>
      <c r="H723" s="55">
        <f t="shared" si="782"/>
        <v>0</v>
      </c>
      <c r="I723" s="55">
        <f t="shared" si="783"/>
        <v>0</v>
      </c>
      <c r="J723" s="55">
        <f t="shared" si="784"/>
        <v>0</v>
      </c>
      <c r="K723" s="55">
        <f>'Stavební rozpočet'!K738</f>
        <v>0</v>
      </c>
      <c r="L723" s="55">
        <f t="shared" si="785"/>
        <v>0</v>
      </c>
      <c r="M723" s="51" t="s">
        <v>622</v>
      </c>
      <c r="Z723" s="29">
        <f t="shared" si="786"/>
        <v>0</v>
      </c>
      <c r="AB723" s="29">
        <f t="shared" si="787"/>
        <v>0</v>
      </c>
      <c r="AC723" s="29">
        <f t="shared" si="788"/>
        <v>0</v>
      </c>
      <c r="AD723" s="29">
        <f t="shared" si="789"/>
        <v>0</v>
      </c>
      <c r="AE723" s="29">
        <f t="shared" si="790"/>
        <v>0</v>
      </c>
      <c r="AF723" s="29">
        <f t="shared" si="791"/>
        <v>0</v>
      </c>
      <c r="AG723" s="29">
        <f t="shared" si="792"/>
        <v>0</v>
      </c>
      <c r="AH723" s="29">
        <f t="shared" si="793"/>
        <v>0</v>
      </c>
      <c r="AI723" s="48" t="s">
        <v>61</v>
      </c>
      <c r="AJ723" s="55">
        <f t="shared" si="794"/>
        <v>0</v>
      </c>
      <c r="AK723" s="55">
        <f t="shared" si="795"/>
        <v>0</v>
      </c>
      <c r="AL723" s="55">
        <f t="shared" si="796"/>
        <v>0</v>
      </c>
      <c r="AN723" s="29">
        <v>15</v>
      </c>
      <c r="AO723" s="29">
        <f t="shared" si="797"/>
        <v>0</v>
      </c>
      <c r="AP723" s="29">
        <f t="shared" si="798"/>
        <v>750</v>
      </c>
      <c r="AQ723" s="51" t="s">
        <v>85</v>
      </c>
      <c r="AV723" s="29">
        <f t="shared" si="799"/>
        <v>0</v>
      </c>
      <c r="AW723" s="29">
        <f t="shared" si="800"/>
        <v>0</v>
      </c>
      <c r="AX723" s="29">
        <f t="shared" si="801"/>
        <v>0</v>
      </c>
      <c r="AY723" s="54" t="s">
        <v>642</v>
      </c>
      <c r="AZ723" s="54" t="s">
        <v>1644</v>
      </c>
      <c r="BA723" s="48" t="s">
        <v>1649</v>
      </c>
      <c r="BC723" s="29">
        <f t="shared" si="802"/>
        <v>0</v>
      </c>
      <c r="BD723" s="29">
        <f t="shared" si="803"/>
        <v>750</v>
      </c>
      <c r="BE723" s="29">
        <v>0</v>
      </c>
      <c r="BF723" s="29">
        <f t="shared" si="804"/>
        <v>0</v>
      </c>
      <c r="BH723" s="55">
        <f t="shared" si="805"/>
        <v>0</v>
      </c>
      <c r="BI723" s="55">
        <f t="shared" si="806"/>
        <v>0</v>
      </c>
      <c r="BJ723" s="55">
        <f t="shared" si="807"/>
        <v>0</v>
      </c>
    </row>
    <row r="724" spans="1:62" ht="12.75">
      <c r="A724" s="36" t="s">
        <v>1951</v>
      </c>
      <c r="B724" s="36" t="s">
        <v>61</v>
      </c>
      <c r="C724" s="36" t="s">
        <v>958</v>
      </c>
      <c r="D724" s="36" t="s">
        <v>1618</v>
      </c>
      <c r="E724" s="36" t="s">
        <v>609</v>
      </c>
      <c r="F724" s="55">
        <f>'Stavební rozpočet'!F739</f>
        <v>0</v>
      </c>
      <c r="G724" s="55">
        <f>'Stavební rozpočet'!G739</f>
        <v>800</v>
      </c>
      <c r="H724" s="55">
        <f t="shared" si="782"/>
        <v>0</v>
      </c>
      <c r="I724" s="55">
        <f t="shared" si="783"/>
        <v>0</v>
      </c>
      <c r="J724" s="55">
        <f t="shared" si="784"/>
        <v>0</v>
      </c>
      <c r="K724" s="55">
        <f>'Stavební rozpočet'!K739</f>
        <v>0</v>
      </c>
      <c r="L724" s="55">
        <f t="shared" si="785"/>
        <v>0</v>
      </c>
      <c r="M724" s="51" t="s">
        <v>622</v>
      </c>
      <c r="Z724" s="29">
        <f t="shared" si="786"/>
        <v>0</v>
      </c>
      <c r="AB724" s="29">
        <f t="shared" si="787"/>
        <v>0</v>
      </c>
      <c r="AC724" s="29">
        <f t="shared" si="788"/>
        <v>0</v>
      </c>
      <c r="AD724" s="29">
        <f t="shared" si="789"/>
        <v>0</v>
      </c>
      <c r="AE724" s="29">
        <f t="shared" si="790"/>
        <v>0</v>
      </c>
      <c r="AF724" s="29">
        <f t="shared" si="791"/>
        <v>0</v>
      </c>
      <c r="AG724" s="29">
        <f t="shared" si="792"/>
        <v>0</v>
      </c>
      <c r="AH724" s="29">
        <f t="shared" si="793"/>
        <v>0</v>
      </c>
      <c r="AI724" s="48" t="s">
        <v>61</v>
      </c>
      <c r="AJ724" s="55">
        <f t="shared" si="794"/>
        <v>0</v>
      </c>
      <c r="AK724" s="55">
        <f t="shared" si="795"/>
        <v>0</v>
      </c>
      <c r="AL724" s="55">
        <f t="shared" si="796"/>
        <v>0</v>
      </c>
      <c r="AN724" s="29">
        <v>15</v>
      </c>
      <c r="AO724" s="29">
        <f t="shared" si="797"/>
        <v>0</v>
      </c>
      <c r="AP724" s="29">
        <f t="shared" si="798"/>
        <v>800</v>
      </c>
      <c r="AQ724" s="51" t="s">
        <v>85</v>
      </c>
      <c r="AV724" s="29">
        <f t="shared" si="799"/>
        <v>0</v>
      </c>
      <c r="AW724" s="29">
        <f t="shared" si="800"/>
        <v>0</v>
      </c>
      <c r="AX724" s="29">
        <f t="shared" si="801"/>
        <v>0</v>
      </c>
      <c r="AY724" s="54" t="s">
        <v>642</v>
      </c>
      <c r="AZ724" s="54" t="s">
        <v>1644</v>
      </c>
      <c r="BA724" s="48" t="s">
        <v>1649</v>
      </c>
      <c r="BC724" s="29">
        <f t="shared" si="802"/>
        <v>0</v>
      </c>
      <c r="BD724" s="29">
        <f t="shared" si="803"/>
        <v>800</v>
      </c>
      <c r="BE724" s="29">
        <v>0</v>
      </c>
      <c r="BF724" s="29">
        <f t="shared" si="804"/>
        <v>0</v>
      </c>
      <c r="BH724" s="55">
        <f t="shared" si="805"/>
        <v>0</v>
      </c>
      <c r="BI724" s="55">
        <f t="shared" si="806"/>
        <v>0</v>
      </c>
      <c r="BJ724" s="55">
        <f t="shared" si="807"/>
        <v>0</v>
      </c>
    </row>
    <row r="725" spans="1:62" ht="12.75">
      <c r="A725" s="36" t="s">
        <v>1952</v>
      </c>
      <c r="B725" s="36" t="s">
        <v>61</v>
      </c>
      <c r="C725" s="36" t="s">
        <v>959</v>
      </c>
      <c r="D725" s="36" t="s">
        <v>1619</v>
      </c>
      <c r="E725" s="36" t="s">
        <v>609</v>
      </c>
      <c r="F725" s="55">
        <f>'Stavební rozpočet'!F740</f>
        <v>0</v>
      </c>
      <c r="G725" s="55">
        <f>'Stavební rozpočet'!G740</f>
        <v>850</v>
      </c>
      <c r="H725" s="55">
        <f t="shared" si="782"/>
        <v>0</v>
      </c>
      <c r="I725" s="55">
        <f t="shared" si="783"/>
        <v>0</v>
      </c>
      <c r="J725" s="55">
        <f t="shared" si="784"/>
        <v>0</v>
      </c>
      <c r="K725" s="55">
        <f>'Stavební rozpočet'!K740</f>
        <v>0</v>
      </c>
      <c r="L725" s="55">
        <f t="shared" si="785"/>
        <v>0</v>
      </c>
      <c r="M725" s="51" t="s">
        <v>622</v>
      </c>
      <c r="Z725" s="29">
        <f t="shared" si="786"/>
        <v>0</v>
      </c>
      <c r="AB725" s="29">
        <f t="shared" si="787"/>
        <v>0</v>
      </c>
      <c r="AC725" s="29">
        <f t="shared" si="788"/>
        <v>0</v>
      </c>
      <c r="AD725" s="29">
        <f t="shared" si="789"/>
        <v>0</v>
      </c>
      <c r="AE725" s="29">
        <f t="shared" si="790"/>
        <v>0</v>
      </c>
      <c r="AF725" s="29">
        <f t="shared" si="791"/>
        <v>0</v>
      </c>
      <c r="AG725" s="29">
        <f t="shared" si="792"/>
        <v>0</v>
      </c>
      <c r="AH725" s="29">
        <f t="shared" si="793"/>
        <v>0</v>
      </c>
      <c r="AI725" s="48" t="s">
        <v>61</v>
      </c>
      <c r="AJ725" s="55">
        <f t="shared" si="794"/>
        <v>0</v>
      </c>
      <c r="AK725" s="55">
        <f t="shared" si="795"/>
        <v>0</v>
      </c>
      <c r="AL725" s="55">
        <f t="shared" si="796"/>
        <v>0</v>
      </c>
      <c r="AN725" s="29">
        <v>15</v>
      </c>
      <c r="AO725" s="29">
        <f t="shared" si="797"/>
        <v>0</v>
      </c>
      <c r="AP725" s="29">
        <f t="shared" si="798"/>
        <v>850</v>
      </c>
      <c r="AQ725" s="51" t="s">
        <v>85</v>
      </c>
      <c r="AV725" s="29">
        <f t="shared" si="799"/>
        <v>0</v>
      </c>
      <c r="AW725" s="29">
        <f t="shared" si="800"/>
        <v>0</v>
      </c>
      <c r="AX725" s="29">
        <f t="shared" si="801"/>
        <v>0</v>
      </c>
      <c r="AY725" s="54" t="s">
        <v>642</v>
      </c>
      <c r="AZ725" s="54" t="s">
        <v>1644</v>
      </c>
      <c r="BA725" s="48" t="s">
        <v>1649</v>
      </c>
      <c r="BC725" s="29">
        <f t="shared" si="802"/>
        <v>0</v>
      </c>
      <c r="BD725" s="29">
        <f t="shared" si="803"/>
        <v>850</v>
      </c>
      <c r="BE725" s="29">
        <v>0</v>
      </c>
      <c r="BF725" s="29">
        <f t="shared" si="804"/>
        <v>0</v>
      </c>
      <c r="BH725" s="55">
        <f t="shared" si="805"/>
        <v>0</v>
      </c>
      <c r="BI725" s="55">
        <f t="shared" si="806"/>
        <v>0</v>
      </c>
      <c r="BJ725" s="55">
        <f t="shared" si="807"/>
        <v>0</v>
      </c>
    </row>
    <row r="726" spans="1:62" ht="12.75">
      <c r="A726" s="36" t="s">
        <v>1953</v>
      </c>
      <c r="B726" s="36" t="s">
        <v>61</v>
      </c>
      <c r="C726" s="36" t="s">
        <v>961</v>
      </c>
      <c r="D726" s="36" t="s">
        <v>1256</v>
      </c>
      <c r="E726" s="36" t="s">
        <v>609</v>
      </c>
      <c r="F726" s="55">
        <f>'Stavební rozpočet'!F741</f>
        <v>0</v>
      </c>
      <c r="G726" s="55">
        <f>'Stavební rozpočet'!G741</f>
        <v>501</v>
      </c>
      <c r="H726" s="55">
        <f t="shared" si="782"/>
        <v>0</v>
      </c>
      <c r="I726" s="55">
        <f t="shared" si="783"/>
        <v>0</v>
      </c>
      <c r="J726" s="55">
        <f t="shared" si="784"/>
        <v>0</v>
      </c>
      <c r="K726" s="55">
        <f>'Stavební rozpočet'!K741</f>
        <v>0</v>
      </c>
      <c r="L726" s="55">
        <f t="shared" si="785"/>
        <v>0</v>
      </c>
      <c r="M726" s="51" t="s">
        <v>622</v>
      </c>
      <c r="Z726" s="29">
        <f t="shared" si="786"/>
        <v>0</v>
      </c>
      <c r="AB726" s="29">
        <f t="shared" si="787"/>
        <v>0</v>
      </c>
      <c r="AC726" s="29">
        <f t="shared" si="788"/>
        <v>0</v>
      </c>
      <c r="AD726" s="29">
        <f t="shared" si="789"/>
        <v>0</v>
      </c>
      <c r="AE726" s="29">
        <f t="shared" si="790"/>
        <v>0</v>
      </c>
      <c r="AF726" s="29">
        <f t="shared" si="791"/>
        <v>0</v>
      </c>
      <c r="AG726" s="29">
        <f t="shared" si="792"/>
        <v>0</v>
      </c>
      <c r="AH726" s="29">
        <f t="shared" si="793"/>
        <v>0</v>
      </c>
      <c r="AI726" s="48" t="s">
        <v>61</v>
      </c>
      <c r="AJ726" s="55">
        <f t="shared" si="794"/>
        <v>0</v>
      </c>
      <c r="AK726" s="55">
        <f t="shared" si="795"/>
        <v>0</v>
      </c>
      <c r="AL726" s="55">
        <f t="shared" si="796"/>
        <v>0</v>
      </c>
      <c r="AN726" s="29">
        <v>15</v>
      </c>
      <c r="AO726" s="29">
        <f t="shared" si="797"/>
        <v>0</v>
      </c>
      <c r="AP726" s="29">
        <f t="shared" si="798"/>
        <v>501</v>
      </c>
      <c r="AQ726" s="51" t="s">
        <v>85</v>
      </c>
      <c r="AV726" s="29">
        <f t="shared" si="799"/>
        <v>0</v>
      </c>
      <c r="AW726" s="29">
        <f t="shared" si="800"/>
        <v>0</v>
      </c>
      <c r="AX726" s="29">
        <f t="shared" si="801"/>
        <v>0</v>
      </c>
      <c r="AY726" s="54" t="s">
        <v>642</v>
      </c>
      <c r="AZ726" s="54" t="s">
        <v>1644</v>
      </c>
      <c r="BA726" s="48" t="s">
        <v>1649</v>
      </c>
      <c r="BC726" s="29">
        <f t="shared" si="802"/>
        <v>0</v>
      </c>
      <c r="BD726" s="29">
        <f t="shared" si="803"/>
        <v>501</v>
      </c>
      <c r="BE726" s="29">
        <v>0</v>
      </c>
      <c r="BF726" s="29">
        <f t="shared" si="804"/>
        <v>0</v>
      </c>
      <c r="BH726" s="55">
        <f t="shared" si="805"/>
        <v>0</v>
      </c>
      <c r="BI726" s="55">
        <f t="shared" si="806"/>
        <v>0</v>
      </c>
      <c r="BJ726" s="55">
        <f t="shared" si="807"/>
        <v>0</v>
      </c>
    </row>
    <row r="727" spans="1:62" ht="12.75">
      <c r="A727" s="36" t="s">
        <v>1954</v>
      </c>
      <c r="B727" s="36" t="s">
        <v>61</v>
      </c>
      <c r="C727" s="36" t="s">
        <v>962</v>
      </c>
      <c r="D727" s="36" t="s">
        <v>1257</v>
      </c>
      <c r="E727" s="36" t="s">
        <v>609</v>
      </c>
      <c r="F727" s="55">
        <f>'Stavební rozpočet'!F742</f>
        <v>0</v>
      </c>
      <c r="G727" s="55">
        <f>'Stavební rozpočet'!G742</f>
        <v>635.1</v>
      </c>
      <c r="H727" s="55">
        <f t="shared" si="782"/>
        <v>0</v>
      </c>
      <c r="I727" s="55">
        <f t="shared" si="783"/>
        <v>0</v>
      </c>
      <c r="J727" s="55">
        <f t="shared" si="784"/>
        <v>0</v>
      </c>
      <c r="K727" s="55">
        <f>'Stavební rozpočet'!K742</f>
        <v>0</v>
      </c>
      <c r="L727" s="55">
        <f t="shared" si="785"/>
        <v>0</v>
      </c>
      <c r="M727" s="51" t="s">
        <v>622</v>
      </c>
      <c r="Z727" s="29">
        <f t="shared" si="786"/>
        <v>0</v>
      </c>
      <c r="AB727" s="29">
        <f t="shared" si="787"/>
        <v>0</v>
      </c>
      <c r="AC727" s="29">
        <f t="shared" si="788"/>
        <v>0</v>
      </c>
      <c r="AD727" s="29">
        <f t="shared" si="789"/>
        <v>0</v>
      </c>
      <c r="AE727" s="29">
        <f t="shared" si="790"/>
        <v>0</v>
      </c>
      <c r="AF727" s="29">
        <f t="shared" si="791"/>
        <v>0</v>
      </c>
      <c r="AG727" s="29">
        <f t="shared" si="792"/>
        <v>0</v>
      </c>
      <c r="AH727" s="29">
        <f t="shared" si="793"/>
        <v>0</v>
      </c>
      <c r="AI727" s="48" t="s">
        <v>61</v>
      </c>
      <c r="AJ727" s="55">
        <f t="shared" si="794"/>
        <v>0</v>
      </c>
      <c r="AK727" s="55">
        <f t="shared" si="795"/>
        <v>0</v>
      </c>
      <c r="AL727" s="55">
        <f t="shared" si="796"/>
        <v>0</v>
      </c>
      <c r="AN727" s="29">
        <v>15</v>
      </c>
      <c r="AO727" s="29">
        <f t="shared" si="797"/>
        <v>0</v>
      </c>
      <c r="AP727" s="29">
        <f t="shared" si="798"/>
        <v>635.1</v>
      </c>
      <c r="AQ727" s="51" t="s">
        <v>85</v>
      </c>
      <c r="AV727" s="29">
        <f t="shared" si="799"/>
        <v>0</v>
      </c>
      <c r="AW727" s="29">
        <f t="shared" si="800"/>
        <v>0</v>
      </c>
      <c r="AX727" s="29">
        <f t="shared" si="801"/>
        <v>0</v>
      </c>
      <c r="AY727" s="54" t="s">
        <v>642</v>
      </c>
      <c r="AZ727" s="54" t="s">
        <v>1644</v>
      </c>
      <c r="BA727" s="48" t="s">
        <v>1649</v>
      </c>
      <c r="BC727" s="29">
        <f t="shared" si="802"/>
        <v>0</v>
      </c>
      <c r="BD727" s="29">
        <f t="shared" si="803"/>
        <v>635.1</v>
      </c>
      <c r="BE727" s="29">
        <v>0</v>
      </c>
      <c r="BF727" s="29">
        <f t="shared" si="804"/>
        <v>0</v>
      </c>
      <c r="BH727" s="55">
        <f t="shared" si="805"/>
        <v>0</v>
      </c>
      <c r="BI727" s="55">
        <f t="shared" si="806"/>
        <v>0</v>
      </c>
      <c r="BJ727" s="55">
        <f t="shared" si="807"/>
        <v>0</v>
      </c>
    </row>
    <row r="728" spans="1:62" ht="12.75">
      <c r="A728" s="36" t="s">
        <v>1955</v>
      </c>
      <c r="B728" s="36" t="s">
        <v>61</v>
      </c>
      <c r="C728" s="36" t="s">
        <v>964</v>
      </c>
      <c r="D728" s="36" t="s">
        <v>1259</v>
      </c>
      <c r="E728" s="36" t="s">
        <v>606</v>
      </c>
      <c r="F728" s="55">
        <f>'Stavební rozpočet'!F743</f>
        <v>0</v>
      </c>
      <c r="G728" s="55">
        <f>'Stavební rozpočet'!G743</f>
        <v>1465</v>
      </c>
      <c r="H728" s="55">
        <f t="shared" si="782"/>
        <v>0</v>
      </c>
      <c r="I728" s="55">
        <f t="shared" si="783"/>
        <v>0</v>
      </c>
      <c r="J728" s="55">
        <f t="shared" si="784"/>
        <v>0</v>
      </c>
      <c r="K728" s="55">
        <f>'Stavební rozpočet'!K743</f>
        <v>0</v>
      </c>
      <c r="L728" s="55">
        <f t="shared" si="785"/>
        <v>0</v>
      </c>
      <c r="M728" s="51" t="s">
        <v>622</v>
      </c>
      <c r="Z728" s="29">
        <f t="shared" si="786"/>
        <v>0</v>
      </c>
      <c r="AB728" s="29">
        <f t="shared" si="787"/>
        <v>0</v>
      </c>
      <c r="AC728" s="29">
        <f t="shared" si="788"/>
        <v>0</v>
      </c>
      <c r="AD728" s="29">
        <f t="shared" si="789"/>
        <v>0</v>
      </c>
      <c r="AE728" s="29">
        <f t="shared" si="790"/>
        <v>0</v>
      </c>
      <c r="AF728" s="29">
        <f t="shared" si="791"/>
        <v>0</v>
      </c>
      <c r="AG728" s="29">
        <f t="shared" si="792"/>
        <v>0</v>
      </c>
      <c r="AH728" s="29">
        <f t="shared" si="793"/>
        <v>0</v>
      </c>
      <c r="AI728" s="48" t="s">
        <v>61</v>
      </c>
      <c r="AJ728" s="55">
        <f t="shared" si="794"/>
        <v>0</v>
      </c>
      <c r="AK728" s="55">
        <f t="shared" si="795"/>
        <v>0</v>
      </c>
      <c r="AL728" s="55">
        <f t="shared" si="796"/>
        <v>0</v>
      </c>
      <c r="AN728" s="29">
        <v>15</v>
      </c>
      <c r="AO728" s="29">
        <f t="shared" si="797"/>
        <v>0</v>
      </c>
      <c r="AP728" s="29">
        <f t="shared" si="798"/>
        <v>1465</v>
      </c>
      <c r="AQ728" s="51" t="s">
        <v>85</v>
      </c>
      <c r="AV728" s="29">
        <f t="shared" si="799"/>
        <v>0</v>
      </c>
      <c r="AW728" s="29">
        <f t="shared" si="800"/>
        <v>0</v>
      </c>
      <c r="AX728" s="29">
        <f t="shared" si="801"/>
        <v>0</v>
      </c>
      <c r="AY728" s="54" t="s">
        <v>642</v>
      </c>
      <c r="AZ728" s="54" t="s">
        <v>1644</v>
      </c>
      <c r="BA728" s="48" t="s">
        <v>1649</v>
      </c>
      <c r="BC728" s="29">
        <f t="shared" si="802"/>
        <v>0</v>
      </c>
      <c r="BD728" s="29">
        <f t="shared" si="803"/>
        <v>1465</v>
      </c>
      <c r="BE728" s="29">
        <v>0</v>
      </c>
      <c r="BF728" s="29">
        <f t="shared" si="804"/>
        <v>0</v>
      </c>
      <c r="BH728" s="55">
        <f t="shared" si="805"/>
        <v>0</v>
      </c>
      <c r="BI728" s="55">
        <f t="shared" si="806"/>
        <v>0</v>
      </c>
      <c r="BJ728" s="55">
        <f t="shared" si="807"/>
        <v>0</v>
      </c>
    </row>
    <row r="729" spans="1:62" ht="12.75">
      <c r="A729" s="36" t="s">
        <v>1956</v>
      </c>
      <c r="B729" s="36" t="s">
        <v>61</v>
      </c>
      <c r="C729" s="36" t="s">
        <v>965</v>
      </c>
      <c r="D729" s="36" t="s">
        <v>1260</v>
      </c>
      <c r="E729" s="36" t="s">
        <v>606</v>
      </c>
      <c r="F729" s="55">
        <f>'Stavební rozpočet'!F744</f>
        <v>0</v>
      </c>
      <c r="G729" s="55">
        <f>'Stavební rozpočet'!G744</f>
        <v>498</v>
      </c>
      <c r="H729" s="55">
        <f t="shared" si="782"/>
        <v>0</v>
      </c>
      <c r="I729" s="55">
        <f t="shared" si="783"/>
        <v>0</v>
      </c>
      <c r="J729" s="55">
        <f t="shared" si="784"/>
        <v>0</v>
      </c>
      <c r="K729" s="55">
        <f>'Stavební rozpočet'!K744</f>
        <v>0</v>
      </c>
      <c r="L729" s="55">
        <f t="shared" si="785"/>
        <v>0</v>
      </c>
      <c r="M729" s="51" t="s">
        <v>622</v>
      </c>
      <c r="Z729" s="29">
        <f t="shared" si="786"/>
        <v>0</v>
      </c>
      <c r="AB729" s="29">
        <f t="shared" si="787"/>
        <v>0</v>
      </c>
      <c r="AC729" s="29">
        <f t="shared" si="788"/>
        <v>0</v>
      </c>
      <c r="AD729" s="29">
        <f t="shared" si="789"/>
        <v>0</v>
      </c>
      <c r="AE729" s="29">
        <f t="shared" si="790"/>
        <v>0</v>
      </c>
      <c r="AF729" s="29">
        <f t="shared" si="791"/>
        <v>0</v>
      </c>
      <c r="AG729" s="29">
        <f t="shared" si="792"/>
        <v>0</v>
      </c>
      <c r="AH729" s="29">
        <f t="shared" si="793"/>
        <v>0</v>
      </c>
      <c r="AI729" s="48" t="s">
        <v>61</v>
      </c>
      <c r="AJ729" s="55">
        <f t="shared" si="794"/>
        <v>0</v>
      </c>
      <c r="AK729" s="55">
        <f t="shared" si="795"/>
        <v>0</v>
      </c>
      <c r="AL729" s="55">
        <f t="shared" si="796"/>
        <v>0</v>
      </c>
      <c r="AN729" s="29">
        <v>15</v>
      </c>
      <c r="AO729" s="29">
        <f t="shared" si="797"/>
        <v>0</v>
      </c>
      <c r="AP729" s="29">
        <f t="shared" si="798"/>
        <v>498</v>
      </c>
      <c r="AQ729" s="51" t="s">
        <v>85</v>
      </c>
      <c r="AV729" s="29">
        <f t="shared" si="799"/>
        <v>0</v>
      </c>
      <c r="AW729" s="29">
        <f t="shared" si="800"/>
        <v>0</v>
      </c>
      <c r="AX729" s="29">
        <f t="shared" si="801"/>
        <v>0</v>
      </c>
      <c r="AY729" s="54" t="s">
        <v>642</v>
      </c>
      <c r="AZ729" s="54" t="s">
        <v>1644</v>
      </c>
      <c r="BA729" s="48" t="s">
        <v>1649</v>
      </c>
      <c r="BC729" s="29">
        <f t="shared" si="802"/>
        <v>0</v>
      </c>
      <c r="BD729" s="29">
        <f t="shared" si="803"/>
        <v>498.00000000000006</v>
      </c>
      <c r="BE729" s="29">
        <v>0</v>
      </c>
      <c r="BF729" s="29">
        <f t="shared" si="804"/>
        <v>0</v>
      </c>
      <c r="BH729" s="55">
        <f t="shared" si="805"/>
        <v>0</v>
      </c>
      <c r="BI729" s="55">
        <f t="shared" si="806"/>
        <v>0</v>
      </c>
      <c r="BJ729" s="55">
        <f t="shared" si="807"/>
        <v>0</v>
      </c>
    </row>
    <row r="730" spans="1:62" ht="12.75">
      <c r="A730" s="36" t="s">
        <v>1957</v>
      </c>
      <c r="B730" s="36" t="s">
        <v>61</v>
      </c>
      <c r="C730" s="36" t="s">
        <v>971</v>
      </c>
      <c r="D730" s="36" t="s">
        <v>1261</v>
      </c>
      <c r="E730" s="36" t="s">
        <v>606</v>
      </c>
      <c r="F730" s="55">
        <f>'Stavební rozpočet'!F745</f>
        <v>0</v>
      </c>
      <c r="G730" s="55">
        <f>'Stavební rozpočet'!G745</f>
        <v>50</v>
      </c>
      <c r="H730" s="55">
        <f t="shared" si="782"/>
        <v>0</v>
      </c>
      <c r="I730" s="55">
        <f t="shared" si="783"/>
        <v>0</v>
      </c>
      <c r="J730" s="55">
        <f t="shared" si="784"/>
        <v>0</v>
      </c>
      <c r="K730" s="55">
        <f>'Stavební rozpočet'!K745</f>
        <v>0</v>
      </c>
      <c r="L730" s="55">
        <f t="shared" si="785"/>
        <v>0</v>
      </c>
      <c r="M730" s="51" t="s">
        <v>622</v>
      </c>
      <c r="Z730" s="29">
        <f t="shared" si="786"/>
        <v>0</v>
      </c>
      <c r="AB730" s="29">
        <f t="shared" si="787"/>
        <v>0</v>
      </c>
      <c r="AC730" s="29">
        <f t="shared" si="788"/>
        <v>0</v>
      </c>
      <c r="AD730" s="29">
        <f t="shared" si="789"/>
        <v>0</v>
      </c>
      <c r="AE730" s="29">
        <f t="shared" si="790"/>
        <v>0</v>
      </c>
      <c r="AF730" s="29">
        <f t="shared" si="791"/>
        <v>0</v>
      </c>
      <c r="AG730" s="29">
        <f t="shared" si="792"/>
        <v>0</v>
      </c>
      <c r="AH730" s="29">
        <f t="shared" si="793"/>
        <v>0</v>
      </c>
      <c r="AI730" s="48" t="s">
        <v>61</v>
      </c>
      <c r="AJ730" s="55">
        <f t="shared" si="794"/>
        <v>0</v>
      </c>
      <c r="AK730" s="55">
        <f t="shared" si="795"/>
        <v>0</v>
      </c>
      <c r="AL730" s="55">
        <f t="shared" si="796"/>
        <v>0</v>
      </c>
      <c r="AN730" s="29">
        <v>15</v>
      </c>
      <c r="AO730" s="29">
        <f t="shared" si="797"/>
        <v>0</v>
      </c>
      <c r="AP730" s="29">
        <f t="shared" si="798"/>
        <v>50</v>
      </c>
      <c r="AQ730" s="51" t="s">
        <v>85</v>
      </c>
      <c r="AV730" s="29">
        <f t="shared" si="799"/>
        <v>0</v>
      </c>
      <c r="AW730" s="29">
        <f t="shared" si="800"/>
        <v>0</v>
      </c>
      <c r="AX730" s="29">
        <f t="shared" si="801"/>
        <v>0</v>
      </c>
      <c r="AY730" s="54" t="s">
        <v>642</v>
      </c>
      <c r="AZ730" s="54" t="s">
        <v>1644</v>
      </c>
      <c r="BA730" s="48" t="s">
        <v>1649</v>
      </c>
      <c r="BC730" s="29">
        <f t="shared" si="802"/>
        <v>0</v>
      </c>
      <c r="BD730" s="29">
        <f t="shared" si="803"/>
        <v>50</v>
      </c>
      <c r="BE730" s="29">
        <v>0</v>
      </c>
      <c r="BF730" s="29">
        <f t="shared" si="804"/>
        <v>0</v>
      </c>
      <c r="BH730" s="55">
        <f t="shared" si="805"/>
        <v>0</v>
      </c>
      <c r="BI730" s="55">
        <f t="shared" si="806"/>
        <v>0</v>
      </c>
      <c r="BJ730" s="55">
        <f t="shared" si="807"/>
        <v>0</v>
      </c>
    </row>
    <row r="731" spans="1:62" ht="12.75">
      <c r="A731" s="36" t="s">
        <v>1958</v>
      </c>
      <c r="B731" s="36" t="s">
        <v>61</v>
      </c>
      <c r="C731" s="36" t="s">
        <v>972</v>
      </c>
      <c r="D731" s="36" t="s">
        <v>1263</v>
      </c>
      <c r="E731" s="36" t="s">
        <v>606</v>
      </c>
      <c r="F731" s="55">
        <f>'Stavební rozpočet'!F746</f>
        <v>0</v>
      </c>
      <c r="G731" s="55">
        <f>'Stavební rozpočet'!G746</f>
        <v>430</v>
      </c>
      <c r="H731" s="55">
        <f t="shared" si="782"/>
        <v>0</v>
      </c>
      <c r="I731" s="55">
        <f t="shared" si="783"/>
        <v>0</v>
      </c>
      <c r="J731" s="55">
        <f t="shared" si="784"/>
        <v>0</v>
      </c>
      <c r="K731" s="55">
        <f>'Stavební rozpočet'!K746</f>
        <v>0</v>
      </c>
      <c r="L731" s="55">
        <f t="shared" si="785"/>
        <v>0</v>
      </c>
      <c r="M731" s="51" t="s">
        <v>622</v>
      </c>
      <c r="Z731" s="29">
        <f t="shared" si="786"/>
        <v>0</v>
      </c>
      <c r="AB731" s="29">
        <f t="shared" si="787"/>
        <v>0</v>
      </c>
      <c r="AC731" s="29">
        <f t="shared" si="788"/>
        <v>0</v>
      </c>
      <c r="AD731" s="29">
        <f t="shared" si="789"/>
        <v>0</v>
      </c>
      <c r="AE731" s="29">
        <f t="shared" si="790"/>
        <v>0</v>
      </c>
      <c r="AF731" s="29">
        <f t="shared" si="791"/>
        <v>0</v>
      </c>
      <c r="AG731" s="29">
        <f t="shared" si="792"/>
        <v>0</v>
      </c>
      <c r="AH731" s="29">
        <f t="shared" si="793"/>
        <v>0</v>
      </c>
      <c r="AI731" s="48" t="s">
        <v>61</v>
      </c>
      <c r="AJ731" s="55">
        <f t="shared" si="794"/>
        <v>0</v>
      </c>
      <c r="AK731" s="55">
        <f t="shared" si="795"/>
        <v>0</v>
      </c>
      <c r="AL731" s="55">
        <f t="shared" si="796"/>
        <v>0</v>
      </c>
      <c r="AN731" s="29">
        <v>15</v>
      </c>
      <c r="AO731" s="29">
        <f t="shared" si="797"/>
        <v>0</v>
      </c>
      <c r="AP731" s="29">
        <f t="shared" si="798"/>
        <v>430</v>
      </c>
      <c r="AQ731" s="51" t="s">
        <v>85</v>
      </c>
      <c r="AV731" s="29">
        <f t="shared" si="799"/>
        <v>0</v>
      </c>
      <c r="AW731" s="29">
        <f t="shared" si="800"/>
        <v>0</v>
      </c>
      <c r="AX731" s="29">
        <f t="shared" si="801"/>
        <v>0</v>
      </c>
      <c r="AY731" s="54" t="s">
        <v>642</v>
      </c>
      <c r="AZ731" s="54" t="s">
        <v>1644</v>
      </c>
      <c r="BA731" s="48" t="s">
        <v>1649</v>
      </c>
      <c r="BC731" s="29">
        <f t="shared" si="802"/>
        <v>0</v>
      </c>
      <c r="BD731" s="29">
        <f t="shared" si="803"/>
        <v>430</v>
      </c>
      <c r="BE731" s="29">
        <v>0</v>
      </c>
      <c r="BF731" s="29">
        <f t="shared" si="804"/>
        <v>0</v>
      </c>
      <c r="BH731" s="55">
        <f t="shared" si="805"/>
        <v>0</v>
      </c>
      <c r="BI731" s="55">
        <f t="shared" si="806"/>
        <v>0</v>
      </c>
      <c r="BJ731" s="55">
        <f t="shared" si="807"/>
        <v>0</v>
      </c>
    </row>
    <row r="732" spans="1:62" ht="12.75">
      <c r="A732" s="36" t="s">
        <v>1959</v>
      </c>
      <c r="B732" s="36" t="s">
        <v>61</v>
      </c>
      <c r="C732" s="36" t="s">
        <v>973</v>
      </c>
      <c r="D732" s="36" t="s">
        <v>1264</v>
      </c>
      <c r="E732" s="36" t="s">
        <v>606</v>
      </c>
      <c r="F732" s="55">
        <f>'Stavební rozpočet'!F747</f>
        <v>0</v>
      </c>
      <c r="G732" s="55">
        <f>'Stavební rozpočet'!G747</f>
        <v>490</v>
      </c>
      <c r="H732" s="55">
        <f t="shared" si="782"/>
        <v>0</v>
      </c>
      <c r="I732" s="55">
        <f t="shared" si="783"/>
        <v>0</v>
      </c>
      <c r="J732" s="55">
        <f t="shared" si="784"/>
        <v>0</v>
      </c>
      <c r="K732" s="55">
        <f>'Stavební rozpočet'!K747</f>
        <v>0</v>
      </c>
      <c r="L732" s="55">
        <f t="shared" si="785"/>
        <v>0</v>
      </c>
      <c r="M732" s="51" t="s">
        <v>622</v>
      </c>
      <c r="Z732" s="29">
        <f t="shared" si="786"/>
        <v>0</v>
      </c>
      <c r="AB732" s="29">
        <f t="shared" si="787"/>
        <v>0</v>
      </c>
      <c r="AC732" s="29">
        <f t="shared" si="788"/>
        <v>0</v>
      </c>
      <c r="AD732" s="29">
        <f t="shared" si="789"/>
        <v>0</v>
      </c>
      <c r="AE732" s="29">
        <f t="shared" si="790"/>
        <v>0</v>
      </c>
      <c r="AF732" s="29">
        <f t="shared" si="791"/>
        <v>0</v>
      </c>
      <c r="AG732" s="29">
        <f t="shared" si="792"/>
        <v>0</v>
      </c>
      <c r="AH732" s="29">
        <f t="shared" si="793"/>
        <v>0</v>
      </c>
      <c r="AI732" s="48" t="s">
        <v>61</v>
      </c>
      <c r="AJ732" s="55">
        <f t="shared" si="794"/>
        <v>0</v>
      </c>
      <c r="AK732" s="55">
        <f t="shared" si="795"/>
        <v>0</v>
      </c>
      <c r="AL732" s="55">
        <f t="shared" si="796"/>
        <v>0</v>
      </c>
      <c r="AN732" s="29">
        <v>15</v>
      </c>
      <c r="AO732" s="29">
        <f t="shared" si="797"/>
        <v>0</v>
      </c>
      <c r="AP732" s="29">
        <f t="shared" si="798"/>
        <v>490</v>
      </c>
      <c r="AQ732" s="51" t="s">
        <v>85</v>
      </c>
      <c r="AV732" s="29">
        <f t="shared" si="799"/>
        <v>0</v>
      </c>
      <c r="AW732" s="29">
        <f t="shared" si="800"/>
        <v>0</v>
      </c>
      <c r="AX732" s="29">
        <f t="shared" si="801"/>
        <v>0</v>
      </c>
      <c r="AY732" s="54" t="s">
        <v>642</v>
      </c>
      <c r="AZ732" s="54" t="s">
        <v>1644</v>
      </c>
      <c r="BA732" s="48" t="s">
        <v>1649</v>
      </c>
      <c r="BC732" s="29">
        <f t="shared" si="802"/>
        <v>0</v>
      </c>
      <c r="BD732" s="29">
        <f t="shared" si="803"/>
        <v>490.00000000000006</v>
      </c>
      <c r="BE732" s="29">
        <v>0</v>
      </c>
      <c r="BF732" s="29">
        <f t="shared" si="804"/>
        <v>0</v>
      </c>
      <c r="BH732" s="55">
        <f t="shared" si="805"/>
        <v>0</v>
      </c>
      <c r="BI732" s="55">
        <f t="shared" si="806"/>
        <v>0</v>
      </c>
      <c r="BJ732" s="55">
        <f t="shared" si="807"/>
        <v>0</v>
      </c>
    </row>
    <row r="733" spans="1:62" ht="12.75">
      <c r="A733" s="36" t="s">
        <v>1960</v>
      </c>
      <c r="B733" s="36" t="s">
        <v>61</v>
      </c>
      <c r="C733" s="36" t="s">
        <v>974</v>
      </c>
      <c r="D733" s="36" t="s">
        <v>1620</v>
      </c>
      <c r="E733" s="36" t="s">
        <v>606</v>
      </c>
      <c r="F733" s="55">
        <f>'Stavební rozpočet'!F748</f>
        <v>0</v>
      </c>
      <c r="G733" s="55">
        <f>'Stavební rozpočet'!G748</f>
        <v>3920</v>
      </c>
      <c r="H733" s="55">
        <f t="shared" si="782"/>
        <v>0</v>
      </c>
      <c r="I733" s="55">
        <f t="shared" si="783"/>
        <v>0</v>
      </c>
      <c r="J733" s="55">
        <f t="shared" si="784"/>
        <v>0</v>
      </c>
      <c r="K733" s="55">
        <f>'Stavební rozpočet'!K748</f>
        <v>0</v>
      </c>
      <c r="L733" s="55">
        <f t="shared" si="785"/>
        <v>0</v>
      </c>
      <c r="M733" s="51" t="s">
        <v>622</v>
      </c>
      <c r="Z733" s="29">
        <f t="shared" si="786"/>
        <v>0</v>
      </c>
      <c r="AB733" s="29">
        <f t="shared" si="787"/>
        <v>0</v>
      </c>
      <c r="AC733" s="29">
        <f t="shared" si="788"/>
        <v>0</v>
      </c>
      <c r="AD733" s="29">
        <f t="shared" si="789"/>
        <v>0</v>
      </c>
      <c r="AE733" s="29">
        <f t="shared" si="790"/>
        <v>0</v>
      </c>
      <c r="AF733" s="29">
        <f t="shared" si="791"/>
        <v>0</v>
      </c>
      <c r="AG733" s="29">
        <f t="shared" si="792"/>
        <v>0</v>
      </c>
      <c r="AH733" s="29">
        <f t="shared" si="793"/>
        <v>0</v>
      </c>
      <c r="AI733" s="48" t="s">
        <v>61</v>
      </c>
      <c r="AJ733" s="55">
        <f t="shared" si="794"/>
        <v>0</v>
      </c>
      <c r="AK733" s="55">
        <f t="shared" si="795"/>
        <v>0</v>
      </c>
      <c r="AL733" s="55">
        <f t="shared" si="796"/>
        <v>0</v>
      </c>
      <c r="AN733" s="29">
        <v>15</v>
      </c>
      <c r="AO733" s="29">
        <f t="shared" si="797"/>
        <v>0</v>
      </c>
      <c r="AP733" s="29">
        <f t="shared" si="798"/>
        <v>3920</v>
      </c>
      <c r="AQ733" s="51" t="s">
        <v>85</v>
      </c>
      <c r="AV733" s="29">
        <f t="shared" si="799"/>
        <v>0</v>
      </c>
      <c r="AW733" s="29">
        <f t="shared" si="800"/>
        <v>0</v>
      </c>
      <c r="AX733" s="29">
        <f t="shared" si="801"/>
        <v>0</v>
      </c>
      <c r="AY733" s="54" t="s">
        <v>642</v>
      </c>
      <c r="AZ733" s="54" t="s">
        <v>1644</v>
      </c>
      <c r="BA733" s="48" t="s">
        <v>1649</v>
      </c>
      <c r="BC733" s="29">
        <f t="shared" si="802"/>
        <v>0</v>
      </c>
      <c r="BD733" s="29">
        <f t="shared" si="803"/>
        <v>3920.0000000000005</v>
      </c>
      <c r="BE733" s="29">
        <v>0</v>
      </c>
      <c r="BF733" s="29">
        <f t="shared" si="804"/>
        <v>0</v>
      </c>
      <c r="BH733" s="55">
        <f t="shared" si="805"/>
        <v>0</v>
      </c>
      <c r="BI733" s="55">
        <f t="shared" si="806"/>
        <v>0</v>
      </c>
      <c r="BJ733" s="55">
        <f t="shared" si="807"/>
        <v>0</v>
      </c>
    </row>
    <row r="734" spans="1:62" ht="12.75">
      <c r="A734" s="36" t="s">
        <v>1961</v>
      </c>
      <c r="B734" s="36" t="s">
        <v>61</v>
      </c>
      <c r="C734" s="36" t="s">
        <v>975</v>
      </c>
      <c r="D734" s="36" t="s">
        <v>1267</v>
      </c>
      <c r="E734" s="36" t="s">
        <v>606</v>
      </c>
      <c r="F734" s="55">
        <f>'Stavební rozpočet'!F749</f>
        <v>0</v>
      </c>
      <c r="G734" s="55">
        <f>'Stavební rozpočet'!G749</f>
        <v>255</v>
      </c>
      <c r="H734" s="55">
        <f t="shared" si="782"/>
        <v>0</v>
      </c>
      <c r="I734" s="55">
        <f t="shared" si="783"/>
        <v>0</v>
      </c>
      <c r="J734" s="55">
        <f t="shared" si="784"/>
        <v>0</v>
      </c>
      <c r="K734" s="55">
        <f>'Stavební rozpočet'!K749</f>
        <v>0</v>
      </c>
      <c r="L734" s="55">
        <f t="shared" si="785"/>
        <v>0</v>
      </c>
      <c r="M734" s="51" t="s">
        <v>622</v>
      </c>
      <c r="Z734" s="29">
        <f t="shared" si="786"/>
        <v>0</v>
      </c>
      <c r="AB734" s="29">
        <f t="shared" si="787"/>
        <v>0</v>
      </c>
      <c r="AC734" s="29">
        <f t="shared" si="788"/>
        <v>0</v>
      </c>
      <c r="AD734" s="29">
        <f t="shared" si="789"/>
        <v>0</v>
      </c>
      <c r="AE734" s="29">
        <f t="shared" si="790"/>
        <v>0</v>
      </c>
      <c r="AF734" s="29">
        <f t="shared" si="791"/>
        <v>0</v>
      </c>
      <c r="AG734" s="29">
        <f t="shared" si="792"/>
        <v>0</v>
      </c>
      <c r="AH734" s="29">
        <f t="shared" si="793"/>
        <v>0</v>
      </c>
      <c r="AI734" s="48" t="s">
        <v>61</v>
      </c>
      <c r="AJ734" s="55">
        <f t="shared" si="794"/>
        <v>0</v>
      </c>
      <c r="AK734" s="55">
        <f t="shared" si="795"/>
        <v>0</v>
      </c>
      <c r="AL734" s="55">
        <f t="shared" si="796"/>
        <v>0</v>
      </c>
      <c r="AN734" s="29">
        <v>15</v>
      </c>
      <c r="AO734" s="29">
        <f t="shared" si="797"/>
        <v>0</v>
      </c>
      <c r="AP734" s="29">
        <f t="shared" si="798"/>
        <v>255</v>
      </c>
      <c r="AQ734" s="51" t="s">
        <v>85</v>
      </c>
      <c r="AV734" s="29">
        <f t="shared" si="799"/>
        <v>0</v>
      </c>
      <c r="AW734" s="29">
        <f t="shared" si="800"/>
        <v>0</v>
      </c>
      <c r="AX734" s="29">
        <f t="shared" si="801"/>
        <v>0</v>
      </c>
      <c r="AY734" s="54" t="s">
        <v>642</v>
      </c>
      <c r="AZ734" s="54" t="s">
        <v>1644</v>
      </c>
      <c r="BA734" s="48" t="s">
        <v>1649</v>
      </c>
      <c r="BC734" s="29">
        <f t="shared" si="802"/>
        <v>0</v>
      </c>
      <c r="BD734" s="29">
        <f t="shared" si="803"/>
        <v>254.99999999999997</v>
      </c>
      <c r="BE734" s="29">
        <v>0</v>
      </c>
      <c r="BF734" s="29">
        <f t="shared" si="804"/>
        <v>0</v>
      </c>
      <c r="BH734" s="55">
        <f t="shared" si="805"/>
        <v>0</v>
      </c>
      <c r="BI734" s="55">
        <f t="shared" si="806"/>
        <v>0</v>
      </c>
      <c r="BJ734" s="55">
        <f t="shared" si="807"/>
        <v>0</v>
      </c>
    </row>
    <row r="735" spans="1:62" ht="12.75">
      <c r="A735" s="36" t="s">
        <v>1962</v>
      </c>
      <c r="B735" s="36" t="s">
        <v>61</v>
      </c>
      <c r="C735" s="36" t="s">
        <v>987</v>
      </c>
      <c r="D735" s="36" t="s">
        <v>1621</v>
      </c>
      <c r="E735" s="36" t="s">
        <v>606</v>
      </c>
      <c r="F735" s="55">
        <f>'Stavební rozpočet'!F750</f>
        <v>0</v>
      </c>
      <c r="G735" s="55">
        <f>'Stavební rozpočet'!G750</f>
        <v>8590</v>
      </c>
      <c r="H735" s="55">
        <f t="shared" si="782"/>
        <v>0</v>
      </c>
      <c r="I735" s="55">
        <f t="shared" si="783"/>
        <v>0</v>
      </c>
      <c r="J735" s="55">
        <f t="shared" si="784"/>
        <v>0</v>
      </c>
      <c r="K735" s="55">
        <f>'Stavební rozpočet'!K750</f>
        <v>0</v>
      </c>
      <c r="L735" s="55">
        <f t="shared" si="785"/>
        <v>0</v>
      </c>
      <c r="M735" s="51" t="s">
        <v>622</v>
      </c>
      <c r="Z735" s="29">
        <f t="shared" si="786"/>
        <v>0</v>
      </c>
      <c r="AB735" s="29">
        <f t="shared" si="787"/>
        <v>0</v>
      </c>
      <c r="AC735" s="29">
        <f t="shared" si="788"/>
        <v>0</v>
      </c>
      <c r="AD735" s="29">
        <f t="shared" si="789"/>
        <v>0</v>
      </c>
      <c r="AE735" s="29">
        <f t="shared" si="790"/>
        <v>0</v>
      </c>
      <c r="AF735" s="29">
        <f t="shared" si="791"/>
        <v>0</v>
      </c>
      <c r="AG735" s="29">
        <f t="shared" si="792"/>
        <v>0</v>
      </c>
      <c r="AH735" s="29">
        <f t="shared" si="793"/>
        <v>0</v>
      </c>
      <c r="AI735" s="48" t="s">
        <v>61</v>
      </c>
      <c r="AJ735" s="55">
        <f t="shared" si="794"/>
        <v>0</v>
      </c>
      <c r="AK735" s="55">
        <f t="shared" si="795"/>
        <v>0</v>
      </c>
      <c r="AL735" s="55">
        <f t="shared" si="796"/>
        <v>0</v>
      </c>
      <c r="AN735" s="29">
        <v>15</v>
      </c>
      <c r="AO735" s="29">
        <f t="shared" si="797"/>
        <v>0</v>
      </c>
      <c r="AP735" s="29">
        <f t="shared" si="798"/>
        <v>8590</v>
      </c>
      <c r="AQ735" s="51" t="s">
        <v>85</v>
      </c>
      <c r="AV735" s="29">
        <f t="shared" si="799"/>
        <v>0</v>
      </c>
      <c r="AW735" s="29">
        <f t="shared" si="800"/>
        <v>0</v>
      </c>
      <c r="AX735" s="29">
        <f t="shared" si="801"/>
        <v>0</v>
      </c>
      <c r="AY735" s="54" t="s">
        <v>642</v>
      </c>
      <c r="AZ735" s="54" t="s">
        <v>1644</v>
      </c>
      <c r="BA735" s="48" t="s">
        <v>1649</v>
      </c>
      <c r="BC735" s="29">
        <f t="shared" si="802"/>
        <v>0</v>
      </c>
      <c r="BD735" s="29">
        <f t="shared" si="803"/>
        <v>8590</v>
      </c>
      <c r="BE735" s="29">
        <v>0</v>
      </c>
      <c r="BF735" s="29">
        <f t="shared" si="804"/>
        <v>0</v>
      </c>
      <c r="BH735" s="55">
        <f t="shared" si="805"/>
        <v>0</v>
      </c>
      <c r="BI735" s="55">
        <f t="shared" si="806"/>
        <v>0</v>
      </c>
      <c r="BJ735" s="55">
        <f t="shared" si="807"/>
        <v>0</v>
      </c>
    </row>
    <row r="736" spans="1:62" ht="12.75">
      <c r="A736" s="36" t="s">
        <v>1963</v>
      </c>
      <c r="B736" s="36" t="s">
        <v>61</v>
      </c>
      <c r="C736" s="36" t="s">
        <v>989</v>
      </c>
      <c r="D736" s="36" t="s">
        <v>1285</v>
      </c>
      <c r="E736" s="36" t="s">
        <v>606</v>
      </c>
      <c r="F736" s="55">
        <f>'Stavební rozpočet'!F751</f>
        <v>0</v>
      </c>
      <c r="G736" s="55">
        <f>'Stavební rozpočet'!G751</f>
        <v>250</v>
      </c>
      <c r="H736" s="55">
        <f t="shared" si="782"/>
        <v>0</v>
      </c>
      <c r="I736" s="55">
        <f t="shared" si="783"/>
        <v>0</v>
      </c>
      <c r="J736" s="55">
        <f t="shared" si="784"/>
        <v>0</v>
      </c>
      <c r="K736" s="55">
        <f>'Stavební rozpočet'!K751</f>
        <v>0</v>
      </c>
      <c r="L736" s="55">
        <f t="shared" si="785"/>
        <v>0</v>
      </c>
      <c r="M736" s="51" t="s">
        <v>622</v>
      </c>
      <c r="Z736" s="29">
        <f t="shared" si="786"/>
        <v>0</v>
      </c>
      <c r="AB736" s="29">
        <f t="shared" si="787"/>
        <v>0</v>
      </c>
      <c r="AC736" s="29">
        <f t="shared" si="788"/>
        <v>0</v>
      </c>
      <c r="AD736" s="29">
        <f t="shared" si="789"/>
        <v>0</v>
      </c>
      <c r="AE736" s="29">
        <f t="shared" si="790"/>
        <v>0</v>
      </c>
      <c r="AF736" s="29">
        <f t="shared" si="791"/>
        <v>0</v>
      </c>
      <c r="AG736" s="29">
        <f t="shared" si="792"/>
        <v>0</v>
      </c>
      <c r="AH736" s="29">
        <f t="shared" si="793"/>
        <v>0</v>
      </c>
      <c r="AI736" s="48" t="s">
        <v>61</v>
      </c>
      <c r="AJ736" s="55">
        <f t="shared" si="794"/>
        <v>0</v>
      </c>
      <c r="AK736" s="55">
        <f t="shared" si="795"/>
        <v>0</v>
      </c>
      <c r="AL736" s="55">
        <f t="shared" si="796"/>
        <v>0</v>
      </c>
      <c r="AN736" s="29">
        <v>15</v>
      </c>
      <c r="AO736" s="29">
        <f t="shared" si="797"/>
        <v>0</v>
      </c>
      <c r="AP736" s="29">
        <f t="shared" si="798"/>
        <v>250</v>
      </c>
      <c r="AQ736" s="51" t="s">
        <v>85</v>
      </c>
      <c r="AV736" s="29">
        <f t="shared" si="799"/>
        <v>0</v>
      </c>
      <c r="AW736" s="29">
        <f t="shared" si="800"/>
        <v>0</v>
      </c>
      <c r="AX736" s="29">
        <f t="shared" si="801"/>
        <v>0</v>
      </c>
      <c r="AY736" s="54" t="s">
        <v>642</v>
      </c>
      <c r="AZ736" s="54" t="s">
        <v>1644</v>
      </c>
      <c r="BA736" s="48" t="s">
        <v>1649</v>
      </c>
      <c r="BC736" s="29">
        <f t="shared" si="802"/>
        <v>0</v>
      </c>
      <c r="BD736" s="29">
        <f t="shared" si="803"/>
        <v>250</v>
      </c>
      <c r="BE736" s="29">
        <v>0</v>
      </c>
      <c r="BF736" s="29">
        <f t="shared" si="804"/>
        <v>0</v>
      </c>
      <c r="BH736" s="55">
        <f t="shared" si="805"/>
        <v>0</v>
      </c>
      <c r="BI736" s="55">
        <f t="shared" si="806"/>
        <v>0</v>
      </c>
      <c r="BJ736" s="55">
        <f t="shared" si="807"/>
        <v>0</v>
      </c>
    </row>
    <row r="737" spans="1:62" ht="12.75">
      <c r="A737" s="36" t="s">
        <v>1964</v>
      </c>
      <c r="B737" s="36" t="s">
        <v>61</v>
      </c>
      <c r="C737" s="36" t="s">
        <v>992</v>
      </c>
      <c r="D737" s="36" t="s">
        <v>1286</v>
      </c>
      <c r="E737" s="36" t="s">
        <v>609</v>
      </c>
      <c r="F737" s="55">
        <f>'Stavební rozpočet'!F752</f>
        <v>0</v>
      </c>
      <c r="G737" s="55">
        <f>'Stavební rozpočet'!G752</f>
        <v>1750</v>
      </c>
      <c r="H737" s="55">
        <f t="shared" si="782"/>
        <v>0</v>
      </c>
      <c r="I737" s="55">
        <f t="shared" si="783"/>
        <v>0</v>
      </c>
      <c r="J737" s="55">
        <f t="shared" si="784"/>
        <v>0</v>
      </c>
      <c r="K737" s="55">
        <f>'Stavební rozpočet'!K752</f>
        <v>0</v>
      </c>
      <c r="L737" s="55">
        <f t="shared" si="785"/>
        <v>0</v>
      </c>
      <c r="M737" s="51" t="s">
        <v>622</v>
      </c>
      <c r="Z737" s="29">
        <f t="shared" si="786"/>
        <v>0</v>
      </c>
      <c r="AB737" s="29">
        <f t="shared" si="787"/>
        <v>0</v>
      </c>
      <c r="AC737" s="29">
        <f t="shared" si="788"/>
        <v>0</v>
      </c>
      <c r="AD737" s="29">
        <f t="shared" si="789"/>
        <v>0</v>
      </c>
      <c r="AE737" s="29">
        <f t="shared" si="790"/>
        <v>0</v>
      </c>
      <c r="AF737" s="29">
        <f t="shared" si="791"/>
        <v>0</v>
      </c>
      <c r="AG737" s="29">
        <f t="shared" si="792"/>
        <v>0</v>
      </c>
      <c r="AH737" s="29">
        <f t="shared" si="793"/>
        <v>0</v>
      </c>
      <c r="AI737" s="48" t="s">
        <v>61</v>
      </c>
      <c r="AJ737" s="55">
        <f t="shared" si="794"/>
        <v>0</v>
      </c>
      <c r="AK737" s="55">
        <f t="shared" si="795"/>
        <v>0</v>
      </c>
      <c r="AL737" s="55">
        <f t="shared" si="796"/>
        <v>0</v>
      </c>
      <c r="AN737" s="29">
        <v>15</v>
      </c>
      <c r="AO737" s="29">
        <f t="shared" si="797"/>
        <v>0</v>
      </c>
      <c r="AP737" s="29">
        <f t="shared" si="798"/>
        <v>1750</v>
      </c>
      <c r="AQ737" s="51" t="s">
        <v>85</v>
      </c>
      <c r="AV737" s="29">
        <f t="shared" si="799"/>
        <v>0</v>
      </c>
      <c r="AW737" s="29">
        <f t="shared" si="800"/>
        <v>0</v>
      </c>
      <c r="AX737" s="29">
        <f t="shared" si="801"/>
        <v>0</v>
      </c>
      <c r="AY737" s="54" t="s">
        <v>642</v>
      </c>
      <c r="AZ737" s="54" t="s">
        <v>1644</v>
      </c>
      <c r="BA737" s="48" t="s">
        <v>1649</v>
      </c>
      <c r="BC737" s="29">
        <f t="shared" si="802"/>
        <v>0</v>
      </c>
      <c r="BD737" s="29">
        <f t="shared" si="803"/>
        <v>1750</v>
      </c>
      <c r="BE737" s="29">
        <v>0</v>
      </c>
      <c r="BF737" s="29">
        <f t="shared" si="804"/>
        <v>0</v>
      </c>
      <c r="BH737" s="55">
        <f t="shared" si="805"/>
        <v>0</v>
      </c>
      <c r="BI737" s="55">
        <f t="shared" si="806"/>
        <v>0</v>
      </c>
      <c r="BJ737" s="55">
        <f t="shared" si="807"/>
        <v>0</v>
      </c>
    </row>
    <row r="738" spans="1:62" ht="12.75">
      <c r="A738" s="36" t="s">
        <v>1965</v>
      </c>
      <c r="B738" s="36" t="s">
        <v>61</v>
      </c>
      <c r="C738" s="36" t="s">
        <v>993</v>
      </c>
      <c r="D738" s="36" t="s">
        <v>1287</v>
      </c>
      <c r="E738" s="36" t="s">
        <v>609</v>
      </c>
      <c r="F738" s="55">
        <f>'Stavební rozpočet'!F753</f>
        <v>0</v>
      </c>
      <c r="G738" s="55">
        <f>'Stavební rozpočet'!G753</f>
        <v>55</v>
      </c>
      <c r="H738" s="55">
        <f t="shared" si="782"/>
        <v>0</v>
      </c>
      <c r="I738" s="55">
        <f t="shared" si="783"/>
        <v>0</v>
      </c>
      <c r="J738" s="55">
        <f t="shared" si="784"/>
        <v>0</v>
      </c>
      <c r="K738" s="55">
        <f>'Stavební rozpočet'!K753</f>
        <v>0</v>
      </c>
      <c r="L738" s="55">
        <f t="shared" si="785"/>
        <v>0</v>
      </c>
      <c r="M738" s="51" t="s">
        <v>622</v>
      </c>
      <c r="Z738" s="29">
        <f t="shared" si="786"/>
        <v>0</v>
      </c>
      <c r="AB738" s="29">
        <f t="shared" si="787"/>
        <v>0</v>
      </c>
      <c r="AC738" s="29">
        <f t="shared" si="788"/>
        <v>0</v>
      </c>
      <c r="AD738" s="29">
        <f t="shared" si="789"/>
        <v>0</v>
      </c>
      <c r="AE738" s="29">
        <f t="shared" si="790"/>
        <v>0</v>
      </c>
      <c r="AF738" s="29">
        <f t="shared" si="791"/>
        <v>0</v>
      </c>
      <c r="AG738" s="29">
        <f t="shared" si="792"/>
        <v>0</v>
      </c>
      <c r="AH738" s="29">
        <f t="shared" si="793"/>
        <v>0</v>
      </c>
      <c r="AI738" s="48" t="s">
        <v>61</v>
      </c>
      <c r="AJ738" s="55">
        <f t="shared" si="794"/>
        <v>0</v>
      </c>
      <c r="AK738" s="55">
        <f t="shared" si="795"/>
        <v>0</v>
      </c>
      <c r="AL738" s="55">
        <f t="shared" si="796"/>
        <v>0</v>
      </c>
      <c r="AN738" s="29">
        <v>15</v>
      </c>
      <c r="AO738" s="29">
        <f t="shared" si="797"/>
        <v>0</v>
      </c>
      <c r="AP738" s="29">
        <f t="shared" si="798"/>
        <v>55</v>
      </c>
      <c r="AQ738" s="51" t="s">
        <v>85</v>
      </c>
      <c r="AV738" s="29">
        <f t="shared" si="799"/>
        <v>0</v>
      </c>
      <c r="AW738" s="29">
        <f t="shared" si="800"/>
        <v>0</v>
      </c>
      <c r="AX738" s="29">
        <f t="shared" si="801"/>
        <v>0</v>
      </c>
      <c r="AY738" s="54" t="s">
        <v>642</v>
      </c>
      <c r="AZ738" s="54" t="s">
        <v>1644</v>
      </c>
      <c r="BA738" s="48" t="s">
        <v>1649</v>
      </c>
      <c r="BC738" s="29">
        <f t="shared" si="802"/>
        <v>0</v>
      </c>
      <c r="BD738" s="29">
        <f t="shared" si="803"/>
        <v>55.00000000000001</v>
      </c>
      <c r="BE738" s="29">
        <v>0</v>
      </c>
      <c r="BF738" s="29">
        <f t="shared" si="804"/>
        <v>0</v>
      </c>
      <c r="BH738" s="55">
        <f t="shared" si="805"/>
        <v>0</v>
      </c>
      <c r="BI738" s="55">
        <f t="shared" si="806"/>
        <v>0</v>
      </c>
      <c r="BJ738" s="55">
        <f t="shared" si="807"/>
        <v>0</v>
      </c>
    </row>
    <row r="739" spans="1:62" ht="12.75">
      <c r="A739" s="36" t="s">
        <v>1966</v>
      </c>
      <c r="B739" s="36" t="s">
        <v>61</v>
      </c>
      <c r="C739" s="36" t="s">
        <v>994</v>
      </c>
      <c r="D739" s="36" t="s">
        <v>1288</v>
      </c>
      <c r="E739" s="36" t="s">
        <v>606</v>
      </c>
      <c r="F739" s="55">
        <f>'Stavební rozpočet'!F754</f>
        <v>0</v>
      </c>
      <c r="G739" s="55">
        <f>'Stavební rozpočet'!G754</f>
        <v>1500</v>
      </c>
      <c r="H739" s="55">
        <f t="shared" si="782"/>
        <v>0</v>
      </c>
      <c r="I739" s="55">
        <f t="shared" si="783"/>
        <v>0</v>
      </c>
      <c r="J739" s="55">
        <f t="shared" si="784"/>
        <v>0</v>
      </c>
      <c r="K739" s="55">
        <f>'Stavební rozpočet'!K754</f>
        <v>0</v>
      </c>
      <c r="L739" s="55">
        <f t="shared" si="785"/>
        <v>0</v>
      </c>
      <c r="M739" s="51" t="s">
        <v>622</v>
      </c>
      <c r="Z739" s="29">
        <f t="shared" si="786"/>
        <v>0</v>
      </c>
      <c r="AB739" s="29">
        <f t="shared" si="787"/>
        <v>0</v>
      </c>
      <c r="AC739" s="29">
        <f t="shared" si="788"/>
        <v>0</v>
      </c>
      <c r="AD739" s="29">
        <f t="shared" si="789"/>
        <v>0</v>
      </c>
      <c r="AE739" s="29">
        <f t="shared" si="790"/>
        <v>0</v>
      </c>
      <c r="AF739" s="29">
        <f t="shared" si="791"/>
        <v>0</v>
      </c>
      <c r="AG739" s="29">
        <f t="shared" si="792"/>
        <v>0</v>
      </c>
      <c r="AH739" s="29">
        <f t="shared" si="793"/>
        <v>0</v>
      </c>
      <c r="AI739" s="48" t="s">
        <v>61</v>
      </c>
      <c r="AJ739" s="55">
        <f t="shared" si="794"/>
        <v>0</v>
      </c>
      <c r="AK739" s="55">
        <f t="shared" si="795"/>
        <v>0</v>
      </c>
      <c r="AL739" s="55">
        <f t="shared" si="796"/>
        <v>0</v>
      </c>
      <c r="AN739" s="29">
        <v>15</v>
      </c>
      <c r="AO739" s="29">
        <f t="shared" si="797"/>
        <v>0</v>
      </c>
      <c r="AP739" s="29">
        <f t="shared" si="798"/>
        <v>1500</v>
      </c>
      <c r="AQ739" s="51" t="s">
        <v>85</v>
      </c>
      <c r="AV739" s="29">
        <f t="shared" si="799"/>
        <v>0</v>
      </c>
      <c r="AW739" s="29">
        <f t="shared" si="800"/>
        <v>0</v>
      </c>
      <c r="AX739" s="29">
        <f t="shared" si="801"/>
        <v>0</v>
      </c>
      <c r="AY739" s="54" t="s">
        <v>642</v>
      </c>
      <c r="AZ739" s="54" t="s">
        <v>1644</v>
      </c>
      <c r="BA739" s="48" t="s">
        <v>1649</v>
      </c>
      <c r="BC739" s="29">
        <f t="shared" si="802"/>
        <v>0</v>
      </c>
      <c r="BD739" s="29">
        <f t="shared" si="803"/>
        <v>1500</v>
      </c>
      <c r="BE739" s="29">
        <v>0</v>
      </c>
      <c r="BF739" s="29">
        <f t="shared" si="804"/>
        <v>0</v>
      </c>
      <c r="BH739" s="55">
        <f t="shared" si="805"/>
        <v>0</v>
      </c>
      <c r="BI739" s="55">
        <f t="shared" si="806"/>
        <v>0</v>
      </c>
      <c r="BJ739" s="55">
        <f t="shared" si="807"/>
        <v>0</v>
      </c>
    </row>
    <row r="740" spans="1:62" ht="12.75">
      <c r="A740" s="36" t="s">
        <v>1967</v>
      </c>
      <c r="B740" s="36" t="s">
        <v>61</v>
      </c>
      <c r="C740" s="36" t="s">
        <v>999</v>
      </c>
      <c r="D740" s="36" t="s">
        <v>1291</v>
      </c>
      <c r="E740" s="36" t="s">
        <v>609</v>
      </c>
      <c r="F740" s="55">
        <f>'Stavební rozpočet'!F755</f>
        <v>0</v>
      </c>
      <c r="G740" s="55">
        <f>'Stavební rozpočet'!G755</f>
        <v>200</v>
      </c>
      <c r="H740" s="55">
        <f t="shared" si="782"/>
        <v>0</v>
      </c>
      <c r="I740" s="55">
        <f t="shared" si="783"/>
        <v>0</v>
      </c>
      <c r="J740" s="55">
        <f t="shared" si="784"/>
        <v>0</v>
      </c>
      <c r="K740" s="55">
        <f>'Stavební rozpočet'!K755</f>
        <v>0</v>
      </c>
      <c r="L740" s="55">
        <f t="shared" si="785"/>
        <v>0</v>
      </c>
      <c r="M740" s="51" t="s">
        <v>622</v>
      </c>
      <c r="Z740" s="29">
        <f t="shared" si="786"/>
        <v>0</v>
      </c>
      <c r="AB740" s="29">
        <f t="shared" si="787"/>
        <v>0</v>
      </c>
      <c r="AC740" s="29">
        <f t="shared" si="788"/>
        <v>0</v>
      </c>
      <c r="AD740" s="29">
        <f t="shared" si="789"/>
        <v>0</v>
      </c>
      <c r="AE740" s="29">
        <f t="shared" si="790"/>
        <v>0</v>
      </c>
      <c r="AF740" s="29">
        <f t="shared" si="791"/>
        <v>0</v>
      </c>
      <c r="AG740" s="29">
        <f t="shared" si="792"/>
        <v>0</v>
      </c>
      <c r="AH740" s="29">
        <f t="shared" si="793"/>
        <v>0</v>
      </c>
      <c r="AI740" s="48" t="s">
        <v>61</v>
      </c>
      <c r="AJ740" s="55">
        <f t="shared" si="794"/>
        <v>0</v>
      </c>
      <c r="AK740" s="55">
        <f t="shared" si="795"/>
        <v>0</v>
      </c>
      <c r="AL740" s="55">
        <f t="shared" si="796"/>
        <v>0</v>
      </c>
      <c r="AN740" s="29">
        <v>15</v>
      </c>
      <c r="AO740" s="29">
        <f t="shared" si="797"/>
        <v>0</v>
      </c>
      <c r="AP740" s="29">
        <f t="shared" si="798"/>
        <v>200</v>
      </c>
      <c r="AQ740" s="51" t="s">
        <v>85</v>
      </c>
      <c r="AV740" s="29">
        <f t="shared" si="799"/>
        <v>0</v>
      </c>
      <c r="AW740" s="29">
        <f t="shared" si="800"/>
        <v>0</v>
      </c>
      <c r="AX740" s="29">
        <f t="shared" si="801"/>
        <v>0</v>
      </c>
      <c r="AY740" s="54" t="s">
        <v>642</v>
      </c>
      <c r="AZ740" s="54" t="s">
        <v>1644</v>
      </c>
      <c r="BA740" s="48" t="s">
        <v>1649</v>
      </c>
      <c r="BC740" s="29">
        <f t="shared" si="802"/>
        <v>0</v>
      </c>
      <c r="BD740" s="29">
        <f t="shared" si="803"/>
        <v>200</v>
      </c>
      <c r="BE740" s="29">
        <v>0</v>
      </c>
      <c r="BF740" s="29">
        <f t="shared" si="804"/>
        <v>0</v>
      </c>
      <c r="BH740" s="55">
        <f t="shared" si="805"/>
        <v>0</v>
      </c>
      <c r="BI740" s="55">
        <f t="shared" si="806"/>
        <v>0</v>
      </c>
      <c r="BJ740" s="55">
        <f t="shared" si="807"/>
        <v>0</v>
      </c>
    </row>
    <row r="741" spans="1:62" ht="12.75">
      <c r="A741" s="36" t="s">
        <v>1968</v>
      </c>
      <c r="B741" s="36" t="s">
        <v>61</v>
      </c>
      <c r="C741" s="36" t="s">
        <v>1000</v>
      </c>
      <c r="D741" s="36" t="s">
        <v>1292</v>
      </c>
      <c r="E741" s="36" t="s">
        <v>606</v>
      </c>
      <c r="F741" s="55">
        <f>'Stavební rozpočet'!F756</f>
        <v>0</v>
      </c>
      <c r="G741" s="55">
        <f>'Stavební rozpočet'!G756</f>
        <v>750</v>
      </c>
      <c r="H741" s="55">
        <f t="shared" si="782"/>
        <v>0</v>
      </c>
      <c r="I741" s="55">
        <f t="shared" si="783"/>
        <v>0</v>
      </c>
      <c r="J741" s="55">
        <f t="shared" si="784"/>
        <v>0</v>
      </c>
      <c r="K741" s="55">
        <f>'Stavební rozpočet'!K756</f>
        <v>0</v>
      </c>
      <c r="L741" s="55">
        <f t="shared" si="785"/>
        <v>0</v>
      </c>
      <c r="M741" s="51" t="s">
        <v>622</v>
      </c>
      <c r="Z741" s="29">
        <f t="shared" si="786"/>
        <v>0</v>
      </c>
      <c r="AB741" s="29">
        <f t="shared" si="787"/>
        <v>0</v>
      </c>
      <c r="AC741" s="29">
        <f t="shared" si="788"/>
        <v>0</v>
      </c>
      <c r="AD741" s="29">
        <f t="shared" si="789"/>
        <v>0</v>
      </c>
      <c r="AE741" s="29">
        <f t="shared" si="790"/>
        <v>0</v>
      </c>
      <c r="AF741" s="29">
        <f t="shared" si="791"/>
        <v>0</v>
      </c>
      <c r="AG741" s="29">
        <f t="shared" si="792"/>
        <v>0</v>
      </c>
      <c r="AH741" s="29">
        <f t="shared" si="793"/>
        <v>0</v>
      </c>
      <c r="AI741" s="48" t="s">
        <v>61</v>
      </c>
      <c r="AJ741" s="55">
        <f t="shared" si="794"/>
        <v>0</v>
      </c>
      <c r="AK741" s="55">
        <f t="shared" si="795"/>
        <v>0</v>
      </c>
      <c r="AL741" s="55">
        <f t="shared" si="796"/>
        <v>0</v>
      </c>
      <c r="AN741" s="29">
        <v>15</v>
      </c>
      <c r="AO741" s="29">
        <f t="shared" si="797"/>
        <v>0</v>
      </c>
      <c r="AP741" s="29">
        <f t="shared" si="798"/>
        <v>750</v>
      </c>
      <c r="AQ741" s="51" t="s">
        <v>85</v>
      </c>
      <c r="AV741" s="29">
        <f t="shared" si="799"/>
        <v>0</v>
      </c>
      <c r="AW741" s="29">
        <f t="shared" si="800"/>
        <v>0</v>
      </c>
      <c r="AX741" s="29">
        <f t="shared" si="801"/>
        <v>0</v>
      </c>
      <c r="AY741" s="54" t="s">
        <v>642</v>
      </c>
      <c r="AZ741" s="54" t="s">
        <v>1644</v>
      </c>
      <c r="BA741" s="48" t="s">
        <v>1649</v>
      </c>
      <c r="BC741" s="29">
        <f t="shared" si="802"/>
        <v>0</v>
      </c>
      <c r="BD741" s="29">
        <f t="shared" si="803"/>
        <v>750</v>
      </c>
      <c r="BE741" s="29">
        <v>0</v>
      </c>
      <c r="BF741" s="29">
        <f t="shared" si="804"/>
        <v>0</v>
      </c>
      <c r="BH741" s="55">
        <f t="shared" si="805"/>
        <v>0</v>
      </c>
      <c r="BI741" s="55">
        <f t="shared" si="806"/>
        <v>0</v>
      </c>
      <c r="BJ741" s="55">
        <f t="shared" si="807"/>
        <v>0</v>
      </c>
    </row>
    <row r="742" spans="1:62" ht="12.75">
      <c r="A742" s="36" t="s">
        <v>1969</v>
      </c>
      <c r="B742" s="36" t="s">
        <v>61</v>
      </c>
      <c r="C742" s="36" t="s">
        <v>1001</v>
      </c>
      <c r="D742" s="36" t="s">
        <v>1246</v>
      </c>
      <c r="E742" s="36" t="s">
        <v>606</v>
      </c>
      <c r="F742" s="55">
        <f>'Stavební rozpočet'!F757</f>
        <v>0</v>
      </c>
      <c r="G742" s="55">
        <f>'Stavební rozpočet'!G757</f>
        <v>355</v>
      </c>
      <c r="H742" s="55">
        <f t="shared" si="782"/>
        <v>0</v>
      </c>
      <c r="I742" s="55">
        <f t="shared" si="783"/>
        <v>0</v>
      </c>
      <c r="J742" s="55">
        <f t="shared" si="784"/>
        <v>0</v>
      </c>
      <c r="K742" s="55">
        <f>'Stavební rozpočet'!K757</f>
        <v>0</v>
      </c>
      <c r="L742" s="55">
        <f t="shared" si="785"/>
        <v>0</v>
      </c>
      <c r="M742" s="51" t="s">
        <v>622</v>
      </c>
      <c r="Z742" s="29">
        <f t="shared" si="786"/>
        <v>0</v>
      </c>
      <c r="AB742" s="29">
        <f t="shared" si="787"/>
        <v>0</v>
      </c>
      <c r="AC742" s="29">
        <f t="shared" si="788"/>
        <v>0</v>
      </c>
      <c r="AD742" s="29">
        <f t="shared" si="789"/>
        <v>0</v>
      </c>
      <c r="AE742" s="29">
        <f t="shared" si="790"/>
        <v>0</v>
      </c>
      <c r="AF742" s="29">
        <f t="shared" si="791"/>
        <v>0</v>
      </c>
      <c r="AG742" s="29">
        <f t="shared" si="792"/>
        <v>0</v>
      </c>
      <c r="AH742" s="29">
        <f t="shared" si="793"/>
        <v>0</v>
      </c>
      <c r="AI742" s="48" t="s">
        <v>61</v>
      </c>
      <c r="AJ742" s="55">
        <f t="shared" si="794"/>
        <v>0</v>
      </c>
      <c r="AK742" s="55">
        <f t="shared" si="795"/>
        <v>0</v>
      </c>
      <c r="AL742" s="55">
        <f t="shared" si="796"/>
        <v>0</v>
      </c>
      <c r="AN742" s="29">
        <v>15</v>
      </c>
      <c r="AO742" s="29">
        <f t="shared" si="797"/>
        <v>0</v>
      </c>
      <c r="AP742" s="29">
        <f t="shared" si="798"/>
        <v>355</v>
      </c>
      <c r="AQ742" s="51" t="s">
        <v>85</v>
      </c>
      <c r="AV742" s="29">
        <f t="shared" si="799"/>
        <v>0</v>
      </c>
      <c r="AW742" s="29">
        <f t="shared" si="800"/>
        <v>0</v>
      </c>
      <c r="AX742" s="29">
        <f t="shared" si="801"/>
        <v>0</v>
      </c>
      <c r="AY742" s="54" t="s">
        <v>642</v>
      </c>
      <c r="AZ742" s="54" t="s">
        <v>1644</v>
      </c>
      <c r="BA742" s="48" t="s">
        <v>1649</v>
      </c>
      <c r="BC742" s="29">
        <f t="shared" si="802"/>
        <v>0</v>
      </c>
      <c r="BD742" s="29">
        <f t="shared" si="803"/>
        <v>355</v>
      </c>
      <c r="BE742" s="29">
        <v>0</v>
      </c>
      <c r="BF742" s="29">
        <f t="shared" si="804"/>
        <v>0</v>
      </c>
      <c r="BH742" s="55">
        <f t="shared" si="805"/>
        <v>0</v>
      </c>
      <c r="BI742" s="55">
        <f t="shared" si="806"/>
        <v>0</v>
      </c>
      <c r="BJ742" s="55">
        <f t="shared" si="807"/>
        <v>0</v>
      </c>
    </row>
    <row r="743" spans="1:62" ht="12.75">
      <c r="A743" s="36" t="s">
        <v>1970</v>
      </c>
      <c r="B743" s="36" t="s">
        <v>61</v>
      </c>
      <c r="C743" s="36" t="s">
        <v>1002</v>
      </c>
      <c r="D743" s="36" t="s">
        <v>497</v>
      </c>
      <c r="E743" s="36" t="s">
        <v>611</v>
      </c>
      <c r="F743" s="55">
        <f>'Stavební rozpočet'!F758</f>
        <v>0</v>
      </c>
      <c r="G743" s="55">
        <f>'Stavební rozpočet'!G758</f>
        <v>250</v>
      </c>
      <c r="H743" s="55">
        <f t="shared" si="782"/>
        <v>0</v>
      </c>
      <c r="I743" s="55">
        <f t="shared" si="783"/>
        <v>0</v>
      </c>
      <c r="J743" s="55">
        <f t="shared" si="784"/>
        <v>0</v>
      </c>
      <c r="K743" s="55">
        <f>'Stavební rozpočet'!K758</f>
        <v>0</v>
      </c>
      <c r="L743" s="55">
        <f t="shared" si="785"/>
        <v>0</v>
      </c>
      <c r="M743" s="51" t="s">
        <v>622</v>
      </c>
      <c r="Z743" s="29">
        <f t="shared" si="786"/>
        <v>0</v>
      </c>
      <c r="AB743" s="29">
        <f t="shared" si="787"/>
        <v>0</v>
      </c>
      <c r="AC743" s="29">
        <f t="shared" si="788"/>
        <v>0</v>
      </c>
      <c r="AD743" s="29">
        <f t="shared" si="789"/>
        <v>0</v>
      </c>
      <c r="AE743" s="29">
        <f t="shared" si="790"/>
        <v>0</v>
      </c>
      <c r="AF743" s="29">
        <f t="shared" si="791"/>
        <v>0</v>
      </c>
      <c r="AG743" s="29">
        <f t="shared" si="792"/>
        <v>0</v>
      </c>
      <c r="AH743" s="29">
        <f t="shared" si="793"/>
        <v>0</v>
      </c>
      <c r="AI743" s="48" t="s">
        <v>61</v>
      </c>
      <c r="AJ743" s="55">
        <f t="shared" si="794"/>
        <v>0</v>
      </c>
      <c r="AK743" s="55">
        <f t="shared" si="795"/>
        <v>0</v>
      </c>
      <c r="AL743" s="55">
        <f t="shared" si="796"/>
        <v>0</v>
      </c>
      <c r="AN743" s="29">
        <v>15</v>
      </c>
      <c r="AO743" s="29">
        <f t="shared" si="797"/>
        <v>0</v>
      </c>
      <c r="AP743" s="29">
        <f t="shared" si="798"/>
        <v>250</v>
      </c>
      <c r="AQ743" s="51" t="s">
        <v>85</v>
      </c>
      <c r="AV743" s="29">
        <f t="shared" si="799"/>
        <v>0</v>
      </c>
      <c r="AW743" s="29">
        <f t="shared" si="800"/>
        <v>0</v>
      </c>
      <c r="AX743" s="29">
        <f t="shared" si="801"/>
        <v>0</v>
      </c>
      <c r="AY743" s="54" t="s">
        <v>642</v>
      </c>
      <c r="AZ743" s="54" t="s">
        <v>1644</v>
      </c>
      <c r="BA743" s="48" t="s">
        <v>1649</v>
      </c>
      <c r="BC743" s="29">
        <f t="shared" si="802"/>
        <v>0</v>
      </c>
      <c r="BD743" s="29">
        <f t="shared" si="803"/>
        <v>250</v>
      </c>
      <c r="BE743" s="29">
        <v>0</v>
      </c>
      <c r="BF743" s="29">
        <f t="shared" si="804"/>
        <v>0</v>
      </c>
      <c r="BH743" s="55">
        <f t="shared" si="805"/>
        <v>0</v>
      </c>
      <c r="BI743" s="55">
        <f t="shared" si="806"/>
        <v>0</v>
      </c>
      <c r="BJ743" s="55">
        <f t="shared" si="807"/>
        <v>0</v>
      </c>
    </row>
    <row r="744" spans="1:62" ht="12.75">
      <c r="A744" s="36" t="s">
        <v>1971</v>
      </c>
      <c r="B744" s="36" t="s">
        <v>61</v>
      </c>
      <c r="C744" s="36" t="s">
        <v>1566</v>
      </c>
      <c r="D744" s="36" t="s">
        <v>1294</v>
      </c>
      <c r="E744" s="36" t="s">
        <v>609</v>
      </c>
      <c r="F744" s="55">
        <f>'Stavební rozpočet'!F759</f>
        <v>0</v>
      </c>
      <c r="G744" s="55">
        <f>'Stavební rozpočet'!G759</f>
        <v>89</v>
      </c>
      <c r="H744" s="55">
        <f t="shared" si="782"/>
        <v>0</v>
      </c>
      <c r="I744" s="55">
        <f t="shared" si="783"/>
        <v>0</v>
      </c>
      <c r="J744" s="55">
        <f t="shared" si="784"/>
        <v>0</v>
      </c>
      <c r="K744" s="55">
        <f>'Stavební rozpočet'!K759</f>
        <v>0</v>
      </c>
      <c r="L744" s="55">
        <f t="shared" si="785"/>
        <v>0</v>
      </c>
      <c r="M744" s="51" t="s">
        <v>622</v>
      </c>
      <c r="Z744" s="29">
        <f t="shared" si="786"/>
        <v>0</v>
      </c>
      <c r="AB744" s="29">
        <f t="shared" si="787"/>
        <v>0</v>
      </c>
      <c r="AC744" s="29">
        <f t="shared" si="788"/>
        <v>0</v>
      </c>
      <c r="AD744" s="29">
        <f t="shared" si="789"/>
        <v>0</v>
      </c>
      <c r="AE744" s="29">
        <f t="shared" si="790"/>
        <v>0</v>
      </c>
      <c r="AF744" s="29">
        <f t="shared" si="791"/>
        <v>0</v>
      </c>
      <c r="AG744" s="29">
        <f t="shared" si="792"/>
        <v>0</v>
      </c>
      <c r="AH744" s="29">
        <f t="shared" si="793"/>
        <v>0</v>
      </c>
      <c r="AI744" s="48" t="s">
        <v>61</v>
      </c>
      <c r="AJ744" s="55">
        <f t="shared" si="794"/>
        <v>0</v>
      </c>
      <c r="AK744" s="55">
        <f t="shared" si="795"/>
        <v>0</v>
      </c>
      <c r="AL744" s="55">
        <f t="shared" si="796"/>
        <v>0</v>
      </c>
      <c r="AN744" s="29">
        <v>15</v>
      </c>
      <c r="AO744" s="29">
        <f t="shared" si="797"/>
        <v>0</v>
      </c>
      <c r="AP744" s="29">
        <f t="shared" si="798"/>
        <v>89</v>
      </c>
      <c r="AQ744" s="51" t="s">
        <v>85</v>
      </c>
      <c r="AV744" s="29">
        <f t="shared" si="799"/>
        <v>0</v>
      </c>
      <c r="AW744" s="29">
        <f t="shared" si="800"/>
        <v>0</v>
      </c>
      <c r="AX744" s="29">
        <f t="shared" si="801"/>
        <v>0</v>
      </c>
      <c r="AY744" s="54" t="s">
        <v>642</v>
      </c>
      <c r="AZ744" s="54" t="s">
        <v>1644</v>
      </c>
      <c r="BA744" s="48" t="s">
        <v>1649</v>
      </c>
      <c r="BC744" s="29">
        <f t="shared" si="802"/>
        <v>0</v>
      </c>
      <c r="BD744" s="29">
        <f t="shared" si="803"/>
        <v>89</v>
      </c>
      <c r="BE744" s="29">
        <v>0</v>
      </c>
      <c r="BF744" s="29">
        <f t="shared" si="804"/>
        <v>0</v>
      </c>
      <c r="BH744" s="55">
        <f t="shared" si="805"/>
        <v>0</v>
      </c>
      <c r="BI744" s="55">
        <f t="shared" si="806"/>
        <v>0</v>
      </c>
      <c r="BJ744" s="55">
        <f t="shared" si="807"/>
        <v>0</v>
      </c>
    </row>
    <row r="745" spans="1:62" ht="12.75">
      <c r="A745" s="36" t="s">
        <v>1972</v>
      </c>
      <c r="B745" s="36" t="s">
        <v>61</v>
      </c>
      <c r="C745" s="36" t="s">
        <v>1567</v>
      </c>
      <c r="D745" s="36" t="s">
        <v>487</v>
      </c>
      <c r="E745" s="36" t="s">
        <v>609</v>
      </c>
      <c r="F745" s="55">
        <f>'Stavební rozpočet'!F760</f>
        <v>0</v>
      </c>
      <c r="G745" s="55">
        <f>'Stavební rozpočet'!G760</f>
        <v>40</v>
      </c>
      <c r="H745" s="55">
        <f t="shared" si="782"/>
        <v>0</v>
      </c>
      <c r="I745" s="55">
        <f t="shared" si="783"/>
        <v>0</v>
      </c>
      <c r="J745" s="55">
        <f t="shared" si="784"/>
        <v>0</v>
      </c>
      <c r="K745" s="55">
        <f>'Stavební rozpočet'!K760</f>
        <v>0</v>
      </c>
      <c r="L745" s="55">
        <f t="shared" si="785"/>
        <v>0</v>
      </c>
      <c r="M745" s="51" t="s">
        <v>622</v>
      </c>
      <c r="Z745" s="29">
        <f t="shared" si="786"/>
        <v>0</v>
      </c>
      <c r="AB745" s="29">
        <f t="shared" si="787"/>
        <v>0</v>
      </c>
      <c r="AC745" s="29">
        <f t="shared" si="788"/>
        <v>0</v>
      </c>
      <c r="AD745" s="29">
        <f t="shared" si="789"/>
        <v>0</v>
      </c>
      <c r="AE745" s="29">
        <f t="shared" si="790"/>
        <v>0</v>
      </c>
      <c r="AF745" s="29">
        <f t="shared" si="791"/>
        <v>0</v>
      </c>
      <c r="AG745" s="29">
        <f t="shared" si="792"/>
        <v>0</v>
      </c>
      <c r="AH745" s="29">
        <f t="shared" si="793"/>
        <v>0</v>
      </c>
      <c r="AI745" s="48" t="s">
        <v>61</v>
      </c>
      <c r="AJ745" s="55">
        <f t="shared" si="794"/>
        <v>0</v>
      </c>
      <c r="AK745" s="55">
        <f t="shared" si="795"/>
        <v>0</v>
      </c>
      <c r="AL745" s="55">
        <f t="shared" si="796"/>
        <v>0</v>
      </c>
      <c r="AN745" s="29">
        <v>15</v>
      </c>
      <c r="AO745" s="29">
        <f t="shared" si="797"/>
        <v>0</v>
      </c>
      <c r="AP745" s="29">
        <f t="shared" si="798"/>
        <v>40</v>
      </c>
      <c r="AQ745" s="51" t="s">
        <v>85</v>
      </c>
      <c r="AV745" s="29">
        <f t="shared" si="799"/>
        <v>0</v>
      </c>
      <c r="AW745" s="29">
        <f t="shared" si="800"/>
        <v>0</v>
      </c>
      <c r="AX745" s="29">
        <f t="shared" si="801"/>
        <v>0</v>
      </c>
      <c r="AY745" s="54" t="s">
        <v>642</v>
      </c>
      <c r="AZ745" s="54" t="s">
        <v>1644</v>
      </c>
      <c r="BA745" s="48" t="s">
        <v>1649</v>
      </c>
      <c r="BC745" s="29">
        <f t="shared" si="802"/>
        <v>0</v>
      </c>
      <c r="BD745" s="29">
        <f t="shared" si="803"/>
        <v>40</v>
      </c>
      <c r="BE745" s="29">
        <v>0</v>
      </c>
      <c r="BF745" s="29">
        <f t="shared" si="804"/>
        <v>0</v>
      </c>
      <c r="BH745" s="55">
        <f t="shared" si="805"/>
        <v>0</v>
      </c>
      <c r="BI745" s="55">
        <f t="shared" si="806"/>
        <v>0</v>
      </c>
      <c r="BJ745" s="55">
        <f t="shared" si="807"/>
        <v>0</v>
      </c>
    </row>
    <row r="746" spans="1:62" ht="12.75">
      <c r="A746" s="36" t="s">
        <v>1973</v>
      </c>
      <c r="B746" s="36" t="s">
        <v>61</v>
      </c>
      <c r="C746" s="36" t="s">
        <v>1568</v>
      </c>
      <c r="D746" s="36" t="s">
        <v>488</v>
      </c>
      <c r="E746" s="36" t="s">
        <v>609</v>
      </c>
      <c r="F746" s="55">
        <f>'Stavební rozpočet'!F761</f>
        <v>0</v>
      </c>
      <c r="G746" s="55">
        <f>'Stavební rozpočet'!G761</f>
        <v>21</v>
      </c>
      <c r="H746" s="55">
        <f t="shared" si="782"/>
        <v>0</v>
      </c>
      <c r="I746" s="55">
        <f t="shared" si="783"/>
        <v>0</v>
      </c>
      <c r="J746" s="55">
        <f t="shared" si="784"/>
        <v>0</v>
      </c>
      <c r="K746" s="55">
        <f>'Stavební rozpočet'!K761</f>
        <v>0</v>
      </c>
      <c r="L746" s="55">
        <f t="shared" si="785"/>
        <v>0</v>
      </c>
      <c r="M746" s="51" t="s">
        <v>622</v>
      </c>
      <c r="Z746" s="29">
        <f t="shared" si="786"/>
        <v>0</v>
      </c>
      <c r="AB746" s="29">
        <f t="shared" si="787"/>
        <v>0</v>
      </c>
      <c r="AC746" s="29">
        <f t="shared" si="788"/>
        <v>0</v>
      </c>
      <c r="AD746" s="29">
        <f t="shared" si="789"/>
        <v>0</v>
      </c>
      <c r="AE746" s="29">
        <f t="shared" si="790"/>
        <v>0</v>
      </c>
      <c r="AF746" s="29">
        <f t="shared" si="791"/>
        <v>0</v>
      </c>
      <c r="AG746" s="29">
        <f t="shared" si="792"/>
        <v>0</v>
      </c>
      <c r="AH746" s="29">
        <f t="shared" si="793"/>
        <v>0</v>
      </c>
      <c r="AI746" s="48" t="s">
        <v>61</v>
      </c>
      <c r="AJ746" s="55">
        <f t="shared" si="794"/>
        <v>0</v>
      </c>
      <c r="AK746" s="55">
        <f t="shared" si="795"/>
        <v>0</v>
      </c>
      <c r="AL746" s="55">
        <f t="shared" si="796"/>
        <v>0</v>
      </c>
      <c r="AN746" s="29">
        <v>15</v>
      </c>
      <c r="AO746" s="29">
        <f t="shared" si="797"/>
        <v>0</v>
      </c>
      <c r="AP746" s="29">
        <f t="shared" si="798"/>
        <v>21</v>
      </c>
      <c r="AQ746" s="51" t="s">
        <v>85</v>
      </c>
      <c r="AV746" s="29">
        <f t="shared" si="799"/>
        <v>0</v>
      </c>
      <c r="AW746" s="29">
        <f t="shared" si="800"/>
        <v>0</v>
      </c>
      <c r="AX746" s="29">
        <f t="shared" si="801"/>
        <v>0</v>
      </c>
      <c r="AY746" s="54" t="s">
        <v>642</v>
      </c>
      <c r="AZ746" s="54" t="s">
        <v>1644</v>
      </c>
      <c r="BA746" s="48" t="s">
        <v>1649</v>
      </c>
      <c r="BC746" s="29">
        <f t="shared" si="802"/>
        <v>0</v>
      </c>
      <c r="BD746" s="29">
        <f t="shared" si="803"/>
        <v>21</v>
      </c>
      <c r="BE746" s="29">
        <v>0</v>
      </c>
      <c r="BF746" s="29">
        <f t="shared" si="804"/>
        <v>0</v>
      </c>
      <c r="BH746" s="55">
        <f t="shared" si="805"/>
        <v>0</v>
      </c>
      <c r="BI746" s="55">
        <f t="shared" si="806"/>
        <v>0</v>
      </c>
      <c r="BJ746" s="55">
        <f t="shared" si="807"/>
        <v>0</v>
      </c>
    </row>
    <row r="747" spans="1:62" ht="12.75">
      <c r="A747" s="36" t="s">
        <v>1974</v>
      </c>
      <c r="B747" s="36" t="s">
        <v>61</v>
      </c>
      <c r="C747" s="36" t="s">
        <v>1569</v>
      </c>
      <c r="D747" s="36" t="s">
        <v>1295</v>
      </c>
      <c r="E747" s="36" t="s">
        <v>606</v>
      </c>
      <c r="F747" s="55">
        <f>'Stavební rozpočet'!F762</f>
        <v>0</v>
      </c>
      <c r="G747" s="55">
        <f>'Stavební rozpočet'!G762</f>
        <v>75</v>
      </c>
      <c r="H747" s="55">
        <f t="shared" si="782"/>
        <v>0</v>
      </c>
      <c r="I747" s="55">
        <f t="shared" si="783"/>
        <v>0</v>
      </c>
      <c r="J747" s="55">
        <f t="shared" si="784"/>
        <v>0</v>
      </c>
      <c r="K747" s="55">
        <f>'Stavební rozpočet'!K762</f>
        <v>0</v>
      </c>
      <c r="L747" s="55">
        <f t="shared" si="785"/>
        <v>0</v>
      </c>
      <c r="M747" s="51" t="s">
        <v>622</v>
      </c>
      <c r="Z747" s="29">
        <f t="shared" si="786"/>
        <v>0</v>
      </c>
      <c r="AB747" s="29">
        <f t="shared" si="787"/>
        <v>0</v>
      </c>
      <c r="AC747" s="29">
        <f t="shared" si="788"/>
        <v>0</v>
      </c>
      <c r="AD747" s="29">
        <f t="shared" si="789"/>
        <v>0</v>
      </c>
      <c r="AE747" s="29">
        <f t="shared" si="790"/>
        <v>0</v>
      </c>
      <c r="AF747" s="29">
        <f t="shared" si="791"/>
        <v>0</v>
      </c>
      <c r="AG747" s="29">
        <f t="shared" si="792"/>
        <v>0</v>
      </c>
      <c r="AH747" s="29">
        <f t="shared" si="793"/>
        <v>0</v>
      </c>
      <c r="AI747" s="48" t="s">
        <v>61</v>
      </c>
      <c r="AJ747" s="55">
        <f t="shared" si="794"/>
        <v>0</v>
      </c>
      <c r="AK747" s="55">
        <f t="shared" si="795"/>
        <v>0</v>
      </c>
      <c r="AL747" s="55">
        <f t="shared" si="796"/>
        <v>0</v>
      </c>
      <c r="AN747" s="29">
        <v>15</v>
      </c>
      <c r="AO747" s="29">
        <f t="shared" si="797"/>
        <v>0</v>
      </c>
      <c r="AP747" s="29">
        <f t="shared" si="798"/>
        <v>75</v>
      </c>
      <c r="AQ747" s="51" t="s">
        <v>85</v>
      </c>
      <c r="AV747" s="29">
        <f t="shared" si="799"/>
        <v>0</v>
      </c>
      <c r="AW747" s="29">
        <f t="shared" si="800"/>
        <v>0</v>
      </c>
      <c r="AX747" s="29">
        <f t="shared" si="801"/>
        <v>0</v>
      </c>
      <c r="AY747" s="54" t="s">
        <v>642</v>
      </c>
      <c r="AZ747" s="54" t="s">
        <v>1644</v>
      </c>
      <c r="BA747" s="48" t="s">
        <v>1649</v>
      </c>
      <c r="BC747" s="29">
        <f t="shared" si="802"/>
        <v>0</v>
      </c>
      <c r="BD747" s="29">
        <f t="shared" si="803"/>
        <v>75</v>
      </c>
      <c r="BE747" s="29">
        <v>0</v>
      </c>
      <c r="BF747" s="29">
        <f t="shared" si="804"/>
        <v>0</v>
      </c>
      <c r="BH747" s="55">
        <f t="shared" si="805"/>
        <v>0</v>
      </c>
      <c r="BI747" s="55">
        <f t="shared" si="806"/>
        <v>0</v>
      </c>
      <c r="BJ747" s="55">
        <f t="shared" si="807"/>
        <v>0</v>
      </c>
    </row>
    <row r="748" spans="1:62" ht="12.75">
      <c r="A748" s="36" t="s">
        <v>1975</v>
      </c>
      <c r="B748" s="36" t="s">
        <v>61</v>
      </c>
      <c r="C748" s="36" t="s">
        <v>1570</v>
      </c>
      <c r="D748" s="36" t="s">
        <v>1296</v>
      </c>
      <c r="E748" s="36" t="s">
        <v>606</v>
      </c>
      <c r="F748" s="55">
        <f>'Stavební rozpočet'!F763</f>
        <v>0</v>
      </c>
      <c r="G748" s="55">
        <f>'Stavební rozpočet'!G763</f>
        <v>1500</v>
      </c>
      <c r="H748" s="55">
        <f t="shared" si="782"/>
        <v>0</v>
      </c>
      <c r="I748" s="55">
        <f t="shared" si="783"/>
        <v>0</v>
      </c>
      <c r="J748" s="55">
        <f t="shared" si="784"/>
        <v>0</v>
      </c>
      <c r="K748" s="55">
        <f>'Stavební rozpočet'!K763</f>
        <v>0</v>
      </c>
      <c r="L748" s="55">
        <f t="shared" si="785"/>
        <v>0</v>
      </c>
      <c r="M748" s="51" t="s">
        <v>622</v>
      </c>
      <c r="Z748" s="29">
        <f t="shared" si="786"/>
        <v>0</v>
      </c>
      <c r="AB748" s="29">
        <f t="shared" si="787"/>
        <v>0</v>
      </c>
      <c r="AC748" s="29">
        <f t="shared" si="788"/>
        <v>0</v>
      </c>
      <c r="AD748" s="29">
        <f t="shared" si="789"/>
        <v>0</v>
      </c>
      <c r="AE748" s="29">
        <f t="shared" si="790"/>
        <v>0</v>
      </c>
      <c r="AF748" s="29">
        <f t="shared" si="791"/>
        <v>0</v>
      </c>
      <c r="AG748" s="29">
        <f t="shared" si="792"/>
        <v>0</v>
      </c>
      <c r="AH748" s="29">
        <f t="shared" si="793"/>
        <v>0</v>
      </c>
      <c r="AI748" s="48" t="s">
        <v>61</v>
      </c>
      <c r="AJ748" s="55">
        <f t="shared" si="794"/>
        <v>0</v>
      </c>
      <c r="AK748" s="55">
        <f t="shared" si="795"/>
        <v>0</v>
      </c>
      <c r="AL748" s="55">
        <f t="shared" si="796"/>
        <v>0</v>
      </c>
      <c r="AN748" s="29">
        <v>15</v>
      </c>
      <c r="AO748" s="29">
        <f t="shared" si="797"/>
        <v>0</v>
      </c>
      <c r="AP748" s="29">
        <f t="shared" si="798"/>
        <v>1500</v>
      </c>
      <c r="AQ748" s="51" t="s">
        <v>85</v>
      </c>
      <c r="AV748" s="29">
        <f t="shared" si="799"/>
        <v>0</v>
      </c>
      <c r="AW748" s="29">
        <f t="shared" si="800"/>
        <v>0</v>
      </c>
      <c r="AX748" s="29">
        <f t="shared" si="801"/>
        <v>0</v>
      </c>
      <c r="AY748" s="54" t="s">
        <v>642</v>
      </c>
      <c r="AZ748" s="54" t="s">
        <v>1644</v>
      </c>
      <c r="BA748" s="48" t="s">
        <v>1649</v>
      </c>
      <c r="BC748" s="29">
        <f t="shared" si="802"/>
        <v>0</v>
      </c>
      <c r="BD748" s="29">
        <f t="shared" si="803"/>
        <v>1500</v>
      </c>
      <c r="BE748" s="29">
        <v>0</v>
      </c>
      <c r="BF748" s="29">
        <f t="shared" si="804"/>
        <v>0</v>
      </c>
      <c r="BH748" s="55">
        <f t="shared" si="805"/>
        <v>0</v>
      </c>
      <c r="BI748" s="55">
        <f t="shared" si="806"/>
        <v>0</v>
      </c>
      <c r="BJ748" s="55">
        <f t="shared" si="807"/>
        <v>0</v>
      </c>
    </row>
    <row r="749" spans="1:62" ht="12.75">
      <c r="A749" s="36" t="s">
        <v>1976</v>
      </c>
      <c r="B749" s="36" t="s">
        <v>61</v>
      </c>
      <c r="C749" s="36" t="s">
        <v>1571</v>
      </c>
      <c r="D749" s="36" t="s">
        <v>501</v>
      </c>
      <c r="E749" s="36" t="s">
        <v>611</v>
      </c>
      <c r="F749" s="55">
        <f>'Stavební rozpočet'!F764</f>
        <v>0</v>
      </c>
      <c r="G749" s="55">
        <f>'Stavební rozpočet'!G764</f>
        <v>300</v>
      </c>
      <c r="H749" s="55">
        <f t="shared" si="782"/>
        <v>0</v>
      </c>
      <c r="I749" s="55">
        <f t="shared" si="783"/>
        <v>0</v>
      </c>
      <c r="J749" s="55">
        <f t="shared" si="784"/>
        <v>0</v>
      </c>
      <c r="K749" s="55">
        <f>'Stavební rozpočet'!K764</f>
        <v>0</v>
      </c>
      <c r="L749" s="55">
        <f t="shared" si="785"/>
        <v>0</v>
      </c>
      <c r="M749" s="51" t="s">
        <v>622</v>
      </c>
      <c r="Z749" s="29">
        <f t="shared" si="786"/>
        <v>0</v>
      </c>
      <c r="AB749" s="29">
        <f t="shared" si="787"/>
        <v>0</v>
      </c>
      <c r="AC749" s="29">
        <f t="shared" si="788"/>
        <v>0</v>
      </c>
      <c r="AD749" s="29">
        <f t="shared" si="789"/>
        <v>0</v>
      </c>
      <c r="AE749" s="29">
        <f t="shared" si="790"/>
        <v>0</v>
      </c>
      <c r="AF749" s="29">
        <f t="shared" si="791"/>
        <v>0</v>
      </c>
      <c r="AG749" s="29">
        <f t="shared" si="792"/>
        <v>0</v>
      </c>
      <c r="AH749" s="29">
        <f t="shared" si="793"/>
        <v>0</v>
      </c>
      <c r="AI749" s="48" t="s">
        <v>61</v>
      </c>
      <c r="AJ749" s="55">
        <f t="shared" si="794"/>
        <v>0</v>
      </c>
      <c r="AK749" s="55">
        <f t="shared" si="795"/>
        <v>0</v>
      </c>
      <c r="AL749" s="55">
        <f t="shared" si="796"/>
        <v>0</v>
      </c>
      <c r="AN749" s="29">
        <v>15</v>
      </c>
      <c r="AO749" s="29">
        <f t="shared" si="797"/>
        <v>0</v>
      </c>
      <c r="AP749" s="29">
        <f t="shared" si="798"/>
        <v>300</v>
      </c>
      <c r="AQ749" s="51" t="s">
        <v>85</v>
      </c>
      <c r="AV749" s="29">
        <f t="shared" si="799"/>
        <v>0</v>
      </c>
      <c r="AW749" s="29">
        <f t="shared" si="800"/>
        <v>0</v>
      </c>
      <c r="AX749" s="29">
        <f t="shared" si="801"/>
        <v>0</v>
      </c>
      <c r="AY749" s="54" t="s">
        <v>642</v>
      </c>
      <c r="AZ749" s="54" t="s">
        <v>1644</v>
      </c>
      <c r="BA749" s="48" t="s">
        <v>1649</v>
      </c>
      <c r="BC749" s="29">
        <f t="shared" si="802"/>
        <v>0</v>
      </c>
      <c r="BD749" s="29">
        <f t="shared" si="803"/>
        <v>300</v>
      </c>
      <c r="BE749" s="29">
        <v>0</v>
      </c>
      <c r="BF749" s="29">
        <f t="shared" si="804"/>
        <v>0</v>
      </c>
      <c r="BH749" s="55">
        <f t="shared" si="805"/>
        <v>0</v>
      </c>
      <c r="BI749" s="55">
        <f t="shared" si="806"/>
        <v>0</v>
      </c>
      <c r="BJ749" s="55">
        <f t="shared" si="807"/>
        <v>0</v>
      </c>
    </row>
    <row r="750" spans="1:62" ht="12.75">
      <c r="A750" s="36" t="s">
        <v>1977</v>
      </c>
      <c r="B750" s="36" t="s">
        <v>61</v>
      </c>
      <c r="C750" s="36" t="s">
        <v>1572</v>
      </c>
      <c r="D750" s="36" t="s">
        <v>489</v>
      </c>
      <c r="E750" s="36" t="s">
        <v>606</v>
      </c>
      <c r="F750" s="55">
        <f>'Stavební rozpočet'!F765</f>
        <v>0</v>
      </c>
      <c r="G750" s="55">
        <f>'Stavební rozpočet'!G765</f>
        <v>500</v>
      </c>
      <c r="H750" s="55">
        <f t="shared" si="782"/>
        <v>0</v>
      </c>
      <c r="I750" s="55">
        <f t="shared" si="783"/>
        <v>0</v>
      </c>
      <c r="J750" s="55">
        <f t="shared" si="784"/>
        <v>0</v>
      </c>
      <c r="K750" s="55">
        <f>'Stavební rozpočet'!K765</f>
        <v>0</v>
      </c>
      <c r="L750" s="55">
        <f t="shared" si="785"/>
        <v>0</v>
      </c>
      <c r="M750" s="51" t="s">
        <v>622</v>
      </c>
      <c r="Z750" s="29">
        <f t="shared" si="786"/>
        <v>0</v>
      </c>
      <c r="AB750" s="29">
        <f t="shared" si="787"/>
        <v>0</v>
      </c>
      <c r="AC750" s="29">
        <f t="shared" si="788"/>
        <v>0</v>
      </c>
      <c r="AD750" s="29">
        <f t="shared" si="789"/>
        <v>0</v>
      </c>
      <c r="AE750" s="29">
        <f t="shared" si="790"/>
        <v>0</v>
      </c>
      <c r="AF750" s="29">
        <f t="shared" si="791"/>
        <v>0</v>
      </c>
      <c r="AG750" s="29">
        <f t="shared" si="792"/>
        <v>0</v>
      </c>
      <c r="AH750" s="29">
        <f t="shared" si="793"/>
        <v>0</v>
      </c>
      <c r="AI750" s="48" t="s">
        <v>61</v>
      </c>
      <c r="AJ750" s="55">
        <f t="shared" si="794"/>
        <v>0</v>
      </c>
      <c r="AK750" s="55">
        <f t="shared" si="795"/>
        <v>0</v>
      </c>
      <c r="AL750" s="55">
        <f t="shared" si="796"/>
        <v>0</v>
      </c>
      <c r="AN750" s="29">
        <v>15</v>
      </c>
      <c r="AO750" s="29">
        <f t="shared" si="797"/>
        <v>0</v>
      </c>
      <c r="AP750" s="29">
        <f t="shared" si="798"/>
        <v>500</v>
      </c>
      <c r="AQ750" s="51" t="s">
        <v>85</v>
      </c>
      <c r="AV750" s="29">
        <f t="shared" si="799"/>
        <v>0</v>
      </c>
      <c r="AW750" s="29">
        <f t="shared" si="800"/>
        <v>0</v>
      </c>
      <c r="AX750" s="29">
        <f t="shared" si="801"/>
        <v>0</v>
      </c>
      <c r="AY750" s="54" t="s">
        <v>642</v>
      </c>
      <c r="AZ750" s="54" t="s">
        <v>1644</v>
      </c>
      <c r="BA750" s="48" t="s">
        <v>1649</v>
      </c>
      <c r="BC750" s="29">
        <f t="shared" si="802"/>
        <v>0</v>
      </c>
      <c r="BD750" s="29">
        <f t="shared" si="803"/>
        <v>500</v>
      </c>
      <c r="BE750" s="29">
        <v>0</v>
      </c>
      <c r="BF750" s="29">
        <f t="shared" si="804"/>
        <v>0</v>
      </c>
      <c r="BH750" s="55">
        <f t="shared" si="805"/>
        <v>0</v>
      </c>
      <c r="BI750" s="55">
        <f t="shared" si="806"/>
        <v>0</v>
      </c>
      <c r="BJ750" s="55">
        <f t="shared" si="807"/>
        <v>0</v>
      </c>
    </row>
    <row r="751" spans="1:62" ht="12.75">
      <c r="A751" s="36" t="s">
        <v>1978</v>
      </c>
      <c r="B751" s="36" t="s">
        <v>61</v>
      </c>
      <c r="C751" s="36" t="s">
        <v>1573</v>
      </c>
      <c r="D751" s="36" t="s">
        <v>490</v>
      </c>
      <c r="E751" s="36" t="s">
        <v>606</v>
      </c>
      <c r="F751" s="55">
        <f>'Stavební rozpočet'!F766</f>
        <v>0</v>
      </c>
      <c r="G751" s="55">
        <f>'Stavební rozpočet'!G766</f>
        <v>1000</v>
      </c>
      <c r="H751" s="55">
        <f t="shared" si="782"/>
        <v>0</v>
      </c>
      <c r="I751" s="55">
        <f t="shared" si="783"/>
        <v>0</v>
      </c>
      <c r="J751" s="55">
        <f t="shared" si="784"/>
        <v>0</v>
      </c>
      <c r="K751" s="55">
        <f>'Stavební rozpočet'!K766</f>
        <v>0</v>
      </c>
      <c r="L751" s="55">
        <f t="shared" si="785"/>
        <v>0</v>
      </c>
      <c r="M751" s="51" t="s">
        <v>622</v>
      </c>
      <c r="Z751" s="29">
        <f t="shared" si="786"/>
        <v>0</v>
      </c>
      <c r="AB751" s="29">
        <f t="shared" si="787"/>
        <v>0</v>
      </c>
      <c r="AC751" s="29">
        <f t="shared" si="788"/>
        <v>0</v>
      </c>
      <c r="AD751" s="29">
        <f t="shared" si="789"/>
        <v>0</v>
      </c>
      <c r="AE751" s="29">
        <f t="shared" si="790"/>
        <v>0</v>
      </c>
      <c r="AF751" s="29">
        <f t="shared" si="791"/>
        <v>0</v>
      </c>
      <c r="AG751" s="29">
        <f t="shared" si="792"/>
        <v>0</v>
      </c>
      <c r="AH751" s="29">
        <f t="shared" si="793"/>
        <v>0</v>
      </c>
      <c r="AI751" s="48" t="s">
        <v>61</v>
      </c>
      <c r="AJ751" s="55">
        <f t="shared" si="794"/>
        <v>0</v>
      </c>
      <c r="AK751" s="55">
        <f t="shared" si="795"/>
        <v>0</v>
      </c>
      <c r="AL751" s="55">
        <f t="shared" si="796"/>
        <v>0</v>
      </c>
      <c r="AN751" s="29">
        <v>15</v>
      </c>
      <c r="AO751" s="29">
        <f t="shared" si="797"/>
        <v>0</v>
      </c>
      <c r="AP751" s="29">
        <f t="shared" si="798"/>
        <v>1000</v>
      </c>
      <c r="AQ751" s="51" t="s">
        <v>85</v>
      </c>
      <c r="AV751" s="29">
        <f t="shared" si="799"/>
        <v>0</v>
      </c>
      <c r="AW751" s="29">
        <f t="shared" si="800"/>
        <v>0</v>
      </c>
      <c r="AX751" s="29">
        <f t="shared" si="801"/>
        <v>0</v>
      </c>
      <c r="AY751" s="54" t="s">
        <v>642</v>
      </c>
      <c r="AZ751" s="54" t="s">
        <v>1644</v>
      </c>
      <c r="BA751" s="48" t="s">
        <v>1649</v>
      </c>
      <c r="BC751" s="29">
        <f t="shared" si="802"/>
        <v>0</v>
      </c>
      <c r="BD751" s="29">
        <f t="shared" si="803"/>
        <v>1000</v>
      </c>
      <c r="BE751" s="29">
        <v>0</v>
      </c>
      <c r="BF751" s="29">
        <f t="shared" si="804"/>
        <v>0</v>
      </c>
      <c r="BH751" s="55">
        <f t="shared" si="805"/>
        <v>0</v>
      </c>
      <c r="BI751" s="55">
        <f t="shared" si="806"/>
        <v>0</v>
      </c>
      <c r="BJ751" s="55">
        <f t="shared" si="807"/>
        <v>0</v>
      </c>
    </row>
    <row r="752" spans="1:62" ht="12.75">
      <c r="A752" s="36" t="s">
        <v>1979</v>
      </c>
      <c r="B752" s="36" t="s">
        <v>61</v>
      </c>
      <c r="C752" s="36" t="s">
        <v>1574</v>
      </c>
      <c r="D752" s="36" t="s">
        <v>491</v>
      </c>
      <c r="E752" s="36" t="s">
        <v>606</v>
      </c>
      <c r="F752" s="55">
        <f>'Stavební rozpočet'!F767</f>
        <v>0</v>
      </c>
      <c r="G752" s="55">
        <f>'Stavební rozpočet'!G767</f>
        <v>1000</v>
      </c>
      <c r="H752" s="55">
        <f t="shared" si="782"/>
        <v>0</v>
      </c>
      <c r="I752" s="55">
        <f t="shared" si="783"/>
        <v>0</v>
      </c>
      <c r="J752" s="55">
        <f t="shared" si="784"/>
        <v>0</v>
      </c>
      <c r="K752" s="55">
        <f>'Stavební rozpočet'!K767</f>
        <v>0</v>
      </c>
      <c r="L752" s="55">
        <f t="shared" si="785"/>
        <v>0</v>
      </c>
      <c r="M752" s="51" t="s">
        <v>622</v>
      </c>
      <c r="Z752" s="29">
        <f t="shared" si="786"/>
        <v>0</v>
      </c>
      <c r="AB752" s="29">
        <f t="shared" si="787"/>
        <v>0</v>
      </c>
      <c r="AC752" s="29">
        <f t="shared" si="788"/>
        <v>0</v>
      </c>
      <c r="AD752" s="29">
        <f t="shared" si="789"/>
        <v>0</v>
      </c>
      <c r="AE752" s="29">
        <f t="shared" si="790"/>
        <v>0</v>
      </c>
      <c r="AF752" s="29">
        <f t="shared" si="791"/>
        <v>0</v>
      </c>
      <c r="AG752" s="29">
        <f t="shared" si="792"/>
        <v>0</v>
      </c>
      <c r="AH752" s="29">
        <f t="shared" si="793"/>
        <v>0</v>
      </c>
      <c r="AI752" s="48" t="s">
        <v>61</v>
      </c>
      <c r="AJ752" s="55">
        <f t="shared" si="794"/>
        <v>0</v>
      </c>
      <c r="AK752" s="55">
        <f t="shared" si="795"/>
        <v>0</v>
      </c>
      <c r="AL752" s="55">
        <f t="shared" si="796"/>
        <v>0</v>
      </c>
      <c r="AN752" s="29">
        <v>15</v>
      </c>
      <c r="AO752" s="29">
        <f t="shared" si="797"/>
        <v>0</v>
      </c>
      <c r="AP752" s="29">
        <f t="shared" si="798"/>
        <v>1000</v>
      </c>
      <c r="AQ752" s="51" t="s">
        <v>85</v>
      </c>
      <c r="AV752" s="29">
        <f t="shared" si="799"/>
        <v>0</v>
      </c>
      <c r="AW752" s="29">
        <f t="shared" si="800"/>
        <v>0</v>
      </c>
      <c r="AX752" s="29">
        <f t="shared" si="801"/>
        <v>0</v>
      </c>
      <c r="AY752" s="54" t="s">
        <v>642</v>
      </c>
      <c r="AZ752" s="54" t="s">
        <v>1644</v>
      </c>
      <c r="BA752" s="48" t="s">
        <v>1649</v>
      </c>
      <c r="BC752" s="29">
        <f t="shared" si="802"/>
        <v>0</v>
      </c>
      <c r="BD752" s="29">
        <f t="shared" si="803"/>
        <v>1000</v>
      </c>
      <c r="BE752" s="29">
        <v>0</v>
      </c>
      <c r="BF752" s="29">
        <f t="shared" si="804"/>
        <v>0</v>
      </c>
      <c r="BH752" s="55">
        <f t="shared" si="805"/>
        <v>0</v>
      </c>
      <c r="BI752" s="55">
        <f t="shared" si="806"/>
        <v>0</v>
      </c>
      <c r="BJ752" s="55">
        <f t="shared" si="807"/>
        <v>0</v>
      </c>
    </row>
    <row r="753" spans="1:62" ht="12.75">
      <c r="A753" s="36" t="s">
        <v>1980</v>
      </c>
      <c r="B753" s="36" t="s">
        <v>61</v>
      </c>
      <c r="C753" s="36" t="s">
        <v>1575</v>
      </c>
      <c r="D753" s="36" t="s">
        <v>492</v>
      </c>
      <c r="E753" s="36" t="s">
        <v>606</v>
      </c>
      <c r="F753" s="55">
        <f>'Stavební rozpočet'!F768</f>
        <v>0</v>
      </c>
      <c r="G753" s="55">
        <f>'Stavební rozpočet'!G768</f>
        <v>1000</v>
      </c>
      <c r="H753" s="55">
        <f t="shared" si="782"/>
        <v>0</v>
      </c>
      <c r="I753" s="55">
        <f t="shared" si="783"/>
        <v>0</v>
      </c>
      <c r="J753" s="55">
        <f t="shared" si="784"/>
        <v>0</v>
      </c>
      <c r="K753" s="55">
        <f>'Stavební rozpočet'!K768</f>
        <v>0</v>
      </c>
      <c r="L753" s="55">
        <f t="shared" si="785"/>
        <v>0</v>
      </c>
      <c r="M753" s="51" t="s">
        <v>622</v>
      </c>
      <c r="Z753" s="29">
        <f t="shared" si="786"/>
        <v>0</v>
      </c>
      <c r="AB753" s="29">
        <f t="shared" si="787"/>
        <v>0</v>
      </c>
      <c r="AC753" s="29">
        <f t="shared" si="788"/>
        <v>0</v>
      </c>
      <c r="AD753" s="29">
        <f t="shared" si="789"/>
        <v>0</v>
      </c>
      <c r="AE753" s="29">
        <f t="shared" si="790"/>
        <v>0</v>
      </c>
      <c r="AF753" s="29">
        <f t="shared" si="791"/>
        <v>0</v>
      </c>
      <c r="AG753" s="29">
        <f t="shared" si="792"/>
        <v>0</v>
      </c>
      <c r="AH753" s="29">
        <f t="shared" si="793"/>
        <v>0</v>
      </c>
      <c r="AI753" s="48" t="s">
        <v>61</v>
      </c>
      <c r="AJ753" s="55">
        <f t="shared" si="794"/>
        <v>0</v>
      </c>
      <c r="AK753" s="55">
        <f t="shared" si="795"/>
        <v>0</v>
      </c>
      <c r="AL753" s="55">
        <f t="shared" si="796"/>
        <v>0</v>
      </c>
      <c r="AN753" s="29">
        <v>15</v>
      </c>
      <c r="AO753" s="29">
        <f t="shared" si="797"/>
        <v>0</v>
      </c>
      <c r="AP753" s="29">
        <f t="shared" si="798"/>
        <v>1000</v>
      </c>
      <c r="AQ753" s="51" t="s">
        <v>85</v>
      </c>
      <c r="AV753" s="29">
        <f t="shared" si="799"/>
        <v>0</v>
      </c>
      <c r="AW753" s="29">
        <f t="shared" si="800"/>
        <v>0</v>
      </c>
      <c r="AX753" s="29">
        <f t="shared" si="801"/>
        <v>0</v>
      </c>
      <c r="AY753" s="54" t="s">
        <v>642</v>
      </c>
      <c r="AZ753" s="54" t="s">
        <v>1644</v>
      </c>
      <c r="BA753" s="48" t="s">
        <v>1649</v>
      </c>
      <c r="BC753" s="29">
        <f t="shared" si="802"/>
        <v>0</v>
      </c>
      <c r="BD753" s="29">
        <f t="shared" si="803"/>
        <v>1000</v>
      </c>
      <c r="BE753" s="29">
        <v>0</v>
      </c>
      <c r="BF753" s="29">
        <f t="shared" si="804"/>
        <v>0</v>
      </c>
      <c r="BH753" s="55">
        <f t="shared" si="805"/>
        <v>0</v>
      </c>
      <c r="BI753" s="55">
        <f t="shared" si="806"/>
        <v>0</v>
      </c>
      <c r="BJ753" s="55">
        <f t="shared" si="807"/>
        <v>0</v>
      </c>
    </row>
    <row r="754" spans="1:62" ht="12.75">
      <c r="A754" s="36" t="s">
        <v>1981</v>
      </c>
      <c r="B754" s="36" t="s">
        <v>61</v>
      </c>
      <c r="C754" s="36" t="s">
        <v>1576</v>
      </c>
      <c r="D754" s="36" t="s">
        <v>493</v>
      </c>
      <c r="E754" s="36" t="s">
        <v>606</v>
      </c>
      <c r="F754" s="55">
        <f>'Stavební rozpočet'!F769</f>
        <v>0</v>
      </c>
      <c r="G754" s="55">
        <f>'Stavební rozpočet'!G769</f>
        <v>1500</v>
      </c>
      <c r="H754" s="55">
        <f t="shared" si="782"/>
        <v>0</v>
      </c>
      <c r="I754" s="55">
        <f t="shared" si="783"/>
        <v>0</v>
      </c>
      <c r="J754" s="55">
        <f t="shared" si="784"/>
        <v>0</v>
      </c>
      <c r="K754" s="55">
        <f>'Stavební rozpočet'!K769</f>
        <v>0</v>
      </c>
      <c r="L754" s="55">
        <f t="shared" si="785"/>
        <v>0</v>
      </c>
      <c r="M754" s="51" t="s">
        <v>622</v>
      </c>
      <c r="Z754" s="29">
        <f t="shared" si="786"/>
        <v>0</v>
      </c>
      <c r="AB754" s="29">
        <f t="shared" si="787"/>
        <v>0</v>
      </c>
      <c r="AC754" s="29">
        <f t="shared" si="788"/>
        <v>0</v>
      </c>
      <c r="AD754" s="29">
        <f t="shared" si="789"/>
        <v>0</v>
      </c>
      <c r="AE754" s="29">
        <f t="shared" si="790"/>
        <v>0</v>
      </c>
      <c r="AF754" s="29">
        <f t="shared" si="791"/>
        <v>0</v>
      </c>
      <c r="AG754" s="29">
        <f t="shared" si="792"/>
        <v>0</v>
      </c>
      <c r="AH754" s="29">
        <f t="shared" si="793"/>
        <v>0</v>
      </c>
      <c r="AI754" s="48" t="s">
        <v>61</v>
      </c>
      <c r="AJ754" s="55">
        <f t="shared" si="794"/>
        <v>0</v>
      </c>
      <c r="AK754" s="55">
        <f t="shared" si="795"/>
        <v>0</v>
      </c>
      <c r="AL754" s="55">
        <f t="shared" si="796"/>
        <v>0</v>
      </c>
      <c r="AN754" s="29">
        <v>15</v>
      </c>
      <c r="AO754" s="29">
        <f t="shared" si="797"/>
        <v>0</v>
      </c>
      <c r="AP754" s="29">
        <f t="shared" si="798"/>
        <v>1500</v>
      </c>
      <c r="AQ754" s="51" t="s">
        <v>85</v>
      </c>
      <c r="AV754" s="29">
        <f t="shared" si="799"/>
        <v>0</v>
      </c>
      <c r="AW754" s="29">
        <f t="shared" si="800"/>
        <v>0</v>
      </c>
      <c r="AX754" s="29">
        <f t="shared" si="801"/>
        <v>0</v>
      </c>
      <c r="AY754" s="54" t="s">
        <v>642</v>
      </c>
      <c r="AZ754" s="54" t="s">
        <v>1644</v>
      </c>
      <c r="BA754" s="48" t="s">
        <v>1649</v>
      </c>
      <c r="BC754" s="29">
        <f t="shared" si="802"/>
        <v>0</v>
      </c>
      <c r="BD754" s="29">
        <f t="shared" si="803"/>
        <v>1500</v>
      </c>
      <c r="BE754" s="29">
        <v>0</v>
      </c>
      <c r="BF754" s="29">
        <f t="shared" si="804"/>
        <v>0</v>
      </c>
      <c r="BH754" s="55">
        <f t="shared" si="805"/>
        <v>0</v>
      </c>
      <c r="BI754" s="55">
        <f t="shared" si="806"/>
        <v>0</v>
      </c>
      <c r="BJ754" s="55">
        <f t="shared" si="807"/>
        <v>0</v>
      </c>
    </row>
    <row r="755" spans="1:47" ht="12.75">
      <c r="A755" s="35"/>
      <c r="B755" s="42" t="s">
        <v>61</v>
      </c>
      <c r="C755" s="42" t="s">
        <v>301</v>
      </c>
      <c r="D755" s="42" t="s">
        <v>494</v>
      </c>
      <c r="E755" s="35" t="s">
        <v>57</v>
      </c>
      <c r="F755" s="35" t="s">
        <v>57</v>
      </c>
      <c r="G755" s="35" t="s">
        <v>57</v>
      </c>
      <c r="H755" s="59">
        <f>SUM(H756:H783)</f>
        <v>0</v>
      </c>
      <c r="I755" s="59">
        <f>SUM(I756:I783)</f>
        <v>0</v>
      </c>
      <c r="J755" s="59">
        <f>SUM(J756:J783)</f>
        <v>0</v>
      </c>
      <c r="K755" s="48"/>
      <c r="L755" s="59">
        <f>SUM(L756:L783)</f>
        <v>0</v>
      </c>
      <c r="M755" s="48"/>
      <c r="AI755" s="48" t="s">
        <v>61</v>
      </c>
      <c r="AS755" s="59">
        <f>SUM(AJ756:AJ783)</f>
        <v>0</v>
      </c>
      <c r="AT755" s="59">
        <f>SUM(AK756:AK783)</f>
        <v>0</v>
      </c>
      <c r="AU755" s="59">
        <f>SUM(AL756:AL783)</f>
        <v>0</v>
      </c>
    </row>
    <row r="756" spans="1:62" ht="12.75">
      <c r="A756" s="36" t="s">
        <v>1982</v>
      </c>
      <c r="B756" s="36" t="s">
        <v>61</v>
      </c>
      <c r="C756" s="36" t="s">
        <v>302</v>
      </c>
      <c r="D756" s="36" t="s">
        <v>495</v>
      </c>
      <c r="E756" s="36" t="s">
        <v>609</v>
      </c>
      <c r="F756" s="55">
        <f>'Stavební rozpočet'!F771</f>
        <v>0</v>
      </c>
      <c r="G756" s="55">
        <f>'Stavební rozpočet'!G771</f>
        <v>60.1</v>
      </c>
      <c r="H756" s="55">
        <f aca="true" t="shared" si="808" ref="H756:H783">F756*AO756</f>
        <v>0</v>
      </c>
      <c r="I756" s="55">
        <f aca="true" t="shared" si="809" ref="I756:I783">F756*AP756</f>
        <v>0</v>
      </c>
      <c r="J756" s="55">
        <f aca="true" t="shared" si="810" ref="J756:J783">F756*G756</f>
        <v>0</v>
      </c>
      <c r="K756" s="55">
        <f>'Stavební rozpočet'!K771</f>
        <v>0</v>
      </c>
      <c r="L756" s="55">
        <f aca="true" t="shared" si="811" ref="L756:L783">F756*K756</f>
        <v>0</v>
      </c>
      <c r="M756" s="51" t="s">
        <v>622</v>
      </c>
      <c r="Z756" s="29">
        <f aca="true" t="shared" si="812" ref="Z756:Z783">IF(AQ756="5",BJ756,0)</f>
        <v>0</v>
      </c>
      <c r="AB756" s="29">
        <f aca="true" t="shared" si="813" ref="AB756:AB783">IF(AQ756="1",BH756,0)</f>
        <v>0</v>
      </c>
      <c r="AC756" s="29">
        <f aca="true" t="shared" si="814" ref="AC756:AC783">IF(AQ756="1",BI756,0)</f>
        <v>0</v>
      </c>
      <c r="AD756" s="29">
        <f aca="true" t="shared" si="815" ref="AD756:AD783">IF(AQ756="7",BH756,0)</f>
        <v>0</v>
      </c>
      <c r="AE756" s="29">
        <f aca="true" t="shared" si="816" ref="AE756:AE783">IF(AQ756="7",BI756,0)</f>
        <v>0</v>
      </c>
      <c r="AF756" s="29">
        <f aca="true" t="shared" si="817" ref="AF756:AF783">IF(AQ756="2",BH756,0)</f>
        <v>0</v>
      </c>
      <c r="AG756" s="29">
        <f aca="true" t="shared" si="818" ref="AG756:AG783">IF(AQ756="2",BI756,0)</f>
        <v>0</v>
      </c>
      <c r="AH756" s="29">
        <f aca="true" t="shared" si="819" ref="AH756:AH783">IF(AQ756="0",BJ756,0)</f>
        <v>0</v>
      </c>
      <c r="AI756" s="48" t="s">
        <v>61</v>
      </c>
      <c r="AJ756" s="55">
        <f aca="true" t="shared" si="820" ref="AJ756:AJ783">IF(AN756=0,J756,0)</f>
        <v>0</v>
      </c>
      <c r="AK756" s="55">
        <f aca="true" t="shared" si="821" ref="AK756:AK783">IF(AN756=15,J756,0)</f>
        <v>0</v>
      </c>
      <c r="AL756" s="55">
        <f aca="true" t="shared" si="822" ref="AL756:AL783">IF(AN756=21,J756,0)</f>
        <v>0</v>
      </c>
      <c r="AN756" s="29">
        <v>15</v>
      </c>
      <c r="AO756" s="29">
        <f aca="true" t="shared" si="823" ref="AO756:AO783">G756*0</f>
        <v>0</v>
      </c>
      <c r="AP756" s="29">
        <f aca="true" t="shared" si="824" ref="AP756:AP783">G756*(1-0)</f>
        <v>60.1</v>
      </c>
      <c r="AQ756" s="51" t="s">
        <v>85</v>
      </c>
      <c r="AV756" s="29">
        <f aca="true" t="shared" si="825" ref="AV756:AV783">AW756+AX756</f>
        <v>0</v>
      </c>
      <c r="AW756" s="29">
        <f aca="true" t="shared" si="826" ref="AW756:AW783">F756*AO756</f>
        <v>0</v>
      </c>
      <c r="AX756" s="29">
        <f aca="true" t="shared" si="827" ref="AX756:AX783">F756*AP756</f>
        <v>0</v>
      </c>
      <c r="AY756" s="54" t="s">
        <v>643</v>
      </c>
      <c r="AZ756" s="54" t="s">
        <v>1644</v>
      </c>
      <c r="BA756" s="48" t="s">
        <v>1649</v>
      </c>
      <c r="BC756" s="29">
        <f aca="true" t="shared" si="828" ref="BC756:BC783">AW756+AX756</f>
        <v>0</v>
      </c>
      <c r="BD756" s="29">
        <f aca="true" t="shared" si="829" ref="BD756:BD783">G756/(100-BE756)*100</f>
        <v>60.099999999999994</v>
      </c>
      <c r="BE756" s="29">
        <v>0</v>
      </c>
      <c r="BF756" s="29">
        <f aca="true" t="shared" si="830" ref="BF756:BF783">L756</f>
        <v>0</v>
      </c>
      <c r="BH756" s="55">
        <f aca="true" t="shared" si="831" ref="BH756:BH783">F756*AO756</f>
        <v>0</v>
      </c>
      <c r="BI756" s="55">
        <f aca="true" t="shared" si="832" ref="BI756:BI783">F756*AP756</f>
        <v>0</v>
      </c>
      <c r="BJ756" s="55">
        <f aca="true" t="shared" si="833" ref="BJ756:BJ783">F756*G756</f>
        <v>0</v>
      </c>
    </row>
    <row r="757" spans="1:62" ht="12.75">
      <c r="A757" s="36" t="s">
        <v>1983</v>
      </c>
      <c r="B757" s="36" t="s">
        <v>61</v>
      </c>
      <c r="C757" s="36" t="s">
        <v>1577</v>
      </c>
      <c r="D757" s="36" t="s">
        <v>1622</v>
      </c>
      <c r="E757" s="36" t="s">
        <v>606</v>
      </c>
      <c r="F757" s="55">
        <f>'Stavební rozpočet'!F772</f>
        <v>0</v>
      </c>
      <c r="G757" s="55">
        <f>'Stavební rozpočet'!G772</f>
        <v>50</v>
      </c>
      <c r="H757" s="55">
        <f t="shared" si="808"/>
        <v>0</v>
      </c>
      <c r="I757" s="55">
        <f t="shared" si="809"/>
        <v>0</v>
      </c>
      <c r="J757" s="55">
        <f t="shared" si="810"/>
        <v>0</v>
      </c>
      <c r="K757" s="55">
        <f>'Stavební rozpočet'!K772</f>
        <v>0</v>
      </c>
      <c r="L757" s="55">
        <f t="shared" si="811"/>
        <v>0</v>
      </c>
      <c r="M757" s="51" t="s">
        <v>622</v>
      </c>
      <c r="Z757" s="29">
        <f t="shared" si="812"/>
        <v>0</v>
      </c>
      <c r="AB757" s="29">
        <f t="shared" si="813"/>
        <v>0</v>
      </c>
      <c r="AC757" s="29">
        <f t="shared" si="814"/>
        <v>0</v>
      </c>
      <c r="AD757" s="29">
        <f t="shared" si="815"/>
        <v>0</v>
      </c>
      <c r="AE757" s="29">
        <f t="shared" si="816"/>
        <v>0</v>
      </c>
      <c r="AF757" s="29">
        <f t="shared" si="817"/>
        <v>0</v>
      </c>
      <c r="AG757" s="29">
        <f t="shared" si="818"/>
        <v>0</v>
      </c>
      <c r="AH757" s="29">
        <f t="shared" si="819"/>
        <v>0</v>
      </c>
      <c r="AI757" s="48" t="s">
        <v>61</v>
      </c>
      <c r="AJ757" s="55">
        <f t="shared" si="820"/>
        <v>0</v>
      </c>
      <c r="AK757" s="55">
        <f t="shared" si="821"/>
        <v>0</v>
      </c>
      <c r="AL757" s="55">
        <f t="shared" si="822"/>
        <v>0</v>
      </c>
      <c r="AN757" s="29">
        <v>15</v>
      </c>
      <c r="AO757" s="29">
        <f t="shared" si="823"/>
        <v>0</v>
      </c>
      <c r="AP757" s="29">
        <f t="shared" si="824"/>
        <v>50</v>
      </c>
      <c r="AQ757" s="51" t="s">
        <v>85</v>
      </c>
      <c r="AV757" s="29">
        <f t="shared" si="825"/>
        <v>0</v>
      </c>
      <c r="AW757" s="29">
        <f t="shared" si="826"/>
        <v>0</v>
      </c>
      <c r="AX757" s="29">
        <f t="shared" si="827"/>
        <v>0</v>
      </c>
      <c r="AY757" s="54" t="s">
        <v>643</v>
      </c>
      <c r="AZ757" s="54" t="s">
        <v>1644</v>
      </c>
      <c r="BA757" s="48" t="s">
        <v>1649</v>
      </c>
      <c r="BC757" s="29">
        <f t="shared" si="828"/>
        <v>0</v>
      </c>
      <c r="BD757" s="29">
        <f t="shared" si="829"/>
        <v>50</v>
      </c>
      <c r="BE757" s="29">
        <v>0</v>
      </c>
      <c r="BF757" s="29">
        <f t="shared" si="830"/>
        <v>0</v>
      </c>
      <c r="BH757" s="55">
        <f t="shared" si="831"/>
        <v>0</v>
      </c>
      <c r="BI757" s="55">
        <f t="shared" si="832"/>
        <v>0</v>
      </c>
      <c r="BJ757" s="55">
        <f t="shared" si="833"/>
        <v>0</v>
      </c>
    </row>
    <row r="758" spans="1:62" ht="12.75">
      <c r="A758" s="36" t="s">
        <v>1984</v>
      </c>
      <c r="B758" s="36" t="s">
        <v>61</v>
      </c>
      <c r="C758" s="36" t="s">
        <v>1578</v>
      </c>
      <c r="D758" s="36" t="s">
        <v>1623</v>
      </c>
      <c r="E758" s="36" t="s">
        <v>606</v>
      </c>
      <c r="F758" s="55">
        <f>'Stavební rozpočet'!F773</f>
        <v>0</v>
      </c>
      <c r="G758" s="55">
        <f>'Stavební rozpočet'!G773</f>
        <v>50</v>
      </c>
      <c r="H758" s="55">
        <f t="shared" si="808"/>
        <v>0</v>
      </c>
      <c r="I758" s="55">
        <f t="shared" si="809"/>
        <v>0</v>
      </c>
      <c r="J758" s="55">
        <f t="shared" si="810"/>
        <v>0</v>
      </c>
      <c r="K758" s="55">
        <f>'Stavební rozpočet'!K773</f>
        <v>0</v>
      </c>
      <c r="L758" s="55">
        <f t="shared" si="811"/>
        <v>0</v>
      </c>
      <c r="M758" s="51" t="s">
        <v>622</v>
      </c>
      <c r="Z758" s="29">
        <f t="shared" si="812"/>
        <v>0</v>
      </c>
      <c r="AB758" s="29">
        <f t="shared" si="813"/>
        <v>0</v>
      </c>
      <c r="AC758" s="29">
        <f t="shared" si="814"/>
        <v>0</v>
      </c>
      <c r="AD758" s="29">
        <f t="shared" si="815"/>
        <v>0</v>
      </c>
      <c r="AE758" s="29">
        <f t="shared" si="816"/>
        <v>0</v>
      </c>
      <c r="AF758" s="29">
        <f t="shared" si="817"/>
        <v>0</v>
      </c>
      <c r="AG758" s="29">
        <f t="shared" si="818"/>
        <v>0</v>
      </c>
      <c r="AH758" s="29">
        <f t="shared" si="819"/>
        <v>0</v>
      </c>
      <c r="AI758" s="48" t="s">
        <v>61</v>
      </c>
      <c r="AJ758" s="55">
        <f t="shared" si="820"/>
        <v>0</v>
      </c>
      <c r="AK758" s="55">
        <f t="shared" si="821"/>
        <v>0</v>
      </c>
      <c r="AL758" s="55">
        <f t="shared" si="822"/>
        <v>0</v>
      </c>
      <c r="AN758" s="29">
        <v>15</v>
      </c>
      <c r="AO758" s="29">
        <f t="shared" si="823"/>
        <v>0</v>
      </c>
      <c r="AP758" s="29">
        <f t="shared" si="824"/>
        <v>50</v>
      </c>
      <c r="AQ758" s="51" t="s">
        <v>85</v>
      </c>
      <c r="AV758" s="29">
        <f t="shared" si="825"/>
        <v>0</v>
      </c>
      <c r="AW758" s="29">
        <f t="shared" si="826"/>
        <v>0</v>
      </c>
      <c r="AX758" s="29">
        <f t="shared" si="827"/>
        <v>0</v>
      </c>
      <c r="AY758" s="54" t="s">
        <v>643</v>
      </c>
      <c r="AZ758" s="54" t="s">
        <v>1644</v>
      </c>
      <c r="BA758" s="48" t="s">
        <v>1649</v>
      </c>
      <c r="BC758" s="29">
        <f t="shared" si="828"/>
        <v>0</v>
      </c>
      <c r="BD758" s="29">
        <f t="shared" si="829"/>
        <v>50</v>
      </c>
      <c r="BE758" s="29">
        <v>0</v>
      </c>
      <c r="BF758" s="29">
        <f t="shared" si="830"/>
        <v>0</v>
      </c>
      <c r="BH758" s="55">
        <f t="shared" si="831"/>
        <v>0</v>
      </c>
      <c r="BI758" s="55">
        <f t="shared" si="832"/>
        <v>0</v>
      </c>
      <c r="BJ758" s="55">
        <f t="shared" si="833"/>
        <v>0</v>
      </c>
    </row>
    <row r="759" spans="1:62" ht="12.75">
      <c r="A759" s="36" t="s">
        <v>1985</v>
      </c>
      <c r="B759" s="36" t="s">
        <v>61</v>
      </c>
      <c r="C759" s="36" t="s">
        <v>1579</v>
      </c>
      <c r="D759" s="36" t="s">
        <v>1624</v>
      </c>
      <c r="E759" s="36" t="s">
        <v>606</v>
      </c>
      <c r="F759" s="55">
        <f>'Stavební rozpočet'!F774</f>
        <v>0</v>
      </c>
      <c r="G759" s="55">
        <f>'Stavební rozpočet'!G774</f>
        <v>50</v>
      </c>
      <c r="H759" s="55">
        <f t="shared" si="808"/>
        <v>0</v>
      </c>
      <c r="I759" s="55">
        <f t="shared" si="809"/>
        <v>0</v>
      </c>
      <c r="J759" s="55">
        <f t="shared" si="810"/>
        <v>0</v>
      </c>
      <c r="K759" s="55">
        <f>'Stavební rozpočet'!K774</f>
        <v>0</v>
      </c>
      <c r="L759" s="55">
        <f t="shared" si="811"/>
        <v>0</v>
      </c>
      <c r="M759" s="51" t="s">
        <v>622</v>
      </c>
      <c r="Z759" s="29">
        <f t="shared" si="812"/>
        <v>0</v>
      </c>
      <c r="AB759" s="29">
        <f t="shared" si="813"/>
        <v>0</v>
      </c>
      <c r="AC759" s="29">
        <f t="shared" si="814"/>
        <v>0</v>
      </c>
      <c r="AD759" s="29">
        <f t="shared" si="815"/>
        <v>0</v>
      </c>
      <c r="AE759" s="29">
        <f t="shared" si="816"/>
        <v>0</v>
      </c>
      <c r="AF759" s="29">
        <f t="shared" si="817"/>
        <v>0</v>
      </c>
      <c r="AG759" s="29">
        <f t="shared" si="818"/>
        <v>0</v>
      </c>
      <c r="AH759" s="29">
        <f t="shared" si="819"/>
        <v>0</v>
      </c>
      <c r="AI759" s="48" t="s">
        <v>61</v>
      </c>
      <c r="AJ759" s="55">
        <f t="shared" si="820"/>
        <v>0</v>
      </c>
      <c r="AK759" s="55">
        <f t="shared" si="821"/>
        <v>0</v>
      </c>
      <c r="AL759" s="55">
        <f t="shared" si="822"/>
        <v>0</v>
      </c>
      <c r="AN759" s="29">
        <v>15</v>
      </c>
      <c r="AO759" s="29">
        <f t="shared" si="823"/>
        <v>0</v>
      </c>
      <c r="AP759" s="29">
        <f t="shared" si="824"/>
        <v>50</v>
      </c>
      <c r="AQ759" s="51" t="s">
        <v>85</v>
      </c>
      <c r="AV759" s="29">
        <f t="shared" si="825"/>
        <v>0</v>
      </c>
      <c r="AW759" s="29">
        <f t="shared" si="826"/>
        <v>0</v>
      </c>
      <c r="AX759" s="29">
        <f t="shared" si="827"/>
        <v>0</v>
      </c>
      <c r="AY759" s="54" t="s">
        <v>643</v>
      </c>
      <c r="AZ759" s="54" t="s">
        <v>1644</v>
      </c>
      <c r="BA759" s="48" t="s">
        <v>1649</v>
      </c>
      <c r="BC759" s="29">
        <f t="shared" si="828"/>
        <v>0</v>
      </c>
      <c r="BD759" s="29">
        <f t="shared" si="829"/>
        <v>50</v>
      </c>
      <c r="BE759" s="29">
        <v>0</v>
      </c>
      <c r="BF759" s="29">
        <f t="shared" si="830"/>
        <v>0</v>
      </c>
      <c r="BH759" s="55">
        <f t="shared" si="831"/>
        <v>0</v>
      </c>
      <c r="BI759" s="55">
        <f t="shared" si="832"/>
        <v>0</v>
      </c>
      <c r="BJ759" s="55">
        <f t="shared" si="833"/>
        <v>0</v>
      </c>
    </row>
    <row r="760" spans="1:62" ht="12.75">
      <c r="A760" s="36" t="s">
        <v>1986</v>
      </c>
      <c r="B760" s="36" t="s">
        <v>61</v>
      </c>
      <c r="C760" s="36" t="s">
        <v>303</v>
      </c>
      <c r="D760" s="36" t="s">
        <v>1297</v>
      </c>
      <c r="E760" s="36" t="s">
        <v>609</v>
      </c>
      <c r="F760" s="55">
        <f>'Stavební rozpočet'!F775</f>
        <v>0</v>
      </c>
      <c r="G760" s="55">
        <f>'Stavební rozpočet'!G775</f>
        <v>81.25</v>
      </c>
      <c r="H760" s="55">
        <f t="shared" si="808"/>
        <v>0</v>
      </c>
      <c r="I760" s="55">
        <f t="shared" si="809"/>
        <v>0</v>
      </c>
      <c r="J760" s="55">
        <f t="shared" si="810"/>
        <v>0</v>
      </c>
      <c r="K760" s="55">
        <f>'Stavební rozpočet'!K775</f>
        <v>0</v>
      </c>
      <c r="L760" s="55">
        <f t="shared" si="811"/>
        <v>0</v>
      </c>
      <c r="M760" s="51" t="s">
        <v>622</v>
      </c>
      <c r="Z760" s="29">
        <f t="shared" si="812"/>
        <v>0</v>
      </c>
      <c r="AB760" s="29">
        <f t="shared" si="813"/>
        <v>0</v>
      </c>
      <c r="AC760" s="29">
        <f t="shared" si="814"/>
        <v>0</v>
      </c>
      <c r="AD760" s="29">
        <f t="shared" si="815"/>
        <v>0</v>
      </c>
      <c r="AE760" s="29">
        <f t="shared" si="816"/>
        <v>0</v>
      </c>
      <c r="AF760" s="29">
        <f t="shared" si="817"/>
        <v>0</v>
      </c>
      <c r="AG760" s="29">
        <f t="shared" si="818"/>
        <v>0</v>
      </c>
      <c r="AH760" s="29">
        <f t="shared" si="819"/>
        <v>0</v>
      </c>
      <c r="AI760" s="48" t="s">
        <v>61</v>
      </c>
      <c r="AJ760" s="55">
        <f t="shared" si="820"/>
        <v>0</v>
      </c>
      <c r="AK760" s="55">
        <f t="shared" si="821"/>
        <v>0</v>
      </c>
      <c r="AL760" s="55">
        <f t="shared" si="822"/>
        <v>0</v>
      </c>
      <c r="AN760" s="29">
        <v>15</v>
      </c>
      <c r="AO760" s="29">
        <f t="shared" si="823"/>
        <v>0</v>
      </c>
      <c r="AP760" s="29">
        <f t="shared" si="824"/>
        <v>81.25</v>
      </c>
      <c r="AQ760" s="51" t="s">
        <v>85</v>
      </c>
      <c r="AV760" s="29">
        <f t="shared" si="825"/>
        <v>0</v>
      </c>
      <c r="AW760" s="29">
        <f t="shared" si="826"/>
        <v>0</v>
      </c>
      <c r="AX760" s="29">
        <f t="shared" si="827"/>
        <v>0</v>
      </c>
      <c r="AY760" s="54" t="s">
        <v>643</v>
      </c>
      <c r="AZ760" s="54" t="s">
        <v>1644</v>
      </c>
      <c r="BA760" s="48" t="s">
        <v>1649</v>
      </c>
      <c r="BC760" s="29">
        <f t="shared" si="828"/>
        <v>0</v>
      </c>
      <c r="BD760" s="29">
        <f t="shared" si="829"/>
        <v>81.25</v>
      </c>
      <c r="BE760" s="29">
        <v>0</v>
      </c>
      <c r="BF760" s="29">
        <f t="shared" si="830"/>
        <v>0</v>
      </c>
      <c r="BH760" s="55">
        <f t="shared" si="831"/>
        <v>0</v>
      </c>
      <c r="BI760" s="55">
        <f t="shared" si="832"/>
        <v>0</v>
      </c>
      <c r="BJ760" s="55">
        <f t="shared" si="833"/>
        <v>0</v>
      </c>
    </row>
    <row r="761" spans="1:62" ht="12.75">
      <c r="A761" s="36" t="s">
        <v>1987</v>
      </c>
      <c r="B761" s="36" t="s">
        <v>61</v>
      </c>
      <c r="C761" s="36" t="s">
        <v>304</v>
      </c>
      <c r="D761" s="36" t="s">
        <v>1302</v>
      </c>
      <c r="E761" s="36" t="s">
        <v>609</v>
      </c>
      <c r="F761" s="55">
        <f>'Stavební rozpočet'!F776</f>
        <v>0</v>
      </c>
      <c r="G761" s="55">
        <f>'Stavební rozpočet'!G776</f>
        <v>110</v>
      </c>
      <c r="H761" s="55">
        <f t="shared" si="808"/>
        <v>0</v>
      </c>
      <c r="I761" s="55">
        <f t="shared" si="809"/>
        <v>0</v>
      </c>
      <c r="J761" s="55">
        <f t="shared" si="810"/>
        <v>0</v>
      </c>
      <c r="K761" s="55">
        <f>'Stavební rozpočet'!K776</f>
        <v>0</v>
      </c>
      <c r="L761" s="55">
        <f t="shared" si="811"/>
        <v>0</v>
      </c>
      <c r="M761" s="51" t="s">
        <v>622</v>
      </c>
      <c r="Z761" s="29">
        <f t="shared" si="812"/>
        <v>0</v>
      </c>
      <c r="AB761" s="29">
        <f t="shared" si="813"/>
        <v>0</v>
      </c>
      <c r="AC761" s="29">
        <f t="shared" si="814"/>
        <v>0</v>
      </c>
      <c r="AD761" s="29">
        <f t="shared" si="815"/>
        <v>0</v>
      </c>
      <c r="AE761" s="29">
        <f t="shared" si="816"/>
        <v>0</v>
      </c>
      <c r="AF761" s="29">
        <f t="shared" si="817"/>
        <v>0</v>
      </c>
      <c r="AG761" s="29">
        <f t="shared" si="818"/>
        <v>0</v>
      </c>
      <c r="AH761" s="29">
        <f t="shared" si="819"/>
        <v>0</v>
      </c>
      <c r="AI761" s="48" t="s">
        <v>61</v>
      </c>
      <c r="AJ761" s="55">
        <f t="shared" si="820"/>
        <v>0</v>
      </c>
      <c r="AK761" s="55">
        <f t="shared" si="821"/>
        <v>0</v>
      </c>
      <c r="AL761" s="55">
        <f t="shared" si="822"/>
        <v>0</v>
      </c>
      <c r="AN761" s="29">
        <v>15</v>
      </c>
      <c r="AO761" s="29">
        <f t="shared" si="823"/>
        <v>0</v>
      </c>
      <c r="AP761" s="29">
        <f t="shared" si="824"/>
        <v>110</v>
      </c>
      <c r="AQ761" s="51" t="s">
        <v>85</v>
      </c>
      <c r="AV761" s="29">
        <f t="shared" si="825"/>
        <v>0</v>
      </c>
      <c r="AW761" s="29">
        <f t="shared" si="826"/>
        <v>0</v>
      </c>
      <c r="AX761" s="29">
        <f t="shared" si="827"/>
        <v>0</v>
      </c>
      <c r="AY761" s="54" t="s">
        <v>643</v>
      </c>
      <c r="AZ761" s="54" t="s">
        <v>1644</v>
      </c>
      <c r="BA761" s="48" t="s">
        <v>1649</v>
      </c>
      <c r="BC761" s="29">
        <f t="shared" si="828"/>
        <v>0</v>
      </c>
      <c r="BD761" s="29">
        <f t="shared" si="829"/>
        <v>110.00000000000001</v>
      </c>
      <c r="BE761" s="29">
        <v>0</v>
      </c>
      <c r="BF761" s="29">
        <f t="shared" si="830"/>
        <v>0</v>
      </c>
      <c r="BH761" s="55">
        <f t="shared" si="831"/>
        <v>0</v>
      </c>
      <c r="BI761" s="55">
        <f t="shared" si="832"/>
        <v>0</v>
      </c>
      <c r="BJ761" s="55">
        <f t="shared" si="833"/>
        <v>0</v>
      </c>
    </row>
    <row r="762" spans="1:62" ht="12.75">
      <c r="A762" s="36" t="s">
        <v>1988</v>
      </c>
      <c r="B762" s="36" t="s">
        <v>61</v>
      </c>
      <c r="C762" s="36" t="s">
        <v>1012</v>
      </c>
      <c r="D762" s="36" t="s">
        <v>1304</v>
      </c>
      <c r="E762" s="36" t="s">
        <v>609</v>
      </c>
      <c r="F762" s="55">
        <f>'Stavební rozpočet'!F777</f>
        <v>0</v>
      </c>
      <c r="G762" s="55">
        <f>'Stavební rozpočet'!G777</f>
        <v>80</v>
      </c>
      <c r="H762" s="55">
        <f t="shared" si="808"/>
        <v>0</v>
      </c>
      <c r="I762" s="55">
        <f t="shared" si="809"/>
        <v>0</v>
      </c>
      <c r="J762" s="55">
        <f t="shared" si="810"/>
        <v>0</v>
      </c>
      <c r="K762" s="55">
        <f>'Stavební rozpočet'!K777</f>
        <v>0</v>
      </c>
      <c r="L762" s="55">
        <f t="shared" si="811"/>
        <v>0</v>
      </c>
      <c r="M762" s="51" t="s">
        <v>622</v>
      </c>
      <c r="Z762" s="29">
        <f t="shared" si="812"/>
        <v>0</v>
      </c>
      <c r="AB762" s="29">
        <f t="shared" si="813"/>
        <v>0</v>
      </c>
      <c r="AC762" s="29">
        <f t="shared" si="814"/>
        <v>0</v>
      </c>
      <c r="AD762" s="29">
        <f t="shared" si="815"/>
        <v>0</v>
      </c>
      <c r="AE762" s="29">
        <f t="shared" si="816"/>
        <v>0</v>
      </c>
      <c r="AF762" s="29">
        <f t="shared" si="817"/>
        <v>0</v>
      </c>
      <c r="AG762" s="29">
        <f t="shared" si="818"/>
        <v>0</v>
      </c>
      <c r="AH762" s="29">
        <f t="shared" si="819"/>
        <v>0</v>
      </c>
      <c r="AI762" s="48" t="s">
        <v>61</v>
      </c>
      <c r="AJ762" s="55">
        <f t="shared" si="820"/>
        <v>0</v>
      </c>
      <c r="AK762" s="55">
        <f t="shared" si="821"/>
        <v>0</v>
      </c>
      <c r="AL762" s="55">
        <f t="shared" si="822"/>
        <v>0</v>
      </c>
      <c r="AN762" s="29">
        <v>15</v>
      </c>
      <c r="AO762" s="29">
        <f t="shared" si="823"/>
        <v>0</v>
      </c>
      <c r="AP762" s="29">
        <f t="shared" si="824"/>
        <v>80</v>
      </c>
      <c r="AQ762" s="51" t="s">
        <v>85</v>
      </c>
      <c r="AV762" s="29">
        <f t="shared" si="825"/>
        <v>0</v>
      </c>
      <c r="AW762" s="29">
        <f t="shared" si="826"/>
        <v>0</v>
      </c>
      <c r="AX762" s="29">
        <f t="shared" si="827"/>
        <v>0</v>
      </c>
      <c r="AY762" s="54" t="s">
        <v>643</v>
      </c>
      <c r="AZ762" s="54" t="s">
        <v>1644</v>
      </c>
      <c r="BA762" s="48" t="s">
        <v>1649</v>
      </c>
      <c r="BC762" s="29">
        <f t="shared" si="828"/>
        <v>0</v>
      </c>
      <c r="BD762" s="29">
        <f t="shared" si="829"/>
        <v>80</v>
      </c>
      <c r="BE762" s="29">
        <v>0</v>
      </c>
      <c r="BF762" s="29">
        <f t="shared" si="830"/>
        <v>0</v>
      </c>
      <c r="BH762" s="55">
        <f t="shared" si="831"/>
        <v>0</v>
      </c>
      <c r="BI762" s="55">
        <f t="shared" si="832"/>
        <v>0</v>
      </c>
      <c r="BJ762" s="55">
        <f t="shared" si="833"/>
        <v>0</v>
      </c>
    </row>
    <row r="763" spans="1:62" ht="12.75">
      <c r="A763" s="36" t="s">
        <v>1989</v>
      </c>
      <c r="B763" s="36" t="s">
        <v>61</v>
      </c>
      <c r="C763" s="36" t="s">
        <v>305</v>
      </c>
      <c r="D763" s="36" t="s">
        <v>1625</v>
      </c>
      <c r="E763" s="36" t="s">
        <v>606</v>
      </c>
      <c r="F763" s="55">
        <f>'Stavební rozpočet'!F778</f>
        <v>0</v>
      </c>
      <c r="G763" s="55">
        <f>'Stavební rozpočet'!G778</f>
        <v>6200</v>
      </c>
      <c r="H763" s="55">
        <f t="shared" si="808"/>
        <v>0</v>
      </c>
      <c r="I763" s="55">
        <f t="shared" si="809"/>
        <v>0</v>
      </c>
      <c r="J763" s="55">
        <f t="shared" si="810"/>
        <v>0</v>
      </c>
      <c r="K763" s="55">
        <f>'Stavební rozpočet'!K778</f>
        <v>0</v>
      </c>
      <c r="L763" s="55">
        <f t="shared" si="811"/>
        <v>0</v>
      </c>
      <c r="M763" s="51" t="s">
        <v>622</v>
      </c>
      <c r="Z763" s="29">
        <f t="shared" si="812"/>
        <v>0</v>
      </c>
      <c r="AB763" s="29">
        <f t="shared" si="813"/>
        <v>0</v>
      </c>
      <c r="AC763" s="29">
        <f t="shared" si="814"/>
        <v>0</v>
      </c>
      <c r="AD763" s="29">
        <f t="shared" si="815"/>
        <v>0</v>
      </c>
      <c r="AE763" s="29">
        <f t="shared" si="816"/>
        <v>0</v>
      </c>
      <c r="AF763" s="29">
        <f t="shared" si="817"/>
        <v>0</v>
      </c>
      <c r="AG763" s="29">
        <f t="shared" si="818"/>
        <v>0</v>
      </c>
      <c r="AH763" s="29">
        <f t="shared" si="819"/>
        <v>0</v>
      </c>
      <c r="AI763" s="48" t="s">
        <v>61</v>
      </c>
      <c r="AJ763" s="55">
        <f t="shared" si="820"/>
        <v>0</v>
      </c>
      <c r="AK763" s="55">
        <f t="shared" si="821"/>
        <v>0</v>
      </c>
      <c r="AL763" s="55">
        <f t="shared" si="822"/>
        <v>0</v>
      </c>
      <c r="AN763" s="29">
        <v>15</v>
      </c>
      <c r="AO763" s="29">
        <f t="shared" si="823"/>
        <v>0</v>
      </c>
      <c r="AP763" s="29">
        <f t="shared" si="824"/>
        <v>6200</v>
      </c>
      <c r="AQ763" s="51" t="s">
        <v>85</v>
      </c>
      <c r="AV763" s="29">
        <f t="shared" si="825"/>
        <v>0</v>
      </c>
      <c r="AW763" s="29">
        <f t="shared" si="826"/>
        <v>0</v>
      </c>
      <c r="AX763" s="29">
        <f t="shared" si="827"/>
        <v>0</v>
      </c>
      <c r="AY763" s="54" t="s">
        <v>643</v>
      </c>
      <c r="AZ763" s="54" t="s">
        <v>1644</v>
      </c>
      <c r="BA763" s="48" t="s">
        <v>1649</v>
      </c>
      <c r="BC763" s="29">
        <f t="shared" si="828"/>
        <v>0</v>
      </c>
      <c r="BD763" s="29">
        <f t="shared" si="829"/>
        <v>6200</v>
      </c>
      <c r="BE763" s="29">
        <v>0</v>
      </c>
      <c r="BF763" s="29">
        <f t="shared" si="830"/>
        <v>0</v>
      </c>
      <c r="BH763" s="55">
        <f t="shared" si="831"/>
        <v>0</v>
      </c>
      <c r="BI763" s="55">
        <f t="shared" si="832"/>
        <v>0</v>
      </c>
      <c r="BJ763" s="55">
        <f t="shared" si="833"/>
        <v>0</v>
      </c>
    </row>
    <row r="764" spans="1:62" ht="12.75">
      <c r="A764" s="36" t="s">
        <v>1990</v>
      </c>
      <c r="B764" s="36" t="s">
        <v>61</v>
      </c>
      <c r="C764" s="36" t="s">
        <v>306</v>
      </c>
      <c r="D764" s="36" t="s">
        <v>1317</v>
      </c>
      <c r="E764" s="36" t="s">
        <v>606</v>
      </c>
      <c r="F764" s="55">
        <f>'Stavební rozpočet'!F779</f>
        <v>0</v>
      </c>
      <c r="G764" s="55">
        <f>'Stavební rozpočet'!G779</f>
        <v>459.3</v>
      </c>
      <c r="H764" s="55">
        <f t="shared" si="808"/>
        <v>0</v>
      </c>
      <c r="I764" s="55">
        <f t="shared" si="809"/>
        <v>0</v>
      </c>
      <c r="J764" s="55">
        <f t="shared" si="810"/>
        <v>0</v>
      </c>
      <c r="K764" s="55">
        <f>'Stavební rozpočet'!K779</f>
        <v>0</v>
      </c>
      <c r="L764" s="55">
        <f t="shared" si="811"/>
        <v>0</v>
      </c>
      <c r="M764" s="51" t="s">
        <v>622</v>
      </c>
      <c r="Z764" s="29">
        <f t="shared" si="812"/>
        <v>0</v>
      </c>
      <c r="AB764" s="29">
        <f t="shared" si="813"/>
        <v>0</v>
      </c>
      <c r="AC764" s="29">
        <f t="shared" si="814"/>
        <v>0</v>
      </c>
      <c r="AD764" s="29">
        <f t="shared" si="815"/>
        <v>0</v>
      </c>
      <c r="AE764" s="29">
        <f t="shared" si="816"/>
        <v>0</v>
      </c>
      <c r="AF764" s="29">
        <f t="shared" si="817"/>
        <v>0</v>
      </c>
      <c r="AG764" s="29">
        <f t="shared" si="818"/>
        <v>0</v>
      </c>
      <c r="AH764" s="29">
        <f t="shared" si="819"/>
        <v>0</v>
      </c>
      <c r="AI764" s="48" t="s">
        <v>61</v>
      </c>
      <c r="AJ764" s="55">
        <f t="shared" si="820"/>
        <v>0</v>
      </c>
      <c r="AK764" s="55">
        <f t="shared" si="821"/>
        <v>0</v>
      </c>
      <c r="AL764" s="55">
        <f t="shared" si="822"/>
        <v>0</v>
      </c>
      <c r="AN764" s="29">
        <v>15</v>
      </c>
      <c r="AO764" s="29">
        <f t="shared" si="823"/>
        <v>0</v>
      </c>
      <c r="AP764" s="29">
        <f t="shared" si="824"/>
        <v>459.3</v>
      </c>
      <c r="AQ764" s="51" t="s">
        <v>85</v>
      </c>
      <c r="AV764" s="29">
        <f t="shared" si="825"/>
        <v>0</v>
      </c>
      <c r="AW764" s="29">
        <f t="shared" si="826"/>
        <v>0</v>
      </c>
      <c r="AX764" s="29">
        <f t="shared" si="827"/>
        <v>0</v>
      </c>
      <c r="AY764" s="54" t="s">
        <v>643</v>
      </c>
      <c r="AZ764" s="54" t="s">
        <v>1644</v>
      </c>
      <c r="BA764" s="48" t="s">
        <v>1649</v>
      </c>
      <c r="BC764" s="29">
        <f t="shared" si="828"/>
        <v>0</v>
      </c>
      <c r="BD764" s="29">
        <f t="shared" si="829"/>
        <v>459.3</v>
      </c>
      <c r="BE764" s="29">
        <v>0</v>
      </c>
      <c r="BF764" s="29">
        <f t="shared" si="830"/>
        <v>0</v>
      </c>
      <c r="BH764" s="55">
        <f t="shared" si="831"/>
        <v>0</v>
      </c>
      <c r="BI764" s="55">
        <f t="shared" si="832"/>
        <v>0</v>
      </c>
      <c r="BJ764" s="55">
        <f t="shared" si="833"/>
        <v>0</v>
      </c>
    </row>
    <row r="765" spans="1:62" ht="12.75">
      <c r="A765" s="36" t="s">
        <v>1991</v>
      </c>
      <c r="B765" s="36" t="s">
        <v>61</v>
      </c>
      <c r="C765" s="36" t="s">
        <v>307</v>
      </c>
      <c r="D765" s="36" t="s">
        <v>1318</v>
      </c>
      <c r="E765" s="36" t="s">
        <v>606</v>
      </c>
      <c r="F765" s="55">
        <f>'Stavební rozpočet'!F780</f>
        <v>0</v>
      </c>
      <c r="G765" s="55">
        <f>'Stavební rozpočet'!G780</f>
        <v>459.3</v>
      </c>
      <c r="H765" s="55">
        <f t="shared" si="808"/>
        <v>0</v>
      </c>
      <c r="I765" s="55">
        <f t="shared" si="809"/>
        <v>0</v>
      </c>
      <c r="J765" s="55">
        <f t="shared" si="810"/>
        <v>0</v>
      </c>
      <c r="K765" s="55">
        <f>'Stavební rozpočet'!K780</f>
        <v>0</v>
      </c>
      <c r="L765" s="55">
        <f t="shared" si="811"/>
        <v>0</v>
      </c>
      <c r="M765" s="51" t="s">
        <v>622</v>
      </c>
      <c r="Z765" s="29">
        <f t="shared" si="812"/>
        <v>0</v>
      </c>
      <c r="AB765" s="29">
        <f t="shared" si="813"/>
        <v>0</v>
      </c>
      <c r="AC765" s="29">
        <f t="shared" si="814"/>
        <v>0</v>
      </c>
      <c r="AD765" s="29">
        <f t="shared" si="815"/>
        <v>0</v>
      </c>
      <c r="AE765" s="29">
        <f t="shared" si="816"/>
        <v>0</v>
      </c>
      <c r="AF765" s="29">
        <f t="shared" si="817"/>
        <v>0</v>
      </c>
      <c r="AG765" s="29">
        <f t="shared" si="818"/>
        <v>0</v>
      </c>
      <c r="AH765" s="29">
        <f t="shared" si="819"/>
        <v>0</v>
      </c>
      <c r="AI765" s="48" t="s">
        <v>61</v>
      </c>
      <c r="AJ765" s="55">
        <f t="shared" si="820"/>
        <v>0</v>
      </c>
      <c r="AK765" s="55">
        <f t="shared" si="821"/>
        <v>0</v>
      </c>
      <c r="AL765" s="55">
        <f t="shared" si="822"/>
        <v>0</v>
      </c>
      <c r="AN765" s="29">
        <v>15</v>
      </c>
      <c r="AO765" s="29">
        <f t="shared" si="823"/>
        <v>0</v>
      </c>
      <c r="AP765" s="29">
        <f t="shared" si="824"/>
        <v>459.3</v>
      </c>
      <c r="AQ765" s="51" t="s">
        <v>85</v>
      </c>
      <c r="AV765" s="29">
        <f t="shared" si="825"/>
        <v>0</v>
      </c>
      <c r="AW765" s="29">
        <f t="shared" si="826"/>
        <v>0</v>
      </c>
      <c r="AX765" s="29">
        <f t="shared" si="827"/>
        <v>0</v>
      </c>
      <c r="AY765" s="54" t="s">
        <v>643</v>
      </c>
      <c r="AZ765" s="54" t="s">
        <v>1644</v>
      </c>
      <c r="BA765" s="48" t="s">
        <v>1649</v>
      </c>
      <c r="BC765" s="29">
        <f t="shared" si="828"/>
        <v>0</v>
      </c>
      <c r="BD765" s="29">
        <f t="shared" si="829"/>
        <v>459.3</v>
      </c>
      <c r="BE765" s="29">
        <v>0</v>
      </c>
      <c r="BF765" s="29">
        <f t="shared" si="830"/>
        <v>0</v>
      </c>
      <c r="BH765" s="55">
        <f t="shared" si="831"/>
        <v>0</v>
      </c>
      <c r="BI765" s="55">
        <f t="shared" si="832"/>
        <v>0</v>
      </c>
      <c r="BJ765" s="55">
        <f t="shared" si="833"/>
        <v>0</v>
      </c>
    </row>
    <row r="766" spans="1:62" ht="12.75">
      <c r="A766" s="36" t="s">
        <v>1992</v>
      </c>
      <c r="B766" s="36" t="s">
        <v>61</v>
      </c>
      <c r="C766" s="36" t="s">
        <v>1013</v>
      </c>
      <c r="D766" s="36" t="s">
        <v>1321</v>
      </c>
      <c r="E766" s="36" t="s">
        <v>606</v>
      </c>
      <c r="F766" s="55">
        <f>'Stavební rozpočet'!F781</f>
        <v>0</v>
      </c>
      <c r="G766" s="55">
        <f>'Stavební rozpočet'!G781</f>
        <v>475</v>
      </c>
      <c r="H766" s="55">
        <f t="shared" si="808"/>
        <v>0</v>
      </c>
      <c r="I766" s="55">
        <f t="shared" si="809"/>
        <v>0</v>
      </c>
      <c r="J766" s="55">
        <f t="shared" si="810"/>
        <v>0</v>
      </c>
      <c r="K766" s="55">
        <f>'Stavební rozpočet'!K781</f>
        <v>0</v>
      </c>
      <c r="L766" s="55">
        <f t="shared" si="811"/>
        <v>0</v>
      </c>
      <c r="M766" s="51" t="s">
        <v>622</v>
      </c>
      <c r="Z766" s="29">
        <f t="shared" si="812"/>
        <v>0</v>
      </c>
      <c r="AB766" s="29">
        <f t="shared" si="813"/>
        <v>0</v>
      </c>
      <c r="AC766" s="29">
        <f t="shared" si="814"/>
        <v>0</v>
      </c>
      <c r="AD766" s="29">
        <f t="shared" si="815"/>
        <v>0</v>
      </c>
      <c r="AE766" s="29">
        <f t="shared" si="816"/>
        <v>0</v>
      </c>
      <c r="AF766" s="29">
        <f t="shared" si="817"/>
        <v>0</v>
      </c>
      <c r="AG766" s="29">
        <f t="shared" si="818"/>
        <v>0</v>
      </c>
      <c r="AH766" s="29">
        <f t="shared" si="819"/>
        <v>0</v>
      </c>
      <c r="AI766" s="48" t="s">
        <v>61</v>
      </c>
      <c r="AJ766" s="55">
        <f t="shared" si="820"/>
        <v>0</v>
      </c>
      <c r="AK766" s="55">
        <f t="shared" si="821"/>
        <v>0</v>
      </c>
      <c r="AL766" s="55">
        <f t="shared" si="822"/>
        <v>0</v>
      </c>
      <c r="AN766" s="29">
        <v>15</v>
      </c>
      <c r="AO766" s="29">
        <f t="shared" si="823"/>
        <v>0</v>
      </c>
      <c r="AP766" s="29">
        <f t="shared" si="824"/>
        <v>475</v>
      </c>
      <c r="AQ766" s="51" t="s">
        <v>85</v>
      </c>
      <c r="AV766" s="29">
        <f t="shared" si="825"/>
        <v>0</v>
      </c>
      <c r="AW766" s="29">
        <f t="shared" si="826"/>
        <v>0</v>
      </c>
      <c r="AX766" s="29">
        <f t="shared" si="827"/>
        <v>0</v>
      </c>
      <c r="AY766" s="54" t="s">
        <v>643</v>
      </c>
      <c r="AZ766" s="54" t="s">
        <v>1644</v>
      </c>
      <c r="BA766" s="48" t="s">
        <v>1649</v>
      </c>
      <c r="BC766" s="29">
        <f t="shared" si="828"/>
        <v>0</v>
      </c>
      <c r="BD766" s="29">
        <f t="shared" si="829"/>
        <v>475</v>
      </c>
      <c r="BE766" s="29">
        <v>0</v>
      </c>
      <c r="BF766" s="29">
        <f t="shared" si="830"/>
        <v>0</v>
      </c>
      <c r="BH766" s="55">
        <f t="shared" si="831"/>
        <v>0</v>
      </c>
      <c r="BI766" s="55">
        <f t="shared" si="832"/>
        <v>0</v>
      </c>
      <c r="BJ766" s="55">
        <f t="shared" si="833"/>
        <v>0</v>
      </c>
    </row>
    <row r="767" spans="1:62" ht="12.75">
      <c r="A767" s="36" t="s">
        <v>1993</v>
      </c>
      <c r="B767" s="36" t="s">
        <v>61</v>
      </c>
      <c r="C767" s="36" t="s">
        <v>1014</v>
      </c>
      <c r="D767" s="36" t="s">
        <v>1323</v>
      </c>
      <c r="E767" s="36" t="s">
        <v>606</v>
      </c>
      <c r="F767" s="55">
        <f>'Stavební rozpočet'!F782</f>
        <v>0</v>
      </c>
      <c r="G767" s="55">
        <f>'Stavební rozpočet'!G782</f>
        <v>210</v>
      </c>
      <c r="H767" s="55">
        <f t="shared" si="808"/>
        <v>0</v>
      </c>
      <c r="I767" s="55">
        <f t="shared" si="809"/>
        <v>0</v>
      </c>
      <c r="J767" s="55">
        <f t="shared" si="810"/>
        <v>0</v>
      </c>
      <c r="K767" s="55">
        <f>'Stavební rozpočet'!K782</f>
        <v>0</v>
      </c>
      <c r="L767" s="55">
        <f t="shared" si="811"/>
        <v>0</v>
      </c>
      <c r="M767" s="51" t="s">
        <v>622</v>
      </c>
      <c r="Z767" s="29">
        <f t="shared" si="812"/>
        <v>0</v>
      </c>
      <c r="AB767" s="29">
        <f t="shared" si="813"/>
        <v>0</v>
      </c>
      <c r="AC767" s="29">
        <f t="shared" si="814"/>
        <v>0</v>
      </c>
      <c r="AD767" s="29">
        <f t="shared" si="815"/>
        <v>0</v>
      </c>
      <c r="AE767" s="29">
        <f t="shared" si="816"/>
        <v>0</v>
      </c>
      <c r="AF767" s="29">
        <f t="shared" si="817"/>
        <v>0</v>
      </c>
      <c r="AG767" s="29">
        <f t="shared" si="818"/>
        <v>0</v>
      </c>
      <c r="AH767" s="29">
        <f t="shared" si="819"/>
        <v>0</v>
      </c>
      <c r="AI767" s="48" t="s">
        <v>61</v>
      </c>
      <c r="AJ767" s="55">
        <f t="shared" si="820"/>
        <v>0</v>
      </c>
      <c r="AK767" s="55">
        <f t="shared" si="821"/>
        <v>0</v>
      </c>
      <c r="AL767" s="55">
        <f t="shared" si="822"/>
        <v>0</v>
      </c>
      <c r="AN767" s="29">
        <v>15</v>
      </c>
      <c r="AO767" s="29">
        <f t="shared" si="823"/>
        <v>0</v>
      </c>
      <c r="AP767" s="29">
        <f t="shared" si="824"/>
        <v>210</v>
      </c>
      <c r="AQ767" s="51" t="s">
        <v>85</v>
      </c>
      <c r="AV767" s="29">
        <f t="shared" si="825"/>
        <v>0</v>
      </c>
      <c r="AW767" s="29">
        <f t="shared" si="826"/>
        <v>0</v>
      </c>
      <c r="AX767" s="29">
        <f t="shared" si="827"/>
        <v>0</v>
      </c>
      <c r="AY767" s="54" t="s">
        <v>643</v>
      </c>
      <c r="AZ767" s="54" t="s">
        <v>1644</v>
      </c>
      <c r="BA767" s="48" t="s">
        <v>1649</v>
      </c>
      <c r="BC767" s="29">
        <f t="shared" si="828"/>
        <v>0</v>
      </c>
      <c r="BD767" s="29">
        <f t="shared" si="829"/>
        <v>210</v>
      </c>
      <c r="BE767" s="29">
        <v>0</v>
      </c>
      <c r="BF767" s="29">
        <f t="shared" si="830"/>
        <v>0</v>
      </c>
      <c r="BH767" s="55">
        <f t="shared" si="831"/>
        <v>0</v>
      </c>
      <c r="BI767" s="55">
        <f t="shared" si="832"/>
        <v>0</v>
      </c>
      <c r="BJ767" s="55">
        <f t="shared" si="833"/>
        <v>0</v>
      </c>
    </row>
    <row r="768" spans="1:62" ht="12.75">
      <c r="A768" s="36" t="s">
        <v>1994</v>
      </c>
      <c r="B768" s="36" t="s">
        <v>61</v>
      </c>
      <c r="C768" s="36" t="s">
        <v>1015</v>
      </c>
      <c r="D768" s="36" t="s">
        <v>1325</v>
      </c>
      <c r="E768" s="36" t="s">
        <v>606</v>
      </c>
      <c r="F768" s="55">
        <f>'Stavební rozpočet'!F783</f>
        <v>0</v>
      </c>
      <c r="G768" s="55">
        <f>'Stavební rozpočet'!G783</f>
        <v>230</v>
      </c>
      <c r="H768" s="55">
        <f t="shared" si="808"/>
        <v>0</v>
      </c>
      <c r="I768" s="55">
        <f t="shared" si="809"/>
        <v>0</v>
      </c>
      <c r="J768" s="55">
        <f t="shared" si="810"/>
        <v>0</v>
      </c>
      <c r="K768" s="55">
        <f>'Stavební rozpočet'!K783</f>
        <v>0</v>
      </c>
      <c r="L768" s="55">
        <f t="shared" si="811"/>
        <v>0</v>
      </c>
      <c r="M768" s="51" t="s">
        <v>622</v>
      </c>
      <c r="Z768" s="29">
        <f t="shared" si="812"/>
        <v>0</v>
      </c>
      <c r="AB768" s="29">
        <f t="shared" si="813"/>
        <v>0</v>
      </c>
      <c r="AC768" s="29">
        <f t="shared" si="814"/>
        <v>0</v>
      </c>
      <c r="AD768" s="29">
        <f t="shared" si="815"/>
        <v>0</v>
      </c>
      <c r="AE768" s="29">
        <f t="shared" si="816"/>
        <v>0</v>
      </c>
      <c r="AF768" s="29">
        <f t="shared" si="817"/>
        <v>0</v>
      </c>
      <c r="AG768" s="29">
        <f t="shared" si="818"/>
        <v>0</v>
      </c>
      <c r="AH768" s="29">
        <f t="shared" si="819"/>
        <v>0</v>
      </c>
      <c r="AI768" s="48" t="s">
        <v>61</v>
      </c>
      <c r="AJ768" s="55">
        <f t="shared" si="820"/>
        <v>0</v>
      </c>
      <c r="AK768" s="55">
        <f t="shared" si="821"/>
        <v>0</v>
      </c>
      <c r="AL768" s="55">
        <f t="shared" si="822"/>
        <v>0</v>
      </c>
      <c r="AN768" s="29">
        <v>15</v>
      </c>
      <c r="AO768" s="29">
        <f t="shared" si="823"/>
        <v>0</v>
      </c>
      <c r="AP768" s="29">
        <f t="shared" si="824"/>
        <v>230</v>
      </c>
      <c r="AQ768" s="51" t="s">
        <v>85</v>
      </c>
      <c r="AV768" s="29">
        <f t="shared" si="825"/>
        <v>0</v>
      </c>
      <c r="AW768" s="29">
        <f t="shared" si="826"/>
        <v>0</v>
      </c>
      <c r="AX768" s="29">
        <f t="shared" si="827"/>
        <v>0</v>
      </c>
      <c r="AY768" s="54" t="s">
        <v>643</v>
      </c>
      <c r="AZ768" s="54" t="s">
        <v>1644</v>
      </c>
      <c r="BA768" s="48" t="s">
        <v>1649</v>
      </c>
      <c r="BC768" s="29">
        <f t="shared" si="828"/>
        <v>0</v>
      </c>
      <c r="BD768" s="29">
        <f t="shared" si="829"/>
        <v>229.99999999999997</v>
      </c>
      <c r="BE768" s="29">
        <v>0</v>
      </c>
      <c r="BF768" s="29">
        <f t="shared" si="830"/>
        <v>0</v>
      </c>
      <c r="BH768" s="55">
        <f t="shared" si="831"/>
        <v>0</v>
      </c>
      <c r="BI768" s="55">
        <f t="shared" si="832"/>
        <v>0</v>
      </c>
      <c r="BJ768" s="55">
        <f t="shared" si="833"/>
        <v>0</v>
      </c>
    </row>
    <row r="769" spans="1:62" ht="12.75">
      <c r="A769" s="36" t="s">
        <v>1995</v>
      </c>
      <c r="B769" s="36" t="s">
        <v>61</v>
      </c>
      <c r="C769" s="36" t="s">
        <v>1016</v>
      </c>
      <c r="D769" s="36" t="s">
        <v>1327</v>
      </c>
      <c r="E769" s="36" t="s">
        <v>606</v>
      </c>
      <c r="F769" s="55">
        <f>'Stavební rozpočet'!F784</f>
        <v>0</v>
      </c>
      <c r="G769" s="55">
        <f>'Stavební rozpočet'!G784</f>
        <v>881</v>
      </c>
      <c r="H769" s="55">
        <f t="shared" si="808"/>
        <v>0</v>
      </c>
      <c r="I769" s="55">
        <f t="shared" si="809"/>
        <v>0</v>
      </c>
      <c r="J769" s="55">
        <f t="shared" si="810"/>
        <v>0</v>
      </c>
      <c r="K769" s="55">
        <f>'Stavební rozpočet'!K784</f>
        <v>0</v>
      </c>
      <c r="L769" s="55">
        <f t="shared" si="811"/>
        <v>0</v>
      </c>
      <c r="M769" s="51" t="s">
        <v>622</v>
      </c>
      <c r="Z769" s="29">
        <f t="shared" si="812"/>
        <v>0</v>
      </c>
      <c r="AB769" s="29">
        <f t="shared" si="813"/>
        <v>0</v>
      </c>
      <c r="AC769" s="29">
        <f t="shared" si="814"/>
        <v>0</v>
      </c>
      <c r="AD769" s="29">
        <f t="shared" si="815"/>
        <v>0</v>
      </c>
      <c r="AE769" s="29">
        <f t="shared" si="816"/>
        <v>0</v>
      </c>
      <c r="AF769" s="29">
        <f t="shared" si="817"/>
        <v>0</v>
      </c>
      <c r="AG769" s="29">
        <f t="shared" si="818"/>
        <v>0</v>
      </c>
      <c r="AH769" s="29">
        <f t="shared" si="819"/>
        <v>0</v>
      </c>
      <c r="AI769" s="48" t="s">
        <v>61</v>
      </c>
      <c r="AJ769" s="55">
        <f t="shared" si="820"/>
        <v>0</v>
      </c>
      <c r="AK769" s="55">
        <f t="shared" si="821"/>
        <v>0</v>
      </c>
      <c r="AL769" s="55">
        <f t="shared" si="822"/>
        <v>0</v>
      </c>
      <c r="AN769" s="29">
        <v>15</v>
      </c>
      <c r="AO769" s="29">
        <f t="shared" si="823"/>
        <v>0</v>
      </c>
      <c r="AP769" s="29">
        <f t="shared" si="824"/>
        <v>881</v>
      </c>
      <c r="AQ769" s="51" t="s">
        <v>85</v>
      </c>
      <c r="AV769" s="29">
        <f t="shared" si="825"/>
        <v>0</v>
      </c>
      <c r="AW769" s="29">
        <f t="shared" si="826"/>
        <v>0</v>
      </c>
      <c r="AX769" s="29">
        <f t="shared" si="827"/>
        <v>0</v>
      </c>
      <c r="AY769" s="54" t="s">
        <v>643</v>
      </c>
      <c r="AZ769" s="54" t="s">
        <v>1644</v>
      </c>
      <c r="BA769" s="48" t="s">
        <v>1649</v>
      </c>
      <c r="BC769" s="29">
        <f t="shared" si="828"/>
        <v>0</v>
      </c>
      <c r="BD769" s="29">
        <f t="shared" si="829"/>
        <v>881</v>
      </c>
      <c r="BE769" s="29">
        <v>0</v>
      </c>
      <c r="BF769" s="29">
        <f t="shared" si="830"/>
        <v>0</v>
      </c>
      <c r="BH769" s="55">
        <f t="shared" si="831"/>
        <v>0</v>
      </c>
      <c r="BI769" s="55">
        <f t="shared" si="832"/>
        <v>0</v>
      </c>
      <c r="BJ769" s="55">
        <f t="shared" si="833"/>
        <v>0</v>
      </c>
    </row>
    <row r="770" spans="1:62" ht="12.75">
      <c r="A770" s="36" t="s">
        <v>1996</v>
      </c>
      <c r="B770" s="36" t="s">
        <v>61</v>
      </c>
      <c r="C770" s="36" t="s">
        <v>1017</v>
      </c>
      <c r="D770" s="36" t="s">
        <v>1328</v>
      </c>
      <c r="E770" s="36" t="s">
        <v>606</v>
      </c>
      <c r="F770" s="55">
        <f>'Stavební rozpočet'!F785</f>
        <v>0</v>
      </c>
      <c r="G770" s="55">
        <f>'Stavební rozpočet'!G785</f>
        <v>475</v>
      </c>
      <c r="H770" s="55">
        <f t="shared" si="808"/>
        <v>0</v>
      </c>
      <c r="I770" s="55">
        <f t="shared" si="809"/>
        <v>0</v>
      </c>
      <c r="J770" s="55">
        <f t="shared" si="810"/>
        <v>0</v>
      </c>
      <c r="K770" s="55">
        <f>'Stavební rozpočet'!K785</f>
        <v>0</v>
      </c>
      <c r="L770" s="55">
        <f t="shared" si="811"/>
        <v>0</v>
      </c>
      <c r="M770" s="51" t="s">
        <v>622</v>
      </c>
      <c r="Z770" s="29">
        <f t="shared" si="812"/>
        <v>0</v>
      </c>
      <c r="AB770" s="29">
        <f t="shared" si="813"/>
        <v>0</v>
      </c>
      <c r="AC770" s="29">
        <f t="shared" si="814"/>
        <v>0</v>
      </c>
      <c r="AD770" s="29">
        <f t="shared" si="815"/>
        <v>0</v>
      </c>
      <c r="AE770" s="29">
        <f t="shared" si="816"/>
        <v>0</v>
      </c>
      <c r="AF770" s="29">
        <f t="shared" si="817"/>
        <v>0</v>
      </c>
      <c r="AG770" s="29">
        <f t="shared" si="818"/>
        <v>0</v>
      </c>
      <c r="AH770" s="29">
        <f t="shared" si="819"/>
        <v>0</v>
      </c>
      <c r="AI770" s="48" t="s">
        <v>61</v>
      </c>
      <c r="AJ770" s="55">
        <f t="shared" si="820"/>
        <v>0</v>
      </c>
      <c r="AK770" s="55">
        <f t="shared" si="821"/>
        <v>0</v>
      </c>
      <c r="AL770" s="55">
        <f t="shared" si="822"/>
        <v>0</v>
      </c>
      <c r="AN770" s="29">
        <v>15</v>
      </c>
      <c r="AO770" s="29">
        <f t="shared" si="823"/>
        <v>0</v>
      </c>
      <c r="AP770" s="29">
        <f t="shared" si="824"/>
        <v>475</v>
      </c>
      <c r="AQ770" s="51" t="s">
        <v>85</v>
      </c>
      <c r="AV770" s="29">
        <f t="shared" si="825"/>
        <v>0</v>
      </c>
      <c r="AW770" s="29">
        <f t="shared" si="826"/>
        <v>0</v>
      </c>
      <c r="AX770" s="29">
        <f t="shared" si="827"/>
        <v>0</v>
      </c>
      <c r="AY770" s="54" t="s">
        <v>643</v>
      </c>
      <c r="AZ770" s="54" t="s">
        <v>1644</v>
      </c>
      <c r="BA770" s="48" t="s">
        <v>1649</v>
      </c>
      <c r="BC770" s="29">
        <f t="shared" si="828"/>
        <v>0</v>
      </c>
      <c r="BD770" s="29">
        <f t="shared" si="829"/>
        <v>475</v>
      </c>
      <c r="BE770" s="29">
        <v>0</v>
      </c>
      <c r="BF770" s="29">
        <f t="shared" si="830"/>
        <v>0</v>
      </c>
      <c r="BH770" s="55">
        <f t="shared" si="831"/>
        <v>0</v>
      </c>
      <c r="BI770" s="55">
        <f t="shared" si="832"/>
        <v>0</v>
      </c>
      <c r="BJ770" s="55">
        <f t="shared" si="833"/>
        <v>0</v>
      </c>
    </row>
    <row r="771" spans="1:62" ht="12.75">
      <c r="A771" s="36" t="s">
        <v>1997</v>
      </c>
      <c r="B771" s="36" t="s">
        <v>61</v>
      </c>
      <c r="C771" s="36" t="s">
        <v>1027</v>
      </c>
      <c r="D771" s="36" t="s">
        <v>1329</v>
      </c>
      <c r="E771" s="36" t="s">
        <v>609</v>
      </c>
      <c r="F771" s="55">
        <f>'Stavební rozpočet'!F786</f>
        <v>0</v>
      </c>
      <c r="G771" s="55">
        <f>'Stavební rozpočet'!G786</f>
        <v>90</v>
      </c>
      <c r="H771" s="55">
        <f t="shared" si="808"/>
        <v>0</v>
      </c>
      <c r="I771" s="55">
        <f t="shared" si="809"/>
        <v>0</v>
      </c>
      <c r="J771" s="55">
        <f t="shared" si="810"/>
        <v>0</v>
      </c>
      <c r="K771" s="55">
        <f>'Stavební rozpočet'!K786</f>
        <v>0</v>
      </c>
      <c r="L771" s="55">
        <f t="shared" si="811"/>
        <v>0</v>
      </c>
      <c r="M771" s="51" t="s">
        <v>622</v>
      </c>
      <c r="Z771" s="29">
        <f t="shared" si="812"/>
        <v>0</v>
      </c>
      <c r="AB771" s="29">
        <f t="shared" si="813"/>
        <v>0</v>
      </c>
      <c r="AC771" s="29">
        <f t="shared" si="814"/>
        <v>0</v>
      </c>
      <c r="AD771" s="29">
        <f t="shared" si="815"/>
        <v>0</v>
      </c>
      <c r="AE771" s="29">
        <f t="shared" si="816"/>
        <v>0</v>
      </c>
      <c r="AF771" s="29">
        <f t="shared" si="817"/>
        <v>0</v>
      </c>
      <c r="AG771" s="29">
        <f t="shared" si="818"/>
        <v>0</v>
      </c>
      <c r="AH771" s="29">
        <f t="shared" si="819"/>
        <v>0</v>
      </c>
      <c r="AI771" s="48" t="s">
        <v>61</v>
      </c>
      <c r="AJ771" s="55">
        <f t="shared" si="820"/>
        <v>0</v>
      </c>
      <c r="AK771" s="55">
        <f t="shared" si="821"/>
        <v>0</v>
      </c>
      <c r="AL771" s="55">
        <f t="shared" si="822"/>
        <v>0</v>
      </c>
      <c r="AN771" s="29">
        <v>15</v>
      </c>
      <c r="AO771" s="29">
        <f t="shared" si="823"/>
        <v>0</v>
      </c>
      <c r="AP771" s="29">
        <f t="shared" si="824"/>
        <v>90</v>
      </c>
      <c r="AQ771" s="51" t="s">
        <v>85</v>
      </c>
      <c r="AV771" s="29">
        <f t="shared" si="825"/>
        <v>0</v>
      </c>
      <c r="AW771" s="29">
        <f t="shared" si="826"/>
        <v>0</v>
      </c>
      <c r="AX771" s="29">
        <f t="shared" si="827"/>
        <v>0</v>
      </c>
      <c r="AY771" s="54" t="s">
        <v>643</v>
      </c>
      <c r="AZ771" s="54" t="s">
        <v>1644</v>
      </c>
      <c r="BA771" s="48" t="s">
        <v>1649</v>
      </c>
      <c r="BC771" s="29">
        <f t="shared" si="828"/>
        <v>0</v>
      </c>
      <c r="BD771" s="29">
        <f t="shared" si="829"/>
        <v>90</v>
      </c>
      <c r="BE771" s="29">
        <v>0</v>
      </c>
      <c r="BF771" s="29">
        <f t="shared" si="830"/>
        <v>0</v>
      </c>
      <c r="BH771" s="55">
        <f t="shared" si="831"/>
        <v>0</v>
      </c>
      <c r="BI771" s="55">
        <f t="shared" si="832"/>
        <v>0</v>
      </c>
      <c r="BJ771" s="55">
        <f t="shared" si="833"/>
        <v>0</v>
      </c>
    </row>
    <row r="772" spans="1:62" ht="12.75">
      <c r="A772" s="36" t="s">
        <v>1998</v>
      </c>
      <c r="B772" s="36" t="s">
        <v>61</v>
      </c>
      <c r="C772" s="36" t="s">
        <v>1028</v>
      </c>
      <c r="D772" s="36" t="s">
        <v>497</v>
      </c>
      <c r="E772" s="36" t="s">
        <v>611</v>
      </c>
      <c r="F772" s="55">
        <f>'Stavební rozpočet'!F787</f>
        <v>0</v>
      </c>
      <c r="G772" s="55">
        <f>'Stavební rozpočet'!G787</f>
        <v>249</v>
      </c>
      <c r="H772" s="55">
        <f t="shared" si="808"/>
        <v>0</v>
      </c>
      <c r="I772" s="55">
        <f t="shared" si="809"/>
        <v>0</v>
      </c>
      <c r="J772" s="55">
        <f t="shared" si="810"/>
        <v>0</v>
      </c>
      <c r="K772" s="55">
        <f>'Stavební rozpočet'!K787</f>
        <v>0</v>
      </c>
      <c r="L772" s="55">
        <f t="shared" si="811"/>
        <v>0</v>
      </c>
      <c r="M772" s="51" t="s">
        <v>622</v>
      </c>
      <c r="Z772" s="29">
        <f t="shared" si="812"/>
        <v>0</v>
      </c>
      <c r="AB772" s="29">
        <f t="shared" si="813"/>
        <v>0</v>
      </c>
      <c r="AC772" s="29">
        <f t="shared" si="814"/>
        <v>0</v>
      </c>
      <c r="AD772" s="29">
        <f t="shared" si="815"/>
        <v>0</v>
      </c>
      <c r="AE772" s="29">
        <f t="shared" si="816"/>
        <v>0</v>
      </c>
      <c r="AF772" s="29">
        <f t="shared" si="817"/>
        <v>0</v>
      </c>
      <c r="AG772" s="29">
        <f t="shared" si="818"/>
        <v>0</v>
      </c>
      <c r="AH772" s="29">
        <f t="shared" si="819"/>
        <v>0</v>
      </c>
      <c r="AI772" s="48" t="s">
        <v>61</v>
      </c>
      <c r="AJ772" s="55">
        <f t="shared" si="820"/>
        <v>0</v>
      </c>
      <c r="AK772" s="55">
        <f t="shared" si="821"/>
        <v>0</v>
      </c>
      <c r="AL772" s="55">
        <f t="shared" si="822"/>
        <v>0</v>
      </c>
      <c r="AN772" s="29">
        <v>15</v>
      </c>
      <c r="AO772" s="29">
        <f t="shared" si="823"/>
        <v>0</v>
      </c>
      <c r="AP772" s="29">
        <f t="shared" si="824"/>
        <v>249</v>
      </c>
      <c r="AQ772" s="51" t="s">
        <v>85</v>
      </c>
      <c r="AV772" s="29">
        <f t="shared" si="825"/>
        <v>0</v>
      </c>
      <c r="AW772" s="29">
        <f t="shared" si="826"/>
        <v>0</v>
      </c>
      <c r="AX772" s="29">
        <f t="shared" si="827"/>
        <v>0</v>
      </c>
      <c r="AY772" s="54" t="s">
        <v>643</v>
      </c>
      <c r="AZ772" s="54" t="s">
        <v>1644</v>
      </c>
      <c r="BA772" s="48" t="s">
        <v>1649</v>
      </c>
      <c r="BC772" s="29">
        <f t="shared" si="828"/>
        <v>0</v>
      </c>
      <c r="BD772" s="29">
        <f t="shared" si="829"/>
        <v>249.00000000000003</v>
      </c>
      <c r="BE772" s="29">
        <v>0</v>
      </c>
      <c r="BF772" s="29">
        <f t="shared" si="830"/>
        <v>0</v>
      </c>
      <c r="BH772" s="55">
        <f t="shared" si="831"/>
        <v>0</v>
      </c>
      <c r="BI772" s="55">
        <f t="shared" si="832"/>
        <v>0</v>
      </c>
      <c r="BJ772" s="55">
        <f t="shared" si="833"/>
        <v>0</v>
      </c>
    </row>
    <row r="773" spans="1:62" ht="12.75">
      <c r="A773" s="36" t="s">
        <v>1999</v>
      </c>
      <c r="B773" s="36" t="s">
        <v>61</v>
      </c>
      <c r="C773" s="36" t="s">
        <v>1035</v>
      </c>
      <c r="D773" s="36" t="s">
        <v>498</v>
      </c>
      <c r="E773" s="36" t="s">
        <v>606</v>
      </c>
      <c r="F773" s="55">
        <f>'Stavební rozpočet'!F788</f>
        <v>0</v>
      </c>
      <c r="G773" s="55">
        <f>'Stavební rozpočet'!G788</f>
        <v>200</v>
      </c>
      <c r="H773" s="55">
        <f t="shared" si="808"/>
        <v>0</v>
      </c>
      <c r="I773" s="55">
        <f t="shared" si="809"/>
        <v>0</v>
      </c>
      <c r="J773" s="55">
        <f t="shared" si="810"/>
        <v>0</v>
      </c>
      <c r="K773" s="55">
        <f>'Stavební rozpočet'!K788</f>
        <v>0</v>
      </c>
      <c r="L773" s="55">
        <f t="shared" si="811"/>
        <v>0</v>
      </c>
      <c r="M773" s="51" t="s">
        <v>622</v>
      </c>
      <c r="Z773" s="29">
        <f t="shared" si="812"/>
        <v>0</v>
      </c>
      <c r="AB773" s="29">
        <f t="shared" si="813"/>
        <v>0</v>
      </c>
      <c r="AC773" s="29">
        <f t="shared" si="814"/>
        <v>0</v>
      </c>
      <c r="AD773" s="29">
        <f t="shared" si="815"/>
        <v>0</v>
      </c>
      <c r="AE773" s="29">
        <f t="shared" si="816"/>
        <v>0</v>
      </c>
      <c r="AF773" s="29">
        <f t="shared" si="817"/>
        <v>0</v>
      </c>
      <c r="AG773" s="29">
        <f t="shared" si="818"/>
        <v>0</v>
      </c>
      <c r="AH773" s="29">
        <f t="shared" si="819"/>
        <v>0</v>
      </c>
      <c r="AI773" s="48" t="s">
        <v>61</v>
      </c>
      <c r="AJ773" s="55">
        <f t="shared" si="820"/>
        <v>0</v>
      </c>
      <c r="AK773" s="55">
        <f t="shared" si="821"/>
        <v>0</v>
      </c>
      <c r="AL773" s="55">
        <f t="shared" si="822"/>
        <v>0</v>
      </c>
      <c r="AN773" s="29">
        <v>15</v>
      </c>
      <c r="AO773" s="29">
        <f t="shared" si="823"/>
        <v>0</v>
      </c>
      <c r="AP773" s="29">
        <f t="shared" si="824"/>
        <v>200</v>
      </c>
      <c r="AQ773" s="51" t="s">
        <v>85</v>
      </c>
      <c r="AV773" s="29">
        <f t="shared" si="825"/>
        <v>0</v>
      </c>
      <c r="AW773" s="29">
        <f t="shared" si="826"/>
        <v>0</v>
      </c>
      <c r="AX773" s="29">
        <f t="shared" si="827"/>
        <v>0</v>
      </c>
      <c r="AY773" s="54" t="s">
        <v>643</v>
      </c>
      <c r="AZ773" s="54" t="s">
        <v>1644</v>
      </c>
      <c r="BA773" s="48" t="s">
        <v>1649</v>
      </c>
      <c r="BC773" s="29">
        <f t="shared" si="828"/>
        <v>0</v>
      </c>
      <c r="BD773" s="29">
        <f t="shared" si="829"/>
        <v>200</v>
      </c>
      <c r="BE773" s="29">
        <v>0</v>
      </c>
      <c r="BF773" s="29">
        <f t="shared" si="830"/>
        <v>0</v>
      </c>
      <c r="BH773" s="55">
        <f t="shared" si="831"/>
        <v>0</v>
      </c>
      <c r="BI773" s="55">
        <f t="shared" si="832"/>
        <v>0</v>
      </c>
      <c r="BJ773" s="55">
        <f t="shared" si="833"/>
        <v>0</v>
      </c>
    </row>
    <row r="774" spans="1:62" ht="12.75">
      <c r="A774" s="36" t="s">
        <v>2000</v>
      </c>
      <c r="B774" s="36" t="s">
        <v>61</v>
      </c>
      <c r="C774" s="36" t="s">
        <v>1036</v>
      </c>
      <c r="D774" s="36" t="s">
        <v>499</v>
      </c>
      <c r="E774" s="36" t="s">
        <v>606</v>
      </c>
      <c r="F774" s="55">
        <f>'Stavební rozpočet'!F789</f>
        <v>0</v>
      </c>
      <c r="G774" s="55">
        <f>'Stavební rozpočet'!G789</f>
        <v>200</v>
      </c>
      <c r="H774" s="55">
        <f t="shared" si="808"/>
        <v>0</v>
      </c>
      <c r="I774" s="55">
        <f t="shared" si="809"/>
        <v>0</v>
      </c>
      <c r="J774" s="55">
        <f t="shared" si="810"/>
        <v>0</v>
      </c>
      <c r="K774" s="55">
        <f>'Stavební rozpočet'!K789</f>
        <v>0</v>
      </c>
      <c r="L774" s="55">
        <f t="shared" si="811"/>
        <v>0</v>
      </c>
      <c r="M774" s="51" t="s">
        <v>622</v>
      </c>
      <c r="Z774" s="29">
        <f t="shared" si="812"/>
        <v>0</v>
      </c>
      <c r="AB774" s="29">
        <f t="shared" si="813"/>
        <v>0</v>
      </c>
      <c r="AC774" s="29">
        <f t="shared" si="814"/>
        <v>0</v>
      </c>
      <c r="AD774" s="29">
        <f t="shared" si="815"/>
        <v>0</v>
      </c>
      <c r="AE774" s="29">
        <f t="shared" si="816"/>
        <v>0</v>
      </c>
      <c r="AF774" s="29">
        <f t="shared" si="817"/>
        <v>0</v>
      </c>
      <c r="AG774" s="29">
        <f t="shared" si="818"/>
        <v>0</v>
      </c>
      <c r="AH774" s="29">
        <f t="shared" si="819"/>
        <v>0</v>
      </c>
      <c r="AI774" s="48" t="s">
        <v>61</v>
      </c>
      <c r="AJ774" s="55">
        <f t="shared" si="820"/>
        <v>0</v>
      </c>
      <c r="AK774" s="55">
        <f t="shared" si="821"/>
        <v>0</v>
      </c>
      <c r="AL774" s="55">
        <f t="shared" si="822"/>
        <v>0</v>
      </c>
      <c r="AN774" s="29">
        <v>15</v>
      </c>
      <c r="AO774" s="29">
        <f t="shared" si="823"/>
        <v>0</v>
      </c>
      <c r="AP774" s="29">
        <f t="shared" si="824"/>
        <v>200</v>
      </c>
      <c r="AQ774" s="51" t="s">
        <v>85</v>
      </c>
      <c r="AV774" s="29">
        <f t="shared" si="825"/>
        <v>0</v>
      </c>
      <c r="AW774" s="29">
        <f t="shared" si="826"/>
        <v>0</v>
      </c>
      <c r="AX774" s="29">
        <f t="shared" si="827"/>
        <v>0</v>
      </c>
      <c r="AY774" s="54" t="s">
        <v>643</v>
      </c>
      <c r="AZ774" s="54" t="s">
        <v>1644</v>
      </c>
      <c r="BA774" s="48" t="s">
        <v>1649</v>
      </c>
      <c r="BC774" s="29">
        <f t="shared" si="828"/>
        <v>0</v>
      </c>
      <c r="BD774" s="29">
        <f t="shared" si="829"/>
        <v>200</v>
      </c>
      <c r="BE774" s="29">
        <v>0</v>
      </c>
      <c r="BF774" s="29">
        <f t="shared" si="830"/>
        <v>0</v>
      </c>
      <c r="BH774" s="55">
        <f t="shared" si="831"/>
        <v>0</v>
      </c>
      <c r="BI774" s="55">
        <f t="shared" si="832"/>
        <v>0</v>
      </c>
      <c r="BJ774" s="55">
        <f t="shared" si="833"/>
        <v>0</v>
      </c>
    </row>
    <row r="775" spans="1:62" ht="12.75">
      <c r="A775" s="36" t="s">
        <v>2001</v>
      </c>
      <c r="B775" s="36" t="s">
        <v>61</v>
      </c>
      <c r="C775" s="36" t="s">
        <v>1037</v>
      </c>
      <c r="D775" s="36" t="s">
        <v>541</v>
      </c>
      <c r="E775" s="36" t="s">
        <v>606</v>
      </c>
      <c r="F775" s="55">
        <f>'Stavební rozpočet'!F790</f>
        <v>0</v>
      </c>
      <c r="G775" s="55">
        <f>'Stavební rozpočet'!G790</f>
        <v>250</v>
      </c>
      <c r="H775" s="55">
        <f t="shared" si="808"/>
        <v>0</v>
      </c>
      <c r="I775" s="55">
        <f t="shared" si="809"/>
        <v>0</v>
      </c>
      <c r="J775" s="55">
        <f t="shared" si="810"/>
        <v>0</v>
      </c>
      <c r="K775" s="55">
        <f>'Stavební rozpočet'!K790</f>
        <v>0</v>
      </c>
      <c r="L775" s="55">
        <f t="shared" si="811"/>
        <v>0</v>
      </c>
      <c r="M775" s="51" t="s">
        <v>622</v>
      </c>
      <c r="Z775" s="29">
        <f t="shared" si="812"/>
        <v>0</v>
      </c>
      <c r="AB775" s="29">
        <f t="shared" si="813"/>
        <v>0</v>
      </c>
      <c r="AC775" s="29">
        <f t="shared" si="814"/>
        <v>0</v>
      </c>
      <c r="AD775" s="29">
        <f t="shared" si="815"/>
        <v>0</v>
      </c>
      <c r="AE775" s="29">
        <f t="shared" si="816"/>
        <v>0</v>
      </c>
      <c r="AF775" s="29">
        <f t="shared" si="817"/>
        <v>0</v>
      </c>
      <c r="AG775" s="29">
        <f t="shared" si="818"/>
        <v>0</v>
      </c>
      <c r="AH775" s="29">
        <f t="shared" si="819"/>
        <v>0</v>
      </c>
      <c r="AI775" s="48" t="s">
        <v>61</v>
      </c>
      <c r="AJ775" s="55">
        <f t="shared" si="820"/>
        <v>0</v>
      </c>
      <c r="AK775" s="55">
        <f t="shared" si="821"/>
        <v>0</v>
      </c>
      <c r="AL775" s="55">
        <f t="shared" si="822"/>
        <v>0</v>
      </c>
      <c r="AN775" s="29">
        <v>15</v>
      </c>
      <c r="AO775" s="29">
        <f t="shared" si="823"/>
        <v>0</v>
      </c>
      <c r="AP775" s="29">
        <f t="shared" si="824"/>
        <v>250</v>
      </c>
      <c r="AQ775" s="51" t="s">
        <v>85</v>
      </c>
      <c r="AV775" s="29">
        <f t="shared" si="825"/>
        <v>0</v>
      </c>
      <c r="AW775" s="29">
        <f t="shared" si="826"/>
        <v>0</v>
      </c>
      <c r="AX775" s="29">
        <f t="shared" si="827"/>
        <v>0</v>
      </c>
      <c r="AY775" s="54" t="s">
        <v>643</v>
      </c>
      <c r="AZ775" s="54" t="s">
        <v>1644</v>
      </c>
      <c r="BA775" s="48" t="s">
        <v>1649</v>
      </c>
      <c r="BC775" s="29">
        <f t="shared" si="828"/>
        <v>0</v>
      </c>
      <c r="BD775" s="29">
        <f t="shared" si="829"/>
        <v>250</v>
      </c>
      <c r="BE775" s="29">
        <v>0</v>
      </c>
      <c r="BF775" s="29">
        <f t="shared" si="830"/>
        <v>0</v>
      </c>
      <c r="BH775" s="55">
        <f t="shared" si="831"/>
        <v>0</v>
      </c>
      <c r="BI775" s="55">
        <f t="shared" si="832"/>
        <v>0</v>
      </c>
      <c r="BJ775" s="55">
        <f t="shared" si="833"/>
        <v>0</v>
      </c>
    </row>
    <row r="776" spans="1:62" ht="12.75">
      <c r="A776" s="36" t="s">
        <v>2002</v>
      </c>
      <c r="B776" s="36" t="s">
        <v>61</v>
      </c>
      <c r="C776" s="36" t="s">
        <v>1580</v>
      </c>
      <c r="D776" s="36" t="s">
        <v>1331</v>
      </c>
      <c r="E776" s="36" t="s">
        <v>609</v>
      </c>
      <c r="F776" s="55">
        <f>'Stavební rozpočet'!F791</f>
        <v>0</v>
      </c>
      <c r="G776" s="55">
        <f>'Stavební rozpočet'!G791</f>
        <v>31.4</v>
      </c>
      <c r="H776" s="55">
        <f t="shared" si="808"/>
        <v>0</v>
      </c>
      <c r="I776" s="55">
        <f t="shared" si="809"/>
        <v>0</v>
      </c>
      <c r="J776" s="55">
        <f t="shared" si="810"/>
        <v>0</v>
      </c>
      <c r="K776" s="55">
        <f>'Stavební rozpočet'!K791</f>
        <v>0</v>
      </c>
      <c r="L776" s="55">
        <f t="shared" si="811"/>
        <v>0</v>
      </c>
      <c r="M776" s="51" t="s">
        <v>622</v>
      </c>
      <c r="Z776" s="29">
        <f t="shared" si="812"/>
        <v>0</v>
      </c>
      <c r="AB776" s="29">
        <f t="shared" si="813"/>
        <v>0</v>
      </c>
      <c r="AC776" s="29">
        <f t="shared" si="814"/>
        <v>0</v>
      </c>
      <c r="AD776" s="29">
        <f t="shared" si="815"/>
        <v>0</v>
      </c>
      <c r="AE776" s="29">
        <f t="shared" si="816"/>
        <v>0</v>
      </c>
      <c r="AF776" s="29">
        <f t="shared" si="817"/>
        <v>0</v>
      </c>
      <c r="AG776" s="29">
        <f t="shared" si="818"/>
        <v>0</v>
      </c>
      <c r="AH776" s="29">
        <f t="shared" si="819"/>
        <v>0</v>
      </c>
      <c r="AI776" s="48" t="s">
        <v>61</v>
      </c>
      <c r="AJ776" s="55">
        <f t="shared" si="820"/>
        <v>0</v>
      </c>
      <c r="AK776" s="55">
        <f t="shared" si="821"/>
        <v>0</v>
      </c>
      <c r="AL776" s="55">
        <f t="shared" si="822"/>
        <v>0</v>
      </c>
      <c r="AN776" s="29">
        <v>15</v>
      </c>
      <c r="AO776" s="29">
        <f t="shared" si="823"/>
        <v>0</v>
      </c>
      <c r="AP776" s="29">
        <f t="shared" si="824"/>
        <v>31.4</v>
      </c>
      <c r="AQ776" s="51" t="s">
        <v>85</v>
      </c>
      <c r="AV776" s="29">
        <f t="shared" si="825"/>
        <v>0</v>
      </c>
      <c r="AW776" s="29">
        <f t="shared" si="826"/>
        <v>0</v>
      </c>
      <c r="AX776" s="29">
        <f t="shared" si="827"/>
        <v>0</v>
      </c>
      <c r="AY776" s="54" t="s">
        <v>643</v>
      </c>
      <c r="AZ776" s="54" t="s">
        <v>1644</v>
      </c>
      <c r="BA776" s="48" t="s">
        <v>1649</v>
      </c>
      <c r="BC776" s="29">
        <f t="shared" si="828"/>
        <v>0</v>
      </c>
      <c r="BD776" s="29">
        <f t="shared" si="829"/>
        <v>31.4</v>
      </c>
      <c r="BE776" s="29">
        <v>0</v>
      </c>
      <c r="BF776" s="29">
        <f t="shared" si="830"/>
        <v>0</v>
      </c>
      <c r="BH776" s="55">
        <f t="shared" si="831"/>
        <v>0</v>
      </c>
      <c r="BI776" s="55">
        <f t="shared" si="832"/>
        <v>0</v>
      </c>
      <c r="BJ776" s="55">
        <f t="shared" si="833"/>
        <v>0</v>
      </c>
    </row>
    <row r="777" spans="1:62" ht="12.75">
      <c r="A777" s="36" t="s">
        <v>2003</v>
      </c>
      <c r="B777" s="36" t="s">
        <v>61</v>
      </c>
      <c r="C777" s="36" t="s">
        <v>1581</v>
      </c>
      <c r="D777" s="36" t="s">
        <v>1332</v>
      </c>
      <c r="E777" s="36" t="s">
        <v>609</v>
      </c>
      <c r="F777" s="55">
        <f>'Stavební rozpočet'!F792</f>
        <v>0</v>
      </c>
      <c r="G777" s="55">
        <f>'Stavební rozpočet'!G792</f>
        <v>21.3</v>
      </c>
      <c r="H777" s="55">
        <f t="shared" si="808"/>
        <v>0</v>
      </c>
      <c r="I777" s="55">
        <f t="shared" si="809"/>
        <v>0</v>
      </c>
      <c r="J777" s="55">
        <f t="shared" si="810"/>
        <v>0</v>
      </c>
      <c r="K777" s="55">
        <f>'Stavební rozpočet'!K792</f>
        <v>0</v>
      </c>
      <c r="L777" s="55">
        <f t="shared" si="811"/>
        <v>0</v>
      </c>
      <c r="M777" s="51" t="s">
        <v>622</v>
      </c>
      <c r="Z777" s="29">
        <f t="shared" si="812"/>
        <v>0</v>
      </c>
      <c r="AB777" s="29">
        <f t="shared" si="813"/>
        <v>0</v>
      </c>
      <c r="AC777" s="29">
        <f t="shared" si="814"/>
        <v>0</v>
      </c>
      <c r="AD777" s="29">
        <f t="shared" si="815"/>
        <v>0</v>
      </c>
      <c r="AE777" s="29">
        <f t="shared" si="816"/>
        <v>0</v>
      </c>
      <c r="AF777" s="29">
        <f t="shared" si="817"/>
        <v>0</v>
      </c>
      <c r="AG777" s="29">
        <f t="shared" si="818"/>
        <v>0</v>
      </c>
      <c r="AH777" s="29">
        <f t="shared" si="819"/>
        <v>0</v>
      </c>
      <c r="AI777" s="48" t="s">
        <v>61</v>
      </c>
      <c r="AJ777" s="55">
        <f t="shared" si="820"/>
        <v>0</v>
      </c>
      <c r="AK777" s="55">
        <f t="shared" si="821"/>
        <v>0</v>
      </c>
      <c r="AL777" s="55">
        <f t="shared" si="822"/>
        <v>0</v>
      </c>
      <c r="AN777" s="29">
        <v>15</v>
      </c>
      <c r="AO777" s="29">
        <f t="shared" si="823"/>
        <v>0</v>
      </c>
      <c r="AP777" s="29">
        <f t="shared" si="824"/>
        <v>21.3</v>
      </c>
      <c r="AQ777" s="51" t="s">
        <v>85</v>
      </c>
      <c r="AV777" s="29">
        <f t="shared" si="825"/>
        <v>0</v>
      </c>
      <c r="AW777" s="29">
        <f t="shared" si="826"/>
        <v>0</v>
      </c>
      <c r="AX777" s="29">
        <f t="shared" si="827"/>
        <v>0</v>
      </c>
      <c r="AY777" s="54" t="s">
        <v>643</v>
      </c>
      <c r="AZ777" s="54" t="s">
        <v>1644</v>
      </c>
      <c r="BA777" s="48" t="s">
        <v>1649</v>
      </c>
      <c r="BC777" s="29">
        <f t="shared" si="828"/>
        <v>0</v>
      </c>
      <c r="BD777" s="29">
        <f t="shared" si="829"/>
        <v>21.3</v>
      </c>
      <c r="BE777" s="29">
        <v>0</v>
      </c>
      <c r="BF777" s="29">
        <f t="shared" si="830"/>
        <v>0</v>
      </c>
      <c r="BH777" s="55">
        <f t="shared" si="831"/>
        <v>0</v>
      </c>
      <c r="BI777" s="55">
        <f t="shared" si="832"/>
        <v>0</v>
      </c>
      <c r="BJ777" s="55">
        <f t="shared" si="833"/>
        <v>0</v>
      </c>
    </row>
    <row r="778" spans="1:62" ht="12.75">
      <c r="A778" s="36" t="s">
        <v>2004</v>
      </c>
      <c r="B778" s="36" t="s">
        <v>61</v>
      </c>
      <c r="C778" s="36" t="s">
        <v>1582</v>
      </c>
      <c r="D778" s="36" t="s">
        <v>1333</v>
      </c>
      <c r="E778" s="36" t="s">
        <v>609</v>
      </c>
      <c r="F778" s="55">
        <f>'Stavební rozpočet'!F793</f>
        <v>0</v>
      </c>
      <c r="G778" s="55">
        <f>'Stavební rozpočet'!G793</f>
        <v>30</v>
      </c>
      <c r="H778" s="55">
        <f t="shared" si="808"/>
        <v>0</v>
      </c>
      <c r="I778" s="55">
        <f t="shared" si="809"/>
        <v>0</v>
      </c>
      <c r="J778" s="55">
        <f t="shared" si="810"/>
        <v>0</v>
      </c>
      <c r="K778" s="55">
        <f>'Stavební rozpočet'!K793</f>
        <v>0</v>
      </c>
      <c r="L778" s="55">
        <f t="shared" si="811"/>
        <v>0</v>
      </c>
      <c r="M778" s="51" t="s">
        <v>622</v>
      </c>
      <c r="Z778" s="29">
        <f t="shared" si="812"/>
        <v>0</v>
      </c>
      <c r="AB778" s="29">
        <f t="shared" si="813"/>
        <v>0</v>
      </c>
      <c r="AC778" s="29">
        <f t="shared" si="814"/>
        <v>0</v>
      </c>
      <c r="AD778" s="29">
        <f t="shared" si="815"/>
        <v>0</v>
      </c>
      <c r="AE778" s="29">
        <f t="shared" si="816"/>
        <v>0</v>
      </c>
      <c r="AF778" s="29">
        <f t="shared" si="817"/>
        <v>0</v>
      </c>
      <c r="AG778" s="29">
        <f t="shared" si="818"/>
        <v>0</v>
      </c>
      <c r="AH778" s="29">
        <f t="shared" si="819"/>
        <v>0</v>
      </c>
      <c r="AI778" s="48" t="s">
        <v>61</v>
      </c>
      <c r="AJ778" s="55">
        <f t="shared" si="820"/>
        <v>0</v>
      </c>
      <c r="AK778" s="55">
        <f t="shared" si="821"/>
        <v>0</v>
      </c>
      <c r="AL778" s="55">
        <f t="shared" si="822"/>
        <v>0</v>
      </c>
      <c r="AN778" s="29">
        <v>15</v>
      </c>
      <c r="AO778" s="29">
        <f t="shared" si="823"/>
        <v>0</v>
      </c>
      <c r="AP778" s="29">
        <f t="shared" si="824"/>
        <v>30</v>
      </c>
      <c r="AQ778" s="51" t="s">
        <v>85</v>
      </c>
      <c r="AV778" s="29">
        <f t="shared" si="825"/>
        <v>0</v>
      </c>
      <c r="AW778" s="29">
        <f t="shared" si="826"/>
        <v>0</v>
      </c>
      <c r="AX778" s="29">
        <f t="shared" si="827"/>
        <v>0</v>
      </c>
      <c r="AY778" s="54" t="s">
        <v>643</v>
      </c>
      <c r="AZ778" s="54" t="s">
        <v>1644</v>
      </c>
      <c r="BA778" s="48" t="s">
        <v>1649</v>
      </c>
      <c r="BC778" s="29">
        <f t="shared" si="828"/>
        <v>0</v>
      </c>
      <c r="BD778" s="29">
        <f t="shared" si="829"/>
        <v>30</v>
      </c>
      <c r="BE778" s="29">
        <v>0</v>
      </c>
      <c r="BF778" s="29">
        <f t="shared" si="830"/>
        <v>0</v>
      </c>
      <c r="BH778" s="55">
        <f t="shared" si="831"/>
        <v>0</v>
      </c>
      <c r="BI778" s="55">
        <f t="shared" si="832"/>
        <v>0</v>
      </c>
      <c r="BJ778" s="55">
        <f t="shared" si="833"/>
        <v>0</v>
      </c>
    </row>
    <row r="779" spans="1:62" ht="12.75">
      <c r="A779" s="36" t="s">
        <v>2005</v>
      </c>
      <c r="B779" s="36" t="s">
        <v>61</v>
      </c>
      <c r="C779" s="36" t="s">
        <v>1583</v>
      </c>
      <c r="D779" s="36" t="s">
        <v>489</v>
      </c>
      <c r="E779" s="36" t="s">
        <v>606</v>
      </c>
      <c r="F779" s="55">
        <f>'Stavební rozpočet'!F794</f>
        <v>0</v>
      </c>
      <c r="G779" s="55">
        <f>'Stavební rozpočet'!G794</f>
        <v>500</v>
      </c>
      <c r="H779" s="55">
        <f t="shared" si="808"/>
        <v>0</v>
      </c>
      <c r="I779" s="55">
        <f t="shared" si="809"/>
        <v>0</v>
      </c>
      <c r="J779" s="55">
        <f t="shared" si="810"/>
        <v>0</v>
      </c>
      <c r="K779" s="55">
        <f>'Stavební rozpočet'!K794</f>
        <v>0</v>
      </c>
      <c r="L779" s="55">
        <f t="shared" si="811"/>
        <v>0</v>
      </c>
      <c r="M779" s="51" t="s">
        <v>622</v>
      </c>
      <c r="Z779" s="29">
        <f t="shared" si="812"/>
        <v>0</v>
      </c>
      <c r="AB779" s="29">
        <f t="shared" si="813"/>
        <v>0</v>
      </c>
      <c r="AC779" s="29">
        <f t="shared" si="814"/>
        <v>0</v>
      </c>
      <c r="AD779" s="29">
        <f t="shared" si="815"/>
        <v>0</v>
      </c>
      <c r="AE779" s="29">
        <f t="shared" si="816"/>
        <v>0</v>
      </c>
      <c r="AF779" s="29">
        <f t="shared" si="817"/>
        <v>0</v>
      </c>
      <c r="AG779" s="29">
        <f t="shared" si="818"/>
        <v>0</v>
      </c>
      <c r="AH779" s="29">
        <f t="shared" si="819"/>
        <v>0</v>
      </c>
      <c r="AI779" s="48" t="s">
        <v>61</v>
      </c>
      <c r="AJ779" s="55">
        <f t="shared" si="820"/>
        <v>0</v>
      </c>
      <c r="AK779" s="55">
        <f t="shared" si="821"/>
        <v>0</v>
      </c>
      <c r="AL779" s="55">
        <f t="shared" si="822"/>
        <v>0</v>
      </c>
      <c r="AN779" s="29">
        <v>15</v>
      </c>
      <c r="AO779" s="29">
        <f t="shared" si="823"/>
        <v>0</v>
      </c>
      <c r="AP779" s="29">
        <f t="shared" si="824"/>
        <v>500</v>
      </c>
      <c r="AQ779" s="51" t="s">
        <v>85</v>
      </c>
      <c r="AV779" s="29">
        <f t="shared" si="825"/>
        <v>0</v>
      </c>
      <c r="AW779" s="29">
        <f t="shared" si="826"/>
        <v>0</v>
      </c>
      <c r="AX779" s="29">
        <f t="shared" si="827"/>
        <v>0</v>
      </c>
      <c r="AY779" s="54" t="s">
        <v>643</v>
      </c>
      <c r="AZ779" s="54" t="s">
        <v>1644</v>
      </c>
      <c r="BA779" s="48" t="s">
        <v>1649</v>
      </c>
      <c r="BC779" s="29">
        <f t="shared" si="828"/>
        <v>0</v>
      </c>
      <c r="BD779" s="29">
        <f t="shared" si="829"/>
        <v>500</v>
      </c>
      <c r="BE779" s="29">
        <v>0</v>
      </c>
      <c r="BF779" s="29">
        <f t="shared" si="830"/>
        <v>0</v>
      </c>
      <c r="BH779" s="55">
        <f t="shared" si="831"/>
        <v>0</v>
      </c>
      <c r="BI779" s="55">
        <f t="shared" si="832"/>
        <v>0</v>
      </c>
      <c r="BJ779" s="55">
        <f t="shared" si="833"/>
        <v>0</v>
      </c>
    </row>
    <row r="780" spans="1:62" ht="12.75">
      <c r="A780" s="36" t="s">
        <v>2006</v>
      </c>
      <c r="B780" s="36" t="s">
        <v>61</v>
      </c>
      <c r="C780" s="36" t="s">
        <v>1584</v>
      </c>
      <c r="D780" s="36" t="s">
        <v>490</v>
      </c>
      <c r="E780" s="36" t="s">
        <v>606</v>
      </c>
      <c r="F780" s="55">
        <f>'Stavební rozpočet'!F795</f>
        <v>0</v>
      </c>
      <c r="G780" s="55">
        <f>'Stavební rozpočet'!G795</f>
        <v>500</v>
      </c>
      <c r="H780" s="55">
        <f t="shared" si="808"/>
        <v>0</v>
      </c>
      <c r="I780" s="55">
        <f t="shared" si="809"/>
        <v>0</v>
      </c>
      <c r="J780" s="55">
        <f t="shared" si="810"/>
        <v>0</v>
      </c>
      <c r="K780" s="55">
        <f>'Stavební rozpočet'!K795</f>
        <v>0</v>
      </c>
      <c r="L780" s="55">
        <f t="shared" si="811"/>
        <v>0</v>
      </c>
      <c r="M780" s="51" t="s">
        <v>622</v>
      </c>
      <c r="Z780" s="29">
        <f t="shared" si="812"/>
        <v>0</v>
      </c>
      <c r="AB780" s="29">
        <f t="shared" si="813"/>
        <v>0</v>
      </c>
      <c r="AC780" s="29">
        <f t="shared" si="814"/>
        <v>0</v>
      </c>
      <c r="AD780" s="29">
        <f t="shared" si="815"/>
        <v>0</v>
      </c>
      <c r="AE780" s="29">
        <f t="shared" si="816"/>
        <v>0</v>
      </c>
      <c r="AF780" s="29">
        <f t="shared" si="817"/>
        <v>0</v>
      </c>
      <c r="AG780" s="29">
        <f t="shared" si="818"/>
        <v>0</v>
      </c>
      <c r="AH780" s="29">
        <f t="shared" si="819"/>
        <v>0</v>
      </c>
      <c r="AI780" s="48" t="s">
        <v>61</v>
      </c>
      <c r="AJ780" s="55">
        <f t="shared" si="820"/>
        <v>0</v>
      </c>
      <c r="AK780" s="55">
        <f t="shared" si="821"/>
        <v>0</v>
      </c>
      <c r="AL780" s="55">
        <f t="shared" si="822"/>
        <v>0</v>
      </c>
      <c r="AN780" s="29">
        <v>15</v>
      </c>
      <c r="AO780" s="29">
        <f t="shared" si="823"/>
        <v>0</v>
      </c>
      <c r="AP780" s="29">
        <f t="shared" si="824"/>
        <v>500</v>
      </c>
      <c r="AQ780" s="51" t="s">
        <v>85</v>
      </c>
      <c r="AV780" s="29">
        <f t="shared" si="825"/>
        <v>0</v>
      </c>
      <c r="AW780" s="29">
        <f t="shared" si="826"/>
        <v>0</v>
      </c>
      <c r="AX780" s="29">
        <f t="shared" si="827"/>
        <v>0</v>
      </c>
      <c r="AY780" s="54" t="s">
        <v>643</v>
      </c>
      <c r="AZ780" s="54" t="s">
        <v>1644</v>
      </c>
      <c r="BA780" s="48" t="s">
        <v>1649</v>
      </c>
      <c r="BC780" s="29">
        <f t="shared" si="828"/>
        <v>0</v>
      </c>
      <c r="BD780" s="29">
        <f t="shared" si="829"/>
        <v>500</v>
      </c>
      <c r="BE780" s="29">
        <v>0</v>
      </c>
      <c r="BF780" s="29">
        <f t="shared" si="830"/>
        <v>0</v>
      </c>
      <c r="BH780" s="55">
        <f t="shared" si="831"/>
        <v>0</v>
      </c>
      <c r="BI780" s="55">
        <f t="shared" si="832"/>
        <v>0</v>
      </c>
      <c r="BJ780" s="55">
        <f t="shared" si="833"/>
        <v>0</v>
      </c>
    </row>
    <row r="781" spans="1:62" ht="12.75">
      <c r="A781" s="36" t="s">
        <v>2007</v>
      </c>
      <c r="B781" s="36" t="s">
        <v>61</v>
      </c>
      <c r="C781" s="36" t="s">
        <v>1585</v>
      </c>
      <c r="D781" s="36" t="s">
        <v>491</v>
      </c>
      <c r="E781" s="36" t="s">
        <v>606</v>
      </c>
      <c r="F781" s="55">
        <f>'Stavební rozpočet'!F796</f>
        <v>0</v>
      </c>
      <c r="G781" s="55">
        <f>'Stavební rozpočet'!G796</f>
        <v>500</v>
      </c>
      <c r="H781" s="55">
        <f t="shared" si="808"/>
        <v>0</v>
      </c>
      <c r="I781" s="55">
        <f t="shared" si="809"/>
        <v>0</v>
      </c>
      <c r="J781" s="55">
        <f t="shared" si="810"/>
        <v>0</v>
      </c>
      <c r="K781" s="55">
        <f>'Stavební rozpočet'!K796</f>
        <v>0</v>
      </c>
      <c r="L781" s="55">
        <f t="shared" si="811"/>
        <v>0</v>
      </c>
      <c r="M781" s="51" t="s">
        <v>622</v>
      </c>
      <c r="Z781" s="29">
        <f t="shared" si="812"/>
        <v>0</v>
      </c>
      <c r="AB781" s="29">
        <f t="shared" si="813"/>
        <v>0</v>
      </c>
      <c r="AC781" s="29">
        <f t="shared" si="814"/>
        <v>0</v>
      </c>
      <c r="AD781" s="29">
        <f t="shared" si="815"/>
        <v>0</v>
      </c>
      <c r="AE781" s="29">
        <f t="shared" si="816"/>
        <v>0</v>
      </c>
      <c r="AF781" s="29">
        <f t="shared" si="817"/>
        <v>0</v>
      </c>
      <c r="AG781" s="29">
        <f t="shared" si="818"/>
        <v>0</v>
      </c>
      <c r="AH781" s="29">
        <f t="shared" si="819"/>
        <v>0</v>
      </c>
      <c r="AI781" s="48" t="s">
        <v>61</v>
      </c>
      <c r="AJ781" s="55">
        <f t="shared" si="820"/>
        <v>0</v>
      </c>
      <c r="AK781" s="55">
        <f t="shared" si="821"/>
        <v>0</v>
      </c>
      <c r="AL781" s="55">
        <f t="shared" si="822"/>
        <v>0</v>
      </c>
      <c r="AN781" s="29">
        <v>15</v>
      </c>
      <c r="AO781" s="29">
        <f t="shared" si="823"/>
        <v>0</v>
      </c>
      <c r="AP781" s="29">
        <f t="shared" si="824"/>
        <v>500</v>
      </c>
      <c r="AQ781" s="51" t="s">
        <v>85</v>
      </c>
      <c r="AV781" s="29">
        <f t="shared" si="825"/>
        <v>0</v>
      </c>
      <c r="AW781" s="29">
        <f t="shared" si="826"/>
        <v>0</v>
      </c>
      <c r="AX781" s="29">
        <f t="shared" si="827"/>
        <v>0</v>
      </c>
      <c r="AY781" s="54" t="s">
        <v>643</v>
      </c>
      <c r="AZ781" s="54" t="s">
        <v>1644</v>
      </c>
      <c r="BA781" s="48" t="s">
        <v>1649</v>
      </c>
      <c r="BC781" s="29">
        <f t="shared" si="828"/>
        <v>0</v>
      </c>
      <c r="BD781" s="29">
        <f t="shared" si="829"/>
        <v>500</v>
      </c>
      <c r="BE781" s="29">
        <v>0</v>
      </c>
      <c r="BF781" s="29">
        <f t="shared" si="830"/>
        <v>0</v>
      </c>
      <c r="BH781" s="55">
        <f t="shared" si="831"/>
        <v>0</v>
      </c>
      <c r="BI781" s="55">
        <f t="shared" si="832"/>
        <v>0</v>
      </c>
      <c r="BJ781" s="55">
        <f t="shared" si="833"/>
        <v>0</v>
      </c>
    </row>
    <row r="782" spans="1:62" ht="12.75">
      <c r="A782" s="36" t="s">
        <v>2008</v>
      </c>
      <c r="B782" s="36" t="s">
        <v>61</v>
      </c>
      <c r="C782" s="36" t="s">
        <v>1586</v>
      </c>
      <c r="D782" s="36" t="s">
        <v>492</v>
      </c>
      <c r="E782" s="36" t="s">
        <v>606</v>
      </c>
      <c r="F782" s="55">
        <f>'Stavební rozpočet'!F797</f>
        <v>0</v>
      </c>
      <c r="G782" s="55">
        <f>'Stavební rozpočet'!G797</f>
        <v>500</v>
      </c>
      <c r="H782" s="55">
        <f t="shared" si="808"/>
        <v>0</v>
      </c>
      <c r="I782" s="55">
        <f t="shared" si="809"/>
        <v>0</v>
      </c>
      <c r="J782" s="55">
        <f t="shared" si="810"/>
        <v>0</v>
      </c>
      <c r="K782" s="55">
        <f>'Stavební rozpočet'!K797</f>
        <v>0</v>
      </c>
      <c r="L782" s="55">
        <f t="shared" si="811"/>
        <v>0</v>
      </c>
      <c r="M782" s="51" t="s">
        <v>622</v>
      </c>
      <c r="Z782" s="29">
        <f t="shared" si="812"/>
        <v>0</v>
      </c>
      <c r="AB782" s="29">
        <f t="shared" si="813"/>
        <v>0</v>
      </c>
      <c r="AC782" s="29">
        <f t="shared" si="814"/>
        <v>0</v>
      </c>
      <c r="AD782" s="29">
        <f t="shared" si="815"/>
        <v>0</v>
      </c>
      <c r="AE782" s="29">
        <f t="shared" si="816"/>
        <v>0</v>
      </c>
      <c r="AF782" s="29">
        <f t="shared" si="817"/>
        <v>0</v>
      </c>
      <c r="AG782" s="29">
        <f t="shared" si="818"/>
        <v>0</v>
      </c>
      <c r="AH782" s="29">
        <f t="shared" si="819"/>
        <v>0</v>
      </c>
      <c r="AI782" s="48" t="s">
        <v>61</v>
      </c>
      <c r="AJ782" s="55">
        <f t="shared" si="820"/>
        <v>0</v>
      </c>
      <c r="AK782" s="55">
        <f t="shared" si="821"/>
        <v>0</v>
      </c>
      <c r="AL782" s="55">
        <f t="shared" si="822"/>
        <v>0</v>
      </c>
      <c r="AN782" s="29">
        <v>15</v>
      </c>
      <c r="AO782" s="29">
        <f t="shared" si="823"/>
        <v>0</v>
      </c>
      <c r="AP782" s="29">
        <f t="shared" si="824"/>
        <v>500</v>
      </c>
      <c r="AQ782" s="51" t="s">
        <v>85</v>
      </c>
      <c r="AV782" s="29">
        <f t="shared" si="825"/>
        <v>0</v>
      </c>
      <c r="AW782" s="29">
        <f t="shared" si="826"/>
        <v>0</v>
      </c>
      <c r="AX782" s="29">
        <f t="shared" si="827"/>
        <v>0</v>
      </c>
      <c r="AY782" s="54" t="s">
        <v>643</v>
      </c>
      <c r="AZ782" s="54" t="s">
        <v>1644</v>
      </c>
      <c r="BA782" s="48" t="s">
        <v>1649</v>
      </c>
      <c r="BC782" s="29">
        <f t="shared" si="828"/>
        <v>0</v>
      </c>
      <c r="BD782" s="29">
        <f t="shared" si="829"/>
        <v>500</v>
      </c>
      <c r="BE782" s="29">
        <v>0</v>
      </c>
      <c r="BF782" s="29">
        <f t="shared" si="830"/>
        <v>0</v>
      </c>
      <c r="BH782" s="55">
        <f t="shared" si="831"/>
        <v>0</v>
      </c>
      <c r="BI782" s="55">
        <f t="shared" si="832"/>
        <v>0</v>
      </c>
      <c r="BJ782" s="55">
        <f t="shared" si="833"/>
        <v>0</v>
      </c>
    </row>
    <row r="783" spans="1:62" ht="12.75">
      <c r="A783" s="36" t="s">
        <v>2009</v>
      </c>
      <c r="B783" s="36" t="s">
        <v>61</v>
      </c>
      <c r="C783" s="36" t="s">
        <v>1587</v>
      </c>
      <c r="D783" s="36" t="s">
        <v>493</v>
      </c>
      <c r="E783" s="36" t="s">
        <v>606</v>
      </c>
      <c r="F783" s="55">
        <f>'Stavební rozpočet'!F798</f>
        <v>0</v>
      </c>
      <c r="G783" s="55">
        <f>'Stavební rozpočet'!G798</f>
        <v>500</v>
      </c>
      <c r="H783" s="55">
        <f t="shared" si="808"/>
        <v>0</v>
      </c>
      <c r="I783" s="55">
        <f t="shared" si="809"/>
        <v>0</v>
      </c>
      <c r="J783" s="55">
        <f t="shared" si="810"/>
        <v>0</v>
      </c>
      <c r="K783" s="55">
        <f>'Stavební rozpočet'!K798</f>
        <v>0</v>
      </c>
      <c r="L783" s="55">
        <f t="shared" si="811"/>
        <v>0</v>
      </c>
      <c r="M783" s="51" t="s">
        <v>622</v>
      </c>
      <c r="Z783" s="29">
        <f t="shared" si="812"/>
        <v>0</v>
      </c>
      <c r="AB783" s="29">
        <f t="shared" si="813"/>
        <v>0</v>
      </c>
      <c r="AC783" s="29">
        <f t="shared" si="814"/>
        <v>0</v>
      </c>
      <c r="AD783" s="29">
        <f t="shared" si="815"/>
        <v>0</v>
      </c>
      <c r="AE783" s="29">
        <f t="shared" si="816"/>
        <v>0</v>
      </c>
      <c r="AF783" s="29">
        <f t="shared" si="817"/>
        <v>0</v>
      </c>
      <c r="AG783" s="29">
        <f t="shared" si="818"/>
        <v>0</v>
      </c>
      <c r="AH783" s="29">
        <f t="shared" si="819"/>
        <v>0</v>
      </c>
      <c r="AI783" s="48" t="s">
        <v>61</v>
      </c>
      <c r="AJ783" s="55">
        <f t="shared" si="820"/>
        <v>0</v>
      </c>
      <c r="AK783" s="55">
        <f t="shared" si="821"/>
        <v>0</v>
      </c>
      <c r="AL783" s="55">
        <f t="shared" si="822"/>
        <v>0</v>
      </c>
      <c r="AN783" s="29">
        <v>15</v>
      </c>
      <c r="AO783" s="29">
        <f t="shared" si="823"/>
        <v>0</v>
      </c>
      <c r="AP783" s="29">
        <f t="shared" si="824"/>
        <v>500</v>
      </c>
      <c r="AQ783" s="51" t="s">
        <v>85</v>
      </c>
      <c r="AV783" s="29">
        <f t="shared" si="825"/>
        <v>0</v>
      </c>
      <c r="AW783" s="29">
        <f t="shared" si="826"/>
        <v>0</v>
      </c>
      <c r="AX783" s="29">
        <f t="shared" si="827"/>
        <v>0</v>
      </c>
      <c r="AY783" s="54" t="s">
        <v>643</v>
      </c>
      <c r="AZ783" s="54" t="s">
        <v>1644</v>
      </c>
      <c r="BA783" s="48" t="s">
        <v>1649</v>
      </c>
      <c r="BC783" s="29">
        <f t="shared" si="828"/>
        <v>0</v>
      </c>
      <c r="BD783" s="29">
        <f t="shared" si="829"/>
        <v>500</v>
      </c>
      <c r="BE783" s="29">
        <v>0</v>
      </c>
      <c r="BF783" s="29">
        <f t="shared" si="830"/>
        <v>0</v>
      </c>
      <c r="BH783" s="55">
        <f t="shared" si="831"/>
        <v>0</v>
      </c>
      <c r="BI783" s="55">
        <f t="shared" si="832"/>
        <v>0</v>
      </c>
      <c r="BJ783" s="55">
        <f t="shared" si="833"/>
        <v>0</v>
      </c>
    </row>
    <row r="784" spans="1:47" ht="12.75">
      <c r="A784" s="35"/>
      <c r="B784" s="42" t="s">
        <v>61</v>
      </c>
      <c r="C784" s="42" t="s">
        <v>314</v>
      </c>
      <c r="D784" s="42" t="s">
        <v>503</v>
      </c>
      <c r="E784" s="35" t="s">
        <v>57</v>
      </c>
      <c r="F784" s="35" t="s">
        <v>57</v>
      </c>
      <c r="G784" s="35" t="s">
        <v>57</v>
      </c>
      <c r="H784" s="59">
        <f>SUM(H785:H788)</f>
        <v>0</v>
      </c>
      <c r="I784" s="59">
        <f>SUM(I785:I788)</f>
        <v>0</v>
      </c>
      <c r="J784" s="59">
        <f>SUM(J785:J788)</f>
        <v>0</v>
      </c>
      <c r="K784" s="48"/>
      <c r="L784" s="59">
        <f>SUM(L785:L788)</f>
        <v>0</v>
      </c>
      <c r="M784" s="48"/>
      <c r="AI784" s="48" t="s">
        <v>61</v>
      </c>
      <c r="AS784" s="59">
        <f>SUM(AJ785:AJ788)</f>
        <v>0</v>
      </c>
      <c r="AT784" s="59">
        <f>SUM(AK785:AK788)</f>
        <v>0</v>
      </c>
      <c r="AU784" s="59">
        <f>SUM(AL785:AL788)</f>
        <v>0</v>
      </c>
    </row>
    <row r="785" spans="1:62" ht="12.75">
      <c r="A785" s="36" t="s">
        <v>2010</v>
      </c>
      <c r="B785" s="36" t="s">
        <v>61</v>
      </c>
      <c r="C785" s="36" t="s">
        <v>179</v>
      </c>
      <c r="D785" s="36" t="s">
        <v>1626</v>
      </c>
      <c r="E785" s="36" t="s">
        <v>606</v>
      </c>
      <c r="F785" s="55">
        <f>'Stavební rozpočet'!F800</f>
        <v>0</v>
      </c>
      <c r="G785" s="55">
        <f>'Stavební rozpočet'!G800</f>
        <v>350</v>
      </c>
      <c r="H785" s="55">
        <f>F785*AO785</f>
        <v>0</v>
      </c>
      <c r="I785" s="55">
        <f>F785*AP785</f>
        <v>0</v>
      </c>
      <c r="J785" s="55">
        <f>F785*G785</f>
        <v>0</v>
      </c>
      <c r="K785" s="55">
        <f>'Stavební rozpočet'!K800</f>
        <v>0</v>
      </c>
      <c r="L785" s="55">
        <f>F785*K785</f>
        <v>0</v>
      </c>
      <c r="M785" s="51" t="s">
        <v>622</v>
      </c>
      <c r="Z785" s="29">
        <f>IF(AQ785="5",BJ785,0)</f>
        <v>0</v>
      </c>
      <c r="AB785" s="29">
        <f>IF(AQ785="1",BH785,0)</f>
        <v>0</v>
      </c>
      <c r="AC785" s="29">
        <f>IF(AQ785="1",BI785,0)</f>
        <v>0</v>
      </c>
      <c r="AD785" s="29">
        <f>IF(AQ785="7",BH785,0)</f>
        <v>0</v>
      </c>
      <c r="AE785" s="29">
        <f>IF(AQ785="7",BI785,0)</f>
        <v>0</v>
      </c>
      <c r="AF785" s="29">
        <f>IF(AQ785="2",BH785,0)</f>
        <v>0</v>
      </c>
      <c r="AG785" s="29">
        <f>IF(AQ785="2",BI785,0)</f>
        <v>0</v>
      </c>
      <c r="AH785" s="29">
        <f>IF(AQ785="0",BJ785,0)</f>
        <v>0</v>
      </c>
      <c r="AI785" s="48" t="s">
        <v>61</v>
      </c>
      <c r="AJ785" s="55">
        <f>IF(AN785=0,J785,0)</f>
        <v>0</v>
      </c>
      <c r="AK785" s="55">
        <f>IF(AN785=15,J785,0)</f>
        <v>0</v>
      </c>
      <c r="AL785" s="55">
        <f>IF(AN785=21,J785,0)</f>
        <v>0</v>
      </c>
      <c r="AN785" s="29">
        <v>15</v>
      </c>
      <c r="AO785" s="29">
        <f>G785*0</f>
        <v>0</v>
      </c>
      <c r="AP785" s="29">
        <f>G785*(1-0)</f>
        <v>350</v>
      </c>
      <c r="AQ785" s="51" t="s">
        <v>85</v>
      </c>
      <c r="AV785" s="29">
        <f>AW785+AX785</f>
        <v>0</v>
      </c>
      <c r="AW785" s="29">
        <f>F785*AO785</f>
        <v>0</v>
      </c>
      <c r="AX785" s="29">
        <f>F785*AP785</f>
        <v>0</v>
      </c>
      <c r="AY785" s="54" t="s">
        <v>644</v>
      </c>
      <c r="AZ785" s="54" t="s">
        <v>1644</v>
      </c>
      <c r="BA785" s="48" t="s">
        <v>1649</v>
      </c>
      <c r="BC785" s="29">
        <f>AW785+AX785</f>
        <v>0</v>
      </c>
      <c r="BD785" s="29">
        <f>G785/(100-BE785)*100</f>
        <v>350</v>
      </c>
      <c r="BE785" s="29">
        <v>0</v>
      </c>
      <c r="BF785" s="29">
        <f>L785</f>
        <v>0</v>
      </c>
      <c r="BH785" s="55">
        <f>F785*AO785</f>
        <v>0</v>
      </c>
      <c r="BI785" s="55">
        <f>F785*AP785</f>
        <v>0</v>
      </c>
      <c r="BJ785" s="55">
        <f>F785*G785</f>
        <v>0</v>
      </c>
    </row>
    <row r="786" spans="1:62" ht="12.75">
      <c r="A786" s="36" t="s">
        <v>2011</v>
      </c>
      <c r="B786" s="36" t="s">
        <v>61</v>
      </c>
      <c r="C786" s="36" t="s">
        <v>180</v>
      </c>
      <c r="D786" s="36" t="s">
        <v>505</v>
      </c>
      <c r="E786" s="36" t="s">
        <v>609</v>
      </c>
      <c r="F786" s="55">
        <f>'Stavební rozpočet'!F801</f>
        <v>0</v>
      </c>
      <c r="G786" s="55">
        <f>'Stavební rozpočet'!G801</f>
        <v>50</v>
      </c>
      <c r="H786" s="55">
        <f>F786*AO786</f>
        <v>0</v>
      </c>
      <c r="I786" s="55">
        <f>F786*AP786</f>
        <v>0</v>
      </c>
      <c r="J786" s="55">
        <f>F786*G786</f>
        <v>0</v>
      </c>
      <c r="K786" s="55">
        <f>'Stavební rozpočet'!K801</f>
        <v>0</v>
      </c>
      <c r="L786" s="55">
        <f>F786*K786</f>
        <v>0</v>
      </c>
      <c r="M786" s="51" t="s">
        <v>622</v>
      </c>
      <c r="Z786" s="29">
        <f>IF(AQ786="5",BJ786,0)</f>
        <v>0</v>
      </c>
      <c r="AB786" s="29">
        <f>IF(AQ786="1",BH786,0)</f>
        <v>0</v>
      </c>
      <c r="AC786" s="29">
        <f>IF(AQ786="1",BI786,0)</f>
        <v>0</v>
      </c>
      <c r="AD786" s="29">
        <f>IF(AQ786="7",BH786,0)</f>
        <v>0</v>
      </c>
      <c r="AE786" s="29">
        <f>IF(AQ786="7",BI786,0)</f>
        <v>0</v>
      </c>
      <c r="AF786" s="29">
        <f>IF(AQ786="2",BH786,0)</f>
        <v>0</v>
      </c>
      <c r="AG786" s="29">
        <f>IF(AQ786="2",BI786,0)</f>
        <v>0</v>
      </c>
      <c r="AH786" s="29">
        <f>IF(AQ786="0",BJ786,0)</f>
        <v>0</v>
      </c>
      <c r="AI786" s="48" t="s">
        <v>61</v>
      </c>
      <c r="AJ786" s="55">
        <f>IF(AN786=0,J786,0)</f>
        <v>0</v>
      </c>
      <c r="AK786" s="55">
        <f>IF(AN786=15,J786,0)</f>
        <v>0</v>
      </c>
      <c r="AL786" s="55">
        <f>IF(AN786=21,J786,0)</f>
        <v>0</v>
      </c>
      <c r="AN786" s="29">
        <v>15</v>
      </c>
      <c r="AO786" s="29">
        <f>G786*0</f>
        <v>0</v>
      </c>
      <c r="AP786" s="29">
        <f>G786*(1-0)</f>
        <v>50</v>
      </c>
      <c r="AQ786" s="51" t="s">
        <v>85</v>
      </c>
      <c r="AV786" s="29">
        <f>AW786+AX786</f>
        <v>0</v>
      </c>
      <c r="AW786" s="29">
        <f>F786*AO786</f>
        <v>0</v>
      </c>
      <c r="AX786" s="29">
        <f>F786*AP786</f>
        <v>0</v>
      </c>
      <c r="AY786" s="54" t="s">
        <v>644</v>
      </c>
      <c r="AZ786" s="54" t="s">
        <v>1644</v>
      </c>
      <c r="BA786" s="48" t="s">
        <v>1649</v>
      </c>
      <c r="BC786" s="29">
        <f>AW786+AX786</f>
        <v>0</v>
      </c>
      <c r="BD786" s="29">
        <f>G786/(100-BE786)*100</f>
        <v>50</v>
      </c>
      <c r="BE786" s="29">
        <v>0</v>
      </c>
      <c r="BF786" s="29">
        <f>L786</f>
        <v>0</v>
      </c>
      <c r="BH786" s="55">
        <f>F786*AO786</f>
        <v>0</v>
      </c>
      <c r="BI786" s="55">
        <f>F786*AP786</f>
        <v>0</v>
      </c>
      <c r="BJ786" s="55">
        <f>F786*G786</f>
        <v>0</v>
      </c>
    </row>
    <row r="787" spans="1:62" ht="12.75">
      <c r="A787" s="36" t="s">
        <v>2012</v>
      </c>
      <c r="B787" s="36" t="s">
        <v>61</v>
      </c>
      <c r="C787" s="36" t="s">
        <v>315</v>
      </c>
      <c r="D787" s="36" t="s">
        <v>501</v>
      </c>
      <c r="E787" s="36" t="s">
        <v>611</v>
      </c>
      <c r="F787" s="55">
        <f>'Stavební rozpočet'!F802</f>
        <v>0</v>
      </c>
      <c r="G787" s="55">
        <f>'Stavební rozpočet'!G802</f>
        <v>100</v>
      </c>
      <c r="H787" s="55">
        <f>F787*AO787</f>
        <v>0</v>
      </c>
      <c r="I787" s="55">
        <f>F787*AP787</f>
        <v>0</v>
      </c>
      <c r="J787" s="55">
        <f>F787*G787</f>
        <v>0</v>
      </c>
      <c r="K787" s="55">
        <f>'Stavební rozpočet'!K802</f>
        <v>0</v>
      </c>
      <c r="L787" s="55">
        <f>F787*K787</f>
        <v>0</v>
      </c>
      <c r="M787" s="51" t="s">
        <v>622</v>
      </c>
      <c r="Z787" s="29">
        <f>IF(AQ787="5",BJ787,0)</f>
        <v>0</v>
      </c>
      <c r="AB787" s="29">
        <f>IF(AQ787="1",BH787,0)</f>
        <v>0</v>
      </c>
      <c r="AC787" s="29">
        <f>IF(AQ787="1",BI787,0)</f>
        <v>0</v>
      </c>
      <c r="AD787" s="29">
        <f>IF(AQ787="7",BH787,0)</f>
        <v>0</v>
      </c>
      <c r="AE787" s="29">
        <f>IF(AQ787="7",BI787,0)</f>
        <v>0</v>
      </c>
      <c r="AF787" s="29">
        <f>IF(AQ787="2",BH787,0)</f>
        <v>0</v>
      </c>
      <c r="AG787" s="29">
        <f>IF(AQ787="2",BI787,0)</f>
        <v>0</v>
      </c>
      <c r="AH787" s="29">
        <f>IF(AQ787="0",BJ787,0)</f>
        <v>0</v>
      </c>
      <c r="AI787" s="48" t="s">
        <v>61</v>
      </c>
      <c r="AJ787" s="55">
        <f>IF(AN787=0,J787,0)</f>
        <v>0</v>
      </c>
      <c r="AK787" s="55">
        <f>IF(AN787=15,J787,0)</f>
        <v>0</v>
      </c>
      <c r="AL787" s="55">
        <f>IF(AN787=21,J787,0)</f>
        <v>0</v>
      </c>
      <c r="AN787" s="29">
        <v>15</v>
      </c>
      <c r="AO787" s="29">
        <f>G787*0</f>
        <v>0</v>
      </c>
      <c r="AP787" s="29">
        <f>G787*(1-0)</f>
        <v>100</v>
      </c>
      <c r="AQ787" s="51" t="s">
        <v>85</v>
      </c>
      <c r="AV787" s="29">
        <f>AW787+AX787</f>
        <v>0</v>
      </c>
      <c r="AW787" s="29">
        <f>F787*AO787</f>
        <v>0</v>
      </c>
      <c r="AX787" s="29">
        <f>F787*AP787</f>
        <v>0</v>
      </c>
      <c r="AY787" s="54" t="s">
        <v>644</v>
      </c>
      <c r="AZ787" s="54" t="s">
        <v>1644</v>
      </c>
      <c r="BA787" s="48" t="s">
        <v>1649</v>
      </c>
      <c r="BC787" s="29">
        <f>AW787+AX787</f>
        <v>0</v>
      </c>
      <c r="BD787" s="29">
        <f>G787/(100-BE787)*100</f>
        <v>100</v>
      </c>
      <c r="BE787" s="29">
        <v>0</v>
      </c>
      <c r="BF787" s="29">
        <f>L787</f>
        <v>0</v>
      </c>
      <c r="BH787" s="55">
        <f>F787*AO787</f>
        <v>0</v>
      </c>
      <c r="BI787" s="55">
        <f>F787*AP787</f>
        <v>0</v>
      </c>
      <c r="BJ787" s="55">
        <f>F787*G787</f>
        <v>0</v>
      </c>
    </row>
    <row r="788" spans="1:62" ht="12.75">
      <c r="A788" s="36" t="s">
        <v>290</v>
      </c>
      <c r="B788" s="36" t="s">
        <v>61</v>
      </c>
      <c r="C788" s="36" t="s">
        <v>316</v>
      </c>
      <c r="D788" s="36" t="s">
        <v>497</v>
      </c>
      <c r="E788" s="36" t="s">
        <v>611</v>
      </c>
      <c r="F788" s="55">
        <f>'Stavební rozpočet'!F803</f>
        <v>0</v>
      </c>
      <c r="G788" s="55">
        <f>'Stavební rozpočet'!G803</f>
        <v>250</v>
      </c>
      <c r="H788" s="55">
        <f>F788*AO788</f>
        <v>0</v>
      </c>
      <c r="I788" s="55">
        <f>F788*AP788</f>
        <v>0</v>
      </c>
      <c r="J788" s="55">
        <f>F788*G788</f>
        <v>0</v>
      </c>
      <c r="K788" s="55">
        <f>'Stavební rozpočet'!K803</f>
        <v>0</v>
      </c>
      <c r="L788" s="55">
        <f>F788*K788</f>
        <v>0</v>
      </c>
      <c r="M788" s="51" t="s">
        <v>622</v>
      </c>
      <c r="Z788" s="29">
        <f>IF(AQ788="5",BJ788,0)</f>
        <v>0</v>
      </c>
      <c r="AB788" s="29">
        <f>IF(AQ788="1",BH788,0)</f>
        <v>0</v>
      </c>
      <c r="AC788" s="29">
        <f>IF(AQ788="1",BI788,0)</f>
        <v>0</v>
      </c>
      <c r="AD788" s="29">
        <f>IF(AQ788="7",BH788,0)</f>
        <v>0</v>
      </c>
      <c r="AE788" s="29">
        <f>IF(AQ788="7",BI788,0)</f>
        <v>0</v>
      </c>
      <c r="AF788" s="29">
        <f>IF(AQ788="2",BH788,0)</f>
        <v>0</v>
      </c>
      <c r="AG788" s="29">
        <f>IF(AQ788="2",BI788,0)</f>
        <v>0</v>
      </c>
      <c r="AH788" s="29">
        <f>IF(AQ788="0",BJ788,0)</f>
        <v>0</v>
      </c>
      <c r="AI788" s="48" t="s">
        <v>61</v>
      </c>
      <c r="AJ788" s="55">
        <f>IF(AN788=0,J788,0)</f>
        <v>0</v>
      </c>
      <c r="AK788" s="55">
        <f>IF(AN788=15,J788,0)</f>
        <v>0</v>
      </c>
      <c r="AL788" s="55">
        <f>IF(AN788=21,J788,0)</f>
        <v>0</v>
      </c>
      <c r="AN788" s="29">
        <v>15</v>
      </c>
      <c r="AO788" s="29">
        <f>G788*0</f>
        <v>0</v>
      </c>
      <c r="AP788" s="29">
        <f>G788*(1-0)</f>
        <v>250</v>
      </c>
      <c r="AQ788" s="51" t="s">
        <v>85</v>
      </c>
      <c r="AV788" s="29">
        <f>AW788+AX788</f>
        <v>0</v>
      </c>
      <c r="AW788" s="29">
        <f>F788*AO788</f>
        <v>0</v>
      </c>
      <c r="AX788" s="29">
        <f>F788*AP788</f>
        <v>0</v>
      </c>
      <c r="AY788" s="54" t="s">
        <v>644</v>
      </c>
      <c r="AZ788" s="54" t="s">
        <v>1644</v>
      </c>
      <c r="BA788" s="48" t="s">
        <v>1649</v>
      </c>
      <c r="BC788" s="29">
        <f>AW788+AX788</f>
        <v>0</v>
      </c>
      <c r="BD788" s="29">
        <f>G788/(100-BE788)*100</f>
        <v>250</v>
      </c>
      <c r="BE788" s="29">
        <v>0</v>
      </c>
      <c r="BF788" s="29">
        <f>L788</f>
        <v>0</v>
      </c>
      <c r="BH788" s="55">
        <f>F788*AO788</f>
        <v>0</v>
      </c>
      <c r="BI788" s="55">
        <f>F788*AP788</f>
        <v>0</v>
      </c>
      <c r="BJ788" s="55">
        <f>F788*G788</f>
        <v>0</v>
      </c>
    </row>
    <row r="789" spans="1:47" ht="12.75">
      <c r="A789" s="35"/>
      <c r="B789" s="42" t="s">
        <v>61</v>
      </c>
      <c r="C789" s="42" t="s">
        <v>317</v>
      </c>
      <c r="D789" s="42" t="s">
        <v>506</v>
      </c>
      <c r="E789" s="35" t="s">
        <v>57</v>
      </c>
      <c r="F789" s="35" t="s">
        <v>57</v>
      </c>
      <c r="G789" s="35" t="s">
        <v>57</v>
      </c>
      <c r="H789" s="59">
        <f>SUM(H790:H832)</f>
        <v>0</v>
      </c>
      <c r="I789" s="59">
        <f>SUM(I790:I832)</f>
        <v>0</v>
      </c>
      <c r="J789" s="59">
        <f>SUM(J790:J832)</f>
        <v>0</v>
      </c>
      <c r="K789" s="48"/>
      <c r="L789" s="59">
        <f>SUM(L790:L832)</f>
        <v>0</v>
      </c>
      <c r="M789" s="48"/>
      <c r="AI789" s="48" t="s">
        <v>61</v>
      </c>
      <c r="AS789" s="59">
        <f>SUM(AJ790:AJ832)</f>
        <v>0</v>
      </c>
      <c r="AT789" s="59">
        <f>SUM(AK790:AK832)</f>
        <v>0</v>
      </c>
      <c r="AU789" s="59">
        <f>SUM(AL790:AL832)</f>
        <v>0</v>
      </c>
    </row>
    <row r="790" spans="1:62" ht="12.75">
      <c r="A790" s="36" t="s">
        <v>301</v>
      </c>
      <c r="B790" s="36" t="s">
        <v>61</v>
      </c>
      <c r="C790" s="36" t="s">
        <v>318</v>
      </c>
      <c r="D790" s="36" t="s">
        <v>1627</v>
      </c>
      <c r="E790" s="36" t="s">
        <v>609</v>
      </c>
      <c r="F790" s="55">
        <f>'Stavební rozpočet'!F805</f>
        <v>0</v>
      </c>
      <c r="G790" s="55">
        <f>'Stavební rozpočet'!G805</f>
        <v>25</v>
      </c>
      <c r="H790" s="55">
        <f aca="true" t="shared" si="834" ref="H790:H832">F790*AO790</f>
        <v>0</v>
      </c>
      <c r="I790" s="55">
        <f aca="true" t="shared" si="835" ref="I790:I832">F790*AP790</f>
        <v>0</v>
      </c>
      <c r="J790" s="55">
        <f aca="true" t="shared" si="836" ref="J790:J832">F790*G790</f>
        <v>0</v>
      </c>
      <c r="K790" s="55">
        <f>'Stavební rozpočet'!K805</f>
        <v>0</v>
      </c>
      <c r="L790" s="55">
        <f aca="true" t="shared" si="837" ref="L790:L832">F790*K790</f>
        <v>0</v>
      </c>
      <c r="M790" s="51" t="s">
        <v>622</v>
      </c>
      <c r="Z790" s="29">
        <f aca="true" t="shared" si="838" ref="Z790:Z832">IF(AQ790="5",BJ790,0)</f>
        <v>0</v>
      </c>
      <c r="AB790" s="29">
        <f aca="true" t="shared" si="839" ref="AB790:AB832">IF(AQ790="1",BH790,0)</f>
        <v>0</v>
      </c>
      <c r="AC790" s="29">
        <f aca="true" t="shared" si="840" ref="AC790:AC832">IF(AQ790="1",BI790,0)</f>
        <v>0</v>
      </c>
      <c r="AD790" s="29">
        <f aca="true" t="shared" si="841" ref="AD790:AD832">IF(AQ790="7",BH790,0)</f>
        <v>0</v>
      </c>
      <c r="AE790" s="29">
        <f aca="true" t="shared" si="842" ref="AE790:AE832">IF(AQ790="7",BI790,0)</f>
        <v>0</v>
      </c>
      <c r="AF790" s="29">
        <f aca="true" t="shared" si="843" ref="AF790:AF832">IF(AQ790="2",BH790,0)</f>
        <v>0</v>
      </c>
      <c r="AG790" s="29">
        <f aca="true" t="shared" si="844" ref="AG790:AG832">IF(AQ790="2",BI790,0)</f>
        <v>0</v>
      </c>
      <c r="AH790" s="29">
        <f aca="true" t="shared" si="845" ref="AH790:AH832">IF(AQ790="0",BJ790,0)</f>
        <v>0</v>
      </c>
      <c r="AI790" s="48" t="s">
        <v>61</v>
      </c>
      <c r="AJ790" s="55">
        <f aca="true" t="shared" si="846" ref="AJ790:AJ832">IF(AN790=0,J790,0)</f>
        <v>0</v>
      </c>
      <c r="AK790" s="55">
        <f aca="true" t="shared" si="847" ref="AK790:AK832">IF(AN790=15,J790,0)</f>
        <v>0</v>
      </c>
      <c r="AL790" s="55">
        <f aca="true" t="shared" si="848" ref="AL790:AL832">IF(AN790=21,J790,0)</f>
        <v>0</v>
      </c>
      <c r="AN790" s="29">
        <v>15</v>
      </c>
      <c r="AO790" s="29">
        <f aca="true" t="shared" si="849" ref="AO790:AO832">G790*0</f>
        <v>0</v>
      </c>
      <c r="AP790" s="29">
        <f aca="true" t="shared" si="850" ref="AP790:AP832">G790*(1-0)</f>
        <v>25</v>
      </c>
      <c r="AQ790" s="51" t="s">
        <v>85</v>
      </c>
      <c r="AV790" s="29">
        <f aca="true" t="shared" si="851" ref="AV790:AV832">AW790+AX790</f>
        <v>0</v>
      </c>
      <c r="AW790" s="29">
        <f aca="true" t="shared" si="852" ref="AW790:AW832">F790*AO790</f>
        <v>0</v>
      </c>
      <c r="AX790" s="29">
        <f aca="true" t="shared" si="853" ref="AX790:AX832">F790*AP790</f>
        <v>0</v>
      </c>
      <c r="AY790" s="54" t="s">
        <v>645</v>
      </c>
      <c r="AZ790" s="54" t="s">
        <v>1645</v>
      </c>
      <c r="BA790" s="48" t="s">
        <v>1649</v>
      </c>
      <c r="BC790" s="29">
        <f aca="true" t="shared" si="854" ref="BC790:BC832">AW790+AX790</f>
        <v>0</v>
      </c>
      <c r="BD790" s="29">
        <f aca="true" t="shared" si="855" ref="BD790:BD832">G790/(100-BE790)*100</f>
        <v>25</v>
      </c>
      <c r="BE790" s="29">
        <v>0</v>
      </c>
      <c r="BF790" s="29">
        <f aca="true" t="shared" si="856" ref="BF790:BF832">L790</f>
        <v>0</v>
      </c>
      <c r="BH790" s="55">
        <f aca="true" t="shared" si="857" ref="BH790:BH832">F790*AO790</f>
        <v>0</v>
      </c>
      <c r="BI790" s="55">
        <f aca="true" t="shared" si="858" ref="BI790:BI832">F790*AP790</f>
        <v>0</v>
      </c>
      <c r="BJ790" s="55">
        <f aca="true" t="shared" si="859" ref="BJ790:BJ832">F790*G790</f>
        <v>0</v>
      </c>
    </row>
    <row r="791" spans="1:62" ht="12.75">
      <c r="A791" s="36" t="s">
        <v>2013</v>
      </c>
      <c r="B791" s="36" t="s">
        <v>61</v>
      </c>
      <c r="C791" s="36" t="s">
        <v>319</v>
      </c>
      <c r="D791" s="36" t="s">
        <v>1628</v>
      </c>
      <c r="E791" s="36" t="s">
        <v>606</v>
      </c>
      <c r="F791" s="55">
        <f>'Stavební rozpočet'!F806</f>
        <v>0</v>
      </c>
      <c r="G791" s="55">
        <f>'Stavební rozpočet'!G806</f>
        <v>100</v>
      </c>
      <c r="H791" s="55">
        <f t="shared" si="834"/>
        <v>0</v>
      </c>
      <c r="I791" s="55">
        <f t="shared" si="835"/>
        <v>0</v>
      </c>
      <c r="J791" s="55">
        <f t="shared" si="836"/>
        <v>0</v>
      </c>
      <c r="K791" s="55">
        <f>'Stavební rozpočet'!K806</f>
        <v>0</v>
      </c>
      <c r="L791" s="55">
        <f t="shared" si="837"/>
        <v>0</v>
      </c>
      <c r="M791" s="51" t="s">
        <v>622</v>
      </c>
      <c r="Z791" s="29">
        <f t="shared" si="838"/>
        <v>0</v>
      </c>
      <c r="AB791" s="29">
        <f t="shared" si="839"/>
        <v>0</v>
      </c>
      <c r="AC791" s="29">
        <f t="shared" si="840"/>
        <v>0</v>
      </c>
      <c r="AD791" s="29">
        <f t="shared" si="841"/>
        <v>0</v>
      </c>
      <c r="AE791" s="29">
        <f t="shared" si="842"/>
        <v>0</v>
      </c>
      <c r="AF791" s="29">
        <f t="shared" si="843"/>
        <v>0</v>
      </c>
      <c r="AG791" s="29">
        <f t="shared" si="844"/>
        <v>0</v>
      </c>
      <c r="AH791" s="29">
        <f t="shared" si="845"/>
        <v>0</v>
      </c>
      <c r="AI791" s="48" t="s">
        <v>61</v>
      </c>
      <c r="AJ791" s="55">
        <f t="shared" si="846"/>
        <v>0</v>
      </c>
      <c r="AK791" s="55">
        <f t="shared" si="847"/>
        <v>0</v>
      </c>
      <c r="AL791" s="55">
        <f t="shared" si="848"/>
        <v>0</v>
      </c>
      <c r="AN791" s="29">
        <v>15</v>
      </c>
      <c r="AO791" s="29">
        <f t="shared" si="849"/>
        <v>0</v>
      </c>
      <c r="AP791" s="29">
        <f t="shared" si="850"/>
        <v>100</v>
      </c>
      <c r="AQ791" s="51" t="s">
        <v>85</v>
      </c>
      <c r="AV791" s="29">
        <f t="shared" si="851"/>
        <v>0</v>
      </c>
      <c r="AW791" s="29">
        <f t="shared" si="852"/>
        <v>0</v>
      </c>
      <c r="AX791" s="29">
        <f t="shared" si="853"/>
        <v>0</v>
      </c>
      <c r="AY791" s="54" t="s">
        <v>645</v>
      </c>
      <c r="AZ791" s="54" t="s">
        <v>1645</v>
      </c>
      <c r="BA791" s="48" t="s">
        <v>1649</v>
      </c>
      <c r="BC791" s="29">
        <f t="shared" si="854"/>
        <v>0</v>
      </c>
      <c r="BD791" s="29">
        <f t="shared" si="855"/>
        <v>100</v>
      </c>
      <c r="BE791" s="29">
        <v>0</v>
      </c>
      <c r="BF791" s="29">
        <f t="shared" si="856"/>
        <v>0</v>
      </c>
      <c r="BH791" s="55">
        <f t="shared" si="857"/>
        <v>0</v>
      </c>
      <c r="BI791" s="55">
        <f t="shared" si="858"/>
        <v>0</v>
      </c>
      <c r="BJ791" s="55">
        <f t="shared" si="859"/>
        <v>0</v>
      </c>
    </row>
    <row r="792" spans="1:62" ht="12.75">
      <c r="A792" s="36" t="s">
        <v>2014</v>
      </c>
      <c r="B792" s="36" t="s">
        <v>61</v>
      </c>
      <c r="C792" s="36" t="s">
        <v>320</v>
      </c>
      <c r="D792" s="36" t="s">
        <v>509</v>
      </c>
      <c r="E792" s="36" t="s">
        <v>609</v>
      </c>
      <c r="F792" s="55">
        <f>'Stavební rozpočet'!F807</f>
        <v>0</v>
      </c>
      <c r="G792" s="55">
        <f>'Stavební rozpočet'!G807</f>
        <v>96</v>
      </c>
      <c r="H792" s="55">
        <f t="shared" si="834"/>
        <v>0</v>
      </c>
      <c r="I792" s="55">
        <f t="shared" si="835"/>
        <v>0</v>
      </c>
      <c r="J792" s="55">
        <f t="shared" si="836"/>
        <v>0</v>
      </c>
      <c r="K792" s="55">
        <f>'Stavební rozpočet'!K807</f>
        <v>0</v>
      </c>
      <c r="L792" s="55">
        <f t="shared" si="837"/>
        <v>0</v>
      </c>
      <c r="M792" s="51" t="s">
        <v>622</v>
      </c>
      <c r="Z792" s="29">
        <f t="shared" si="838"/>
        <v>0</v>
      </c>
      <c r="AB792" s="29">
        <f t="shared" si="839"/>
        <v>0</v>
      </c>
      <c r="AC792" s="29">
        <f t="shared" si="840"/>
        <v>0</v>
      </c>
      <c r="AD792" s="29">
        <f t="shared" si="841"/>
        <v>0</v>
      </c>
      <c r="AE792" s="29">
        <f t="shared" si="842"/>
        <v>0</v>
      </c>
      <c r="AF792" s="29">
        <f t="shared" si="843"/>
        <v>0</v>
      </c>
      <c r="AG792" s="29">
        <f t="shared" si="844"/>
        <v>0</v>
      </c>
      <c r="AH792" s="29">
        <f t="shared" si="845"/>
        <v>0</v>
      </c>
      <c r="AI792" s="48" t="s">
        <v>61</v>
      </c>
      <c r="AJ792" s="55">
        <f t="shared" si="846"/>
        <v>0</v>
      </c>
      <c r="AK792" s="55">
        <f t="shared" si="847"/>
        <v>0</v>
      </c>
      <c r="AL792" s="55">
        <f t="shared" si="848"/>
        <v>0</v>
      </c>
      <c r="AN792" s="29">
        <v>15</v>
      </c>
      <c r="AO792" s="29">
        <f t="shared" si="849"/>
        <v>0</v>
      </c>
      <c r="AP792" s="29">
        <f t="shared" si="850"/>
        <v>96</v>
      </c>
      <c r="AQ792" s="51" t="s">
        <v>85</v>
      </c>
      <c r="AV792" s="29">
        <f t="shared" si="851"/>
        <v>0</v>
      </c>
      <c r="AW792" s="29">
        <f t="shared" si="852"/>
        <v>0</v>
      </c>
      <c r="AX792" s="29">
        <f t="shared" si="853"/>
        <v>0</v>
      </c>
      <c r="AY792" s="54" t="s">
        <v>645</v>
      </c>
      <c r="AZ792" s="54" t="s">
        <v>1645</v>
      </c>
      <c r="BA792" s="48" t="s">
        <v>1649</v>
      </c>
      <c r="BC792" s="29">
        <f t="shared" si="854"/>
        <v>0</v>
      </c>
      <c r="BD792" s="29">
        <f t="shared" si="855"/>
        <v>96</v>
      </c>
      <c r="BE792" s="29">
        <v>0</v>
      </c>
      <c r="BF792" s="29">
        <f t="shared" si="856"/>
        <v>0</v>
      </c>
      <c r="BH792" s="55">
        <f t="shared" si="857"/>
        <v>0</v>
      </c>
      <c r="BI792" s="55">
        <f t="shared" si="858"/>
        <v>0</v>
      </c>
      <c r="BJ792" s="55">
        <f t="shared" si="859"/>
        <v>0</v>
      </c>
    </row>
    <row r="793" spans="1:62" ht="12.75">
      <c r="A793" s="36" t="s">
        <v>2015</v>
      </c>
      <c r="B793" s="36" t="s">
        <v>61</v>
      </c>
      <c r="C793" s="36" t="s">
        <v>321</v>
      </c>
      <c r="D793" s="36" t="s">
        <v>510</v>
      </c>
      <c r="E793" s="36" t="s">
        <v>609</v>
      </c>
      <c r="F793" s="55">
        <f>'Stavební rozpočet'!F808</f>
        <v>0</v>
      </c>
      <c r="G793" s="55">
        <f>'Stavební rozpočet'!G808</f>
        <v>125</v>
      </c>
      <c r="H793" s="55">
        <f t="shared" si="834"/>
        <v>0</v>
      </c>
      <c r="I793" s="55">
        <f t="shared" si="835"/>
        <v>0</v>
      </c>
      <c r="J793" s="55">
        <f t="shared" si="836"/>
        <v>0</v>
      </c>
      <c r="K793" s="55">
        <f>'Stavební rozpočet'!K808</f>
        <v>0</v>
      </c>
      <c r="L793" s="55">
        <f t="shared" si="837"/>
        <v>0</v>
      </c>
      <c r="M793" s="51" t="s">
        <v>622</v>
      </c>
      <c r="Z793" s="29">
        <f t="shared" si="838"/>
        <v>0</v>
      </c>
      <c r="AB793" s="29">
        <f t="shared" si="839"/>
        <v>0</v>
      </c>
      <c r="AC793" s="29">
        <f t="shared" si="840"/>
        <v>0</v>
      </c>
      <c r="AD793" s="29">
        <f t="shared" si="841"/>
        <v>0</v>
      </c>
      <c r="AE793" s="29">
        <f t="shared" si="842"/>
        <v>0</v>
      </c>
      <c r="AF793" s="29">
        <f t="shared" si="843"/>
        <v>0</v>
      </c>
      <c r="AG793" s="29">
        <f t="shared" si="844"/>
        <v>0</v>
      </c>
      <c r="AH793" s="29">
        <f t="shared" si="845"/>
        <v>0</v>
      </c>
      <c r="AI793" s="48" t="s">
        <v>61</v>
      </c>
      <c r="AJ793" s="55">
        <f t="shared" si="846"/>
        <v>0</v>
      </c>
      <c r="AK793" s="55">
        <f t="shared" si="847"/>
        <v>0</v>
      </c>
      <c r="AL793" s="55">
        <f t="shared" si="848"/>
        <v>0</v>
      </c>
      <c r="AN793" s="29">
        <v>15</v>
      </c>
      <c r="AO793" s="29">
        <f t="shared" si="849"/>
        <v>0</v>
      </c>
      <c r="AP793" s="29">
        <f t="shared" si="850"/>
        <v>125</v>
      </c>
      <c r="AQ793" s="51" t="s">
        <v>85</v>
      </c>
      <c r="AV793" s="29">
        <f t="shared" si="851"/>
        <v>0</v>
      </c>
      <c r="AW793" s="29">
        <f t="shared" si="852"/>
        <v>0</v>
      </c>
      <c r="AX793" s="29">
        <f t="shared" si="853"/>
        <v>0</v>
      </c>
      <c r="AY793" s="54" t="s">
        <v>645</v>
      </c>
      <c r="AZ793" s="54" t="s">
        <v>1645</v>
      </c>
      <c r="BA793" s="48" t="s">
        <v>1649</v>
      </c>
      <c r="BC793" s="29">
        <f t="shared" si="854"/>
        <v>0</v>
      </c>
      <c r="BD793" s="29">
        <f t="shared" si="855"/>
        <v>125</v>
      </c>
      <c r="BE793" s="29">
        <v>0</v>
      </c>
      <c r="BF793" s="29">
        <f t="shared" si="856"/>
        <v>0</v>
      </c>
      <c r="BH793" s="55">
        <f t="shared" si="857"/>
        <v>0</v>
      </c>
      <c r="BI793" s="55">
        <f t="shared" si="858"/>
        <v>0</v>
      </c>
      <c r="BJ793" s="55">
        <f t="shared" si="859"/>
        <v>0</v>
      </c>
    </row>
    <row r="794" spans="1:62" ht="12.75">
      <c r="A794" s="36" t="s">
        <v>2016</v>
      </c>
      <c r="B794" s="36" t="s">
        <v>61</v>
      </c>
      <c r="C794" s="36" t="s">
        <v>322</v>
      </c>
      <c r="D794" s="36" t="s">
        <v>1373</v>
      </c>
      <c r="E794" s="36" t="s">
        <v>609</v>
      </c>
      <c r="F794" s="55">
        <f>'Stavební rozpočet'!F809</f>
        <v>0</v>
      </c>
      <c r="G794" s="55">
        <f>'Stavební rozpočet'!G809</f>
        <v>155</v>
      </c>
      <c r="H794" s="55">
        <f t="shared" si="834"/>
        <v>0</v>
      </c>
      <c r="I794" s="55">
        <f t="shared" si="835"/>
        <v>0</v>
      </c>
      <c r="J794" s="55">
        <f t="shared" si="836"/>
        <v>0</v>
      </c>
      <c r="K794" s="55">
        <f>'Stavební rozpočet'!K809</f>
        <v>0</v>
      </c>
      <c r="L794" s="55">
        <f t="shared" si="837"/>
        <v>0</v>
      </c>
      <c r="M794" s="51" t="s">
        <v>622</v>
      </c>
      <c r="Z794" s="29">
        <f t="shared" si="838"/>
        <v>0</v>
      </c>
      <c r="AB794" s="29">
        <f t="shared" si="839"/>
        <v>0</v>
      </c>
      <c r="AC794" s="29">
        <f t="shared" si="840"/>
        <v>0</v>
      </c>
      <c r="AD794" s="29">
        <f t="shared" si="841"/>
        <v>0</v>
      </c>
      <c r="AE794" s="29">
        <f t="shared" si="842"/>
        <v>0</v>
      </c>
      <c r="AF794" s="29">
        <f t="shared" si="843"/>
        <v>0</v>
      </c>
      <c r="AG794" s="29">
        <f t="shared" si="844"/>
        <v>0</v>
      </c>
      <c r="AH794" s="29">
        <f t="shared" si="845"/>
        <v>0</v>
      </c>
      <c r="AI794" s="48" t="s">
        <v>61</v>
      </c>
      <c r="AJ794" s="55">
        <f t="shared" si="846"/>
        <v>0</v>
      </c>
      <c r="AK794" s="55">
        <f t="shared" si="847"/>
        <v>0</v>
      </c>
      <c r="AL794" s="55">
        <f t="shared" si="848"/>
        <v>0</v>
      </c>
      <c r="AN794" s="29">
        <v>15</v>
      </c>
      <c r="AO794" s="29">
        <f t="shared" si="849"/>
        <v>0</v>
      </c>
      <c r="AP794" s="29">
        <f t="shared" si="850"/>
        <v>155</v>
      </c>
      <c r="AQ794" s="51" t="s">
        <v>85</v>
      </c>
      <c r="AV794" s="29">
        <f t="shared" si="851"/>
        <v>0</v>
      </c>
      <c r="AW794" s="29">
        <f t="shared" si="852"/>
        <v>0</v>
      </c>
      <c r="AX794" s="29">
        <f t="shared" si="853"/>
        <v>0</v>
      </c>
      <c r="AY794" s="54" t="s">
        <v>645</v>
      </c>
      <c r="AZ794" s="54" t="s">
        <v>1645</v>
      </c>
      <c r="BA794" s="48" t="s">
        <v>1649</v>
      </c>
      <c r="BC794" s="29">
        <f t="shared" si="854"/>
        <v>0</v>
      </c>
      <c r="BD794" s="29">
        <f t="shared" si="855"/>
        <v>155</v>
      </c>
      <c r="BE794" s="29">
        <v>0</v>
      </c>
      <c r="BF794" s="29">
        <f t="shared" si="856"/>
        <v>0</v>
      </c>
      <c r="BH794" s="55">
        <f t="shared" si="857"/>
        <v>0</v>
      </c>
      <c r="BI794" s="55">
        <f t="shared" si="858"/>
        <v>0</v>
      </c>
      <c r="BJ794" s="55">
        <f t="shared" si="859"/>
        <v>0</v>
      </c>
    </row>
    <row r="795" spans="1:62" ht="12.75">
      <c r="A795" s="36" t="s">
        <v>2017</v>
      </c>
      <c r="B795" s="36" t="s">
        <v>61</v>
      </c>
      <c r="C795" s="36" t="s">
        <v>323</v>
      </c>
      <c r="D795" s="36" t="s">
        <v>1374</v>
      </c>
      <c r="E795" s="36" t="s">
        <v>609</v>
      </c>
      <c r="F795" s="55">
        <f>'Stavební rozpočet'!F810</f>
        <v>0</v>
      </c>
      <c r="G795" s="55">
        <f>'Stavební rozpočet'!G810</f>
        <v>280</v>
      </c>
      <c r="H795" s="55">
        <f t="shared" si="834"/>
        <v>0</v>
      </c>
      <c r="I795" s="55">
        <f t="shared" si="835"/>
        <v>0</v>
      </c>
      <c r="J795" s="55">
        <f t="shared" si="836"/>
        <v>0</v>
      </c>
      <c r="K795" s="55">
        <f>'Stavební rozpočet'!K810</f>
        <v>0</v>
      </c>
      <c r="L795" s="55">
        <f t="shared" si="837"/>
        <v>0</v>
      </c>
      <c r="M795" s="51" t="s">
        <v>622</v>
      </c>
      <c r="Z795" s="29">
        <f t="shared" si="838"/>
        <v>0</v>
      </c>
      <c r="AB795" s="29">
        <f t="shared" si="839"/>
        <v>0</v>
      </c>
      <c r="AC795" s="29">
        <f t="shared" si="840"/>
        <v>0</v>
      </c>
      <c r="AD795" s="29">
        <f t="shared" si="841"/>
        <v>0</v>
      </c>
      <c r="AE795" s="29">
        <f t="shared" si="842"/>
        <v>0</v>
      </c>
      <c r="AF795" s="29">
        <f t="shared" si="843"/>
        <v>0</v>
      </c>
      <c r="AG795" s="29">
        <f t="shared" si="844"/>
        <v>0</v>
      </c>
      <c r="AH795" s="29">
        <f t="shared" si="845"/>
        <v>0</v>
      </c>
      <c r="AI795" s="48" t="s">
        <v>61</v>
      </c>
      <c r="AJ795" s="55">
        <f t="shared" si="846"/>
        <v>0</v>
      </c>
      <c r="AK795" s="55">
        <f t="shared" si="847"/>
        <v>0</v>
      </c>
      <c r="AL795" s="55">
        <f t="shared" si="848"/>
        <v>0</v>
      </c>
      <c r="AN795" s="29">
        <v>15</v>
      </c>
      <c r="AO795" s="29">
        <f t="shared" si="849"/>
        <v>0</v>
      </c>
      <c r="AP795" s="29">
        <f t="shared" si="850"/>
        <v>280</v>
      </c>
      <c r="AQ795" s="51" t="s">
        <v>85</v>
      </c>
      <c r="AV795" s="29">
        <f t="shared" si="851"/>
        <v>0</v>
      </c>
      <c r="AW795" s="29">
        <f t="shared" si="852"/>
        <v>0</v>
      </c>
      <c r="AX795" s="29">
        <f t="shared" si="853"/>
        <v>0</v>
      </c>
      <c r="AY795" s="54" t="s">
        <v>645</v>
      </c>
      <c r="AZ795" s="54" t="s">
        <v>1645</v>
      </c>
      <c r="BA795" s="48" t="s">
        <v>1649</v>
      </c>
      <c r="BC795" s="29">
        <f t="shared" si="854"/>
        <v>0</v>
      </c>
      <c r="BD795" s="29">
        <f t="shared" si="855"/>
        <v>280</v>
      </c>
      <c r="BE795" s="29">
        <v>0</v>
      </c>
      <c r="BF795" s="29">
        <f t="shared" si="856"/>
        <v>0</v>
      </c>
      <c r="BH795" s="55">
        <f t="shared" si="857"/>
        <v>0</v>
      </c>
      <c r="BI795" s="55">
        <f t="shared" si="858"/>
        <v>0</v>
      </c>
      <c r="BJ795" s="55">
        <f t="shared" si="859"/>
        <v>0</v>
      </c>
    </row>
    <row r="796" spans="1:62" ht="12.75">
      <c r="A796" s="36" t="s">
        <v>314</v>
      </c>
      <c r="B796" s="36" t="s">
        <v>61</v>
      </c>
      <c r="C796" s="36" t="s">
        <v>324</v>
      </c>
      <c r="D796" s="36" t="s">
        <v>1375</v>
      </c>
      <c r="E796" s="36" t="s">
        <v>609</v>
      </c>
      <c r="F796" s="55">
        <f>'Stavební rozpočet'!F811</f>
        <v>0</v>
      </c>
      <c r="G796" s="55">
        <f>'Stavební rozpočet'!G811</f>
        <v>85</v>
      </c>
      <c r="H796" s="55">
        <f t="shared" si="834"/>
        <v>0</v>
      </c>
      <c r="I796" s="55">
        <f t="shared" si="835"/>
        <v>0</v>
      </c>
      <c r="J796" s="55">
        <f t="shared" si="836"/>
        <v>0</v>
      </c>
      <c r="K796" s="55">
        <f>'Stavební rozpočet'!K811</f>
        <v>0</v>
      </c>
      <c r="L796" s="55">
        <f t="shared" si="837"/>
        <v>0</v>
      </c>
      <c r="M796" s="51" t="s">
        <v>622</v>
      </c>
      <c r="Z796" s="29">
        <f t="shared" si="838"/>
        <v>0</v>
      </c>
      <c r="AB796" s="29">
        <f t="shared" si="839"/>
        <v>0</v>
      </c>
      <c r="AC796" s="29">
        <f t="shared" si="840"/>
        <v>0</v>
      </c>
      <c r="AD796" s="29">
        <f t="shared" si="841"/>
        <v>0</v>
      </c>
      <c r="AE796" s="29">
        <f t="shared" si="842"/>
        <v>0</v>
      </c>
      <c r="AF796" s="29">
        <f t="shared" si="843"/>
        <v>0</v>
      </c>
      <c r="AG796" s="29">
        <f t="shared" si="844"/>
        <v>0</v>
      </c>
      <c r="AH796" s="29">
        <f t="shared" si="845"/>
        <v>0</v>
      </c>
      <c r="AI796" s="48" t="s">
        <v>61</v>
      </c>
      <c r="AJ796" s="55">
        <f t="shared" si="846"/>
        <v>0</v>
      </c>
      <c r="AK796" s="55">
        <f t="shared" si="847"/>
        <v>0</v>
      </c>
      <c r="AL796" s="55">
        <f t="shared" si="848"/>
        <v>0</v>
      </c>
      <c r="AN796" s="29">
        <v>15</v>
      </c>
      <c r="AO796" s="29">
        <f t="shared" si="849"/>
        <v>0</v>
      </c>
      <c r="AP796" s="29">
        <f t="shared" si="850"/>
        <v>85</v>
      </c>
      <c r="AQ796" s="51" t="s">
        <v>85</v>
      </c>
      <c r="AV796" s="29">
        <f t="shared" si="851"/>
        <v>0</v>
      </c>
      <c r="AW796" s="29">
        <f t="shared" si="852"/>
        <v>0</v>
      </c>
      <c r="AX796" s="29">
        <f t="shared" si="853"/>
        <v>0</v>
      </c>
      <c r="AY796" s="54" t="s">
        <v>645</v>
      </c>
      <c r="AZ796" s="54" t="s">
        <v>1645</v>
      </c>
      <c r="BA796" s="48" t="s">
        <v>1649</v>
      </c>
      <c r="BC796" s="29">
        <f t="shared" si="854"/>
        <v>0</v>
      </c>
      <c r="BD796" s="29">
        <f t="shared" si="855"/>
        <v>85</v>
      </c>
      <c r="BE796" s="29">
        <v>0</v>
      </c>
      <c r="BF796" s="29">
        <f t="shared" si="856"/>
        <v>0</v>
      </c>
      <c r="BH796" s="55">
        <f t="shared" si="857"/>
        <v>0</v>
      </c>
      <c r="BI796" s="55">
        <f t="shared" si="858"/>
        <v>0</v>
      </c>
      <c r="BJ796" s="55">
        <f t="shared" si="859"/>
        <v>0</v>
      </c>
    </row>
    <row r="797" spans="1:62" ht="12.75">
      <c r="A797" s="36" t="s">
        <v>2018</v>
      </c>
      <c r="B797" s="36" t="s">
        <v>61</v>
      </c>
      <c r="C797" s="36" t="s">
        <v>325</v>
      </c>
      <c r="D797" s="36" t="s">
        <v>516</v>
      </c>
      <c r="E797" s="36" t="s">
        <v>609</v>
      </c>
      <c r="F797" s="55">
        <f>'Stavební rozpočet'!F812</f>
        <v>0</v>
      </c>
      <c r="G797" s="55">
        <f>'Stavební rozpočet'!G812</f>
        <v>55</v>
      </c>
      <c r="H797" s="55">
        <f t="shared" si="834"/>
        <v>0</v>
      </c>
      <c r="I797" s="55">
        <f t="shared" si="835"/>
        <v>0</v>
      </c>
      <c r="J797" s="55">
        <f t="shared" si="836"/>
        <v>0</v>
      </c>
      <c r="K797" s="55">
        <f>'Stavební rozpočet'!K812</f>
        <v>0</v>
      </c>
      <c r="L797" s="55">
        <f t="shared" si="837"/>
        <v>0</v>
      </c>
      <c r="M797" s="51" t="s">
        <v>622</v>
      </c>
      <c r="Z797" s="29">
        <f t="shared" si="838"/>
        <v>0</v>
      </c>
      <c r="AB797" s="29">
        <f t="shared" si="839"/>
        <v>0</v>
      </c>
      <c r="AC797" s="29">
        <f t="shared" si="840"/>
        <v>0</v>
      </c>
      <c r="AD797" s="29">
        <f t="shared" si="841"/>
        <v>0</v>
      </c>
      <c r="AE797" s="29">
        <f t="shared" si="842"/>
        <v>0</v>
      </c>
      <c r="AF797" s="29">
        <f t="shared" si="843"/>
        <v>0</v>
      </c>
      <c r="AG797" s="29">
        <f t="shared" si="844"/>
        <v>0</v>
      </c>
      <c r="AH797" s="29">
        <f t="shared" si="845"/>
        <v>0</v>
      </c>
      <c r="AI797" s="48" t="s">
        <v>61</v>
      </c>
      <c r="AJ797" s="55">
        <f t="shared" si="846"/>
        <v>0</v>
      </c>
      <c r="AK797" s="55">
        <f t="shared" si="847"/>
        <v>0</v>
      </c>
      <c r="AL797" s="55">
        <f t="shared" si="848"/>
        <v>0</v>
      </c>
      <c r="AN797" s="29">
        <v>15</v>
      </c>
      <c r="AO797" s="29">
        <f t="shared" si="849"/>
        <v>0</v>
      </c>
      <c r="AP797" s="29">
        <f t="shared" si="850"/>
        <v>55</v>
      </c>
      <c r="AQ797" s="51" t="s">
        <v>85</v>
      </c>
      <c r="AV797" s="29">
        <f t="shared" si="851"/>
        <v>0</v>
      </c>
      <c r="AW797" s="29">
        <f t="shared" si="852"/>
        <v>0</v>
      </c>
      <c r="AX797" s="29">
        <f t="shared" si="853"/>
        <v>0</v>
      </c>
      <c r="AY797" s="54" t="s">
        <v>645</v>
      </c>
      <c r="AZ797" s="54" t="s">
        <v>1645</v>
      </c>
      <c r="BA797" s="48" t="s">
        <v>1649</v>
      </c>
      <c r="BC797" s="29">
        <f t="shared" si="854"/>
        <v>0</v>
      </c>
      <c r="BD797" s="29">
        <f t="shared" si="855"/>
        <v>55.00000000000001</v>
      </c>
      <c r="BE797" s="29">
        <v>0</v>
      </c>
      <c r="BF797" s="29">
        <f t="shared" si="856"/>
        <v>0</v>
      </c>
      <c r="BH797" s="55">
        <f t="shared" si="857"/>
        <v>0</v>
      </c>
      <c r="BI797" s="55">
        <f t="shared" si="858"/>
        <v>0</v>
      </c>
      <c r="BJ797" s="55">
        <f t="shared" si="859"/>
        <v>0</v>
      </c>
    </row>
    <row r="798" spans="1:62" ht="12.75">
      <c r="A798" s="36" t="s">
        <v>317</v>
      </c>
      <c r="B798" s="36" t="s">
        <v>61</v>
      </c>
      <c r="C798" s="36" t="s">
        <v>326</v>
      </c>
      <c r="D798" s="36" t="s">
        <v>1376</v>
      </c>
      <c r="E798" s="36" t="s">
        <v>609</v>
      </c>
      <c r="F798" s="55">
        <f>'Stavební rozpočet'!F813</f>
        <v>0</v>
      </c>
      <c r="G798" s="55">
        <f>'Stavební rozpočet'!G813</f>
        <v>60</v>
      </c>
      <c r="H798" s="55">
        <f t="shared" si="834"/>
        <v>0</v>
      </c>
      <c r="I798" s="55">
        <f t="shared" si="835"/>
        <v>0</v>
      </c>
      <c r="J798" s="55">
        <f t="shared" si="836"/>
        <v>0</v>
      </c>
      <c r="K798" s="55">
        <f>'Stavební rozpočet'!K813</f>
        <v>0</v>
      </c>
      <c r="L798" s="55">
        <f t="shared" si="837"/>
        <v>0</v>
      </c>
      <c r="M798" s="51" t="s">
        <v>622</v>
      </c>
      <c r="Z798" s="29">
        <f t="shared" si="838"/>
        <v>0</v>
      </c>
      <c r="AB798" s="29">
        <f t="shared" si="839"/>
        <v>0</v>
      </c>
      <c r="AC798" s="29">
        <f t="shared" si="840"/>
        <v>0</v>
      </c>
      <c r="AD798" s="29">
        <f t="shared" si="841"/>
        <v>0</v>
      </c>
      <c r="AE798" s="29">
        <f t="shared" si="842"/>
        <v>0</v>
      </c>
      <c r="AF798" s="29">
        <f t="shared" si="843"/>
        <v>0</v>
      </c>
      <c r="AG798" s="29">
        <f t="shared" si="844"/>
        <v>0</v>
      </c>
      <c r="AH798" s="29">
        <f t="shared" si="845"/>
        <v>0</v>
      </c>
      <c r="AI798" s="48" t="s">
        <v>61</v>
      </c>
      <c r="AJ798" s="55">
        <f t="shared" si="846"/>
        <v>0</v>
      </c>
      <c r="AK798" s="55">
        <f t="shared" si="847"/>
        <v>0</v>
      </c>
      <c r="AL798" s="55">
        <f t="shared" si="848"/>
        <v>0</v>
      </c>
      <c r="AN798" s="29">
        <v>15</v>
      </c>
      <c r="AO798" s="29">
        <f t="shared" si="849"/>
        <v>0</v>
      </c>
      <c r="AP798" s="29">
        <f t="shared" si="850"/>
        <v>60</v>
      </c>
      <c r="AQ798" s="51" t="s">
        <v>85</v>
      </c>
      <c r="AV798" s="29">
        <f t="shared" si="851"/>
        <v>0</v>
      </c>
      <c r="AW798" s="29">
        <f t="shared" si="852"/>
        <v>0</v>
      </c>
      <c r="AX798" s="29">
        <f t="shared" si="853"/>
        <v>0</v>
      </c>
      <c r="AY798" s="54" t="s">
        <v>645</v>
      </c>
      <c r="AZ798" s="54" t="s">
        <v>1645</v>
      </c>
      <c r="BA798" s="48" t="s">
        <v>1649</v>
      </c>
      <c r="BC798" s="29">
        <f t="shared" si="854"/>
        <v>0</v>
      </c>
      <c r="BD798" s="29">
        <f t="shared" si="855"/>
        <v>60</v>
      </c>
      <c r="BE798" s="29">
        <v>0</v>
      </c>
      <c r="BF798" s="29">
        <f t="shared" si="856"/>
        <v>0</v>
      </c>
      <c r="BH798" s="55">
        <f t="shared" si="857"/>
        <v>0</v>
      </c>
      <c r="BI798" s="55">
        <f t="shared" si="858"/>
        <v>0</v>
      </c>
      <c r="BJ798" s="55">
        <f t="shared" si="859"/>
        <v>0</v>
      </c>
    </row>
    <row r="799" spans="1:62" ht="12.75">
      <c r="A799" s="36" t="s">
        <v>2019</v>
      </c>
      <c r="B799" s="36" t="s">
        <v>61</v>
      </c>
      <c r="C799" s="36" t="s">
        <v>327</v>
      </c>
      <c r="D799" s="36" t="s">
        <v>1377</v>
      </c>
      <c r="E799" s="36" t="s">
        <v>609</v>
      </c>
      <c r="F799" s="55">
        <f>'Stavební rozpočet'!F814</f>
        <v>0</v>
      </c>
      <c r="G799" s="55">
        <f>'Stavební rozpočet'!G814</f>
        <v>60</v>
      </c>
      <c r="H799" s="55">
        <f t="shared" si="834"/>
        <v>0</v>
      </c>
      <c r="I799" s="55">
        <f t="shared" si="835"/>
        <v>0</v>
      </c>
      <c r="J799" s="55">
        <f t="shared" si="836"/>
        <v>0</v>
      </c>
      <c r="K799" s="55">
        <f>'Stavební rozpočet'!K814</f>
        <v>0</v>
      </c>
      <c r="L799" s="55">
        <f t="shared" si="837"/>
        <v>0</v>
      </c>
      <c r="M799" s="51" t="s">
        <v>622</v>
      </c>
      <c r="Z799" s="29">
        <f t="shared" si="838"/>
        <v>0</v>
      </c>
      <c r="AB799" s="29">
        <f t="shared" si="839"/>
        <v>0</v>
      </c>
      <c r="AC799" s="29">
        <f t="shared" si="840"/>
        <v>0</v>
      </c>
      <c r="AD799" s="29">
        <f t="shared" si="841"/>
        <v>0</v>
      </c>
      <c r="AE799" s="29">
        <f t="shared" si="842"/>
        <v>0</v>
      </c>
      <c r="AF799" s="29">
        <f t="shared" si="843"/>
        <v>0</v>
      </c>
      <c r="AG799" s="29">
        <f t="shared" si="844"/>
        <v>0</v>
      </c>
      <c r="AH799" s="29">
        <f t="shared" si="845"/>
        <v>0</v>
      </c>
      <c r="AI799" s="48" t="s">
        <v>61</v>
      </c>
      <c r="AJ799" s="55">
        <f t="shared" si="846"/>
        <v>0</v>
      </c>
      <c r="AK799" s="55">
        <f t="shared" si="847"/>
        <v>0</v>
      </c>
      <c r="AL799" s="55">
        <f t="shared" si="848"/>
        <v>0</v>
      </c>
      <c r="AN799" s="29">
        <v>15</v>
      </c>
      <c r="AO799" s="29">
        <f t="shared" si="849"/>
        <v>0</v>
      </c>
      <c r="AP799" s="29">
        <f t="shared" si="850"/>
        <v>60</v>
      </c>
      <c r="AQ799" s="51" t="s">
        <v>85</v>
      </c>
      <c r="AV799" s="29">
        <f t="shared" si="851"/>
        <v>0</v>
      </c>
      <c r="AW799" s="29">
        <f t="shared" si="852"/>
        <v>0</v>
      </c>
      <c r="AX799" s="29">
        <f t="shared" si="853"/>
        <v>0</v>
      </c>
      <c r="AY799" s="54" t="s">
        <v>645</v>
      </c>
      <c r="AZ799" s="54" t="s">
        <v>1645</v>
      </c>
      <c r="BA799" s="48" t="s">
        <v>1649</v>
      </c>
      <c r="BC799" s="29">
        <f t="shared" si="854"/>
        <v>0</v>
      </c>
      <c r="BD799" s="29">
        <f t="shared" si="855"/>
        <v>60</v>
      </c>
      <c r="BE799" s="29">
        <v>0</v>
      </c>
      <c r="BF799" s="29">
        <f t="shared" si="856"/>
        <v>0</v>
      </c>
      <c r="BH799" s="55">
        <f t="shared" si="857"/>
        <v>0</v>
      </c>
      <c r="BI799" s="55">
        <f t="shared" si="858"/>
        <v>0</v>
      </c>
      <c r="BJ799" s="55">
        <f t="shared" si="859"/>
        <v>0</v>
      </c>
    </row>
    <row r="800" spans="1:62" ht="12.75">
      <c r="A800" s="36" t="s">
        <v>2020</v>
      </c>
      <c r="B800" s="36" t="s">
        <v>61</v>
      </c>
      <c r="C800" s="36" t="s">
        <v>328</v>
      </c>
      <c r="D800" s="36" t="s">
        <v>1384</v>
      </c>
      <c r="E800" s="36" t="s">
        <v>606</v>
      </c>
      <c r="F800" s="55">
        <f>'Stavební rozpočet'!F815</f>
        <v>0</v>
      </c>
      <c r="G800" s="55">
        <f>'Stavební rozpočet'!G815</f>
        <v>7630</v>
      </c>
      <c r="H800" s="55">
        <f t="shared" si="834"/>
        <v>0</v>
      </c>
      <c r="I800" s="55">
        <f t="shared" si="835"/>
        <v>0</v>
      </c>
      <c r="J800" s="55">
        <f t="shared" si="836"/>
        <v>0</v>
      </c>
      <c r="K800" s="55">
        <f>'Stavební rozpočet'!K815</f>
        <v>0</v>
      </c>
      <c r="L800" s="55">
        <f t="shared" si="837"/>
        <v>0</v>
      </c>
      <c r="M800" s="51" t="s">
        <v>622</v>
      </c>
      <c r="Z800" s="29">
        <f t="shared" si="838"/>
        <v>0</v>
      </c>
      <c r="AB800" s="29">
        <f t="shared" si="839"/>
        <v>0</v>
      </c>
      <c r="AC800" s="29">
        <f t="shared" si="840"/>
        <v>0</v>
      </c>
      <c r="AD800" s="29">
        <f t="shared" si="841"/>
        <v>0</v>
      </c>
      <c r="AE800" s="29">
        <f t="shared" si="842"/>
        <v>0</v>
      </c>
      <c r="AF800" s="29">
        <f t="shared" si="843"/>
        <v>0</v>
      </c>
      <c r="AG800" s="29">
        <f t="shared" si="844"/>
        <v>0</v>
      </c>
      <c r="AH800" s="29">
        <f t="shared" si="845"/>
        <v>0</v>
      </c>
      <c r="AI800" s="48" t="s">
        <v>61</v>
      </c>
      <c r="AJ800" s="55">
        <f t="shared" si="846"/>
        <v>0</v>
      </c>
      <c r="AK800" s="55">
        <f t="shared" si="847"/>
        <v>0</v>
      </c>
      <c r="AL800" s="55">
        <f t="shared" si="848"/>
        <v>0</v>
      </c>
      <c r="AN800" s="29">
        <v>15</v>
      </c>
      <c r="AO800" s="29">
        <f t="shared" si="849"/>
        <v>0</v>
      </c>
      <c r="AP800" s="29">
        <f t="shared" si="850"/>
        <v>7630</v>
      </c>
      <c r="AQ800" s="51" t="s">
        <v>85</v>
      </c>
      <c r="AV800" s="29">
        <f t="shared" si="851"/>
        <v>0</v>
      </c>
      <c r="AW800" s="29">
        <f t="shared" si="852"/>
        <v>0</v>
      </c>
      <c r="AX800" s="29">
        <f t="shared" si="853"/>
        <v>0</v>
      </c>
      <c r="AY800" s="54" t="s">
        <v>645</v>
      </c>
      <c r="AZ800" s="54" t="s">
        <v>1645</v>
      </c>
      <c r="BA800" s="48" t="s">
        <v>1649</v>
      </c>
      <c r="BC800" s="29">
        <f t="shared" si="854"/>
        <v>0</v>
      </c>
      <c r="BD800" s="29">
        <f t="shared" si="855"/>
        <v>7630</v>
      </c>
      <c r="BE800" s="29">
        <v>0</v>
      </c>
      <c r="BF800" s="29">
        <f t="shared" si="856"/>
        <v>0</v>
      </c>
      <c r="BH800" s="55">
        <f t="shared" si="857"/>
        <v>0</v>
      </c>
      <c r="BI800" s="55">
        <f t="shared" si="858"/>
        <v>0</v>
      </c>
      <c r="BJ800" s="55">
        <f t="shared" si="859"/>
        <v>0</v>
      </c>
    </row>
    <row r="801" spans="1:62" ht="12.75">
      <c r="A801" s="36" t="s">
        <v>2021</v>
      </c>
      <c r="B801" s="36" t="s">
        <v>61</v>
      </c>
      <c r="C801" s="36" t="s">
        <v>329</v>
      </c>
      <c r="D801" s="36" t="s">
        <v>1629</v>
      </c>
      <c r="E801" s="36" t="s">
        <v>606</v>
      </c>
      <c r="F801" s="55">
        <f>'Stavební rozpočet'!F816</f>
        <v>0</v>
      </c>
      <c r="G801" s="55">
        <f>'Stavební rozpočet'!G816</f>
        <v>10990</v>
      </c>
      <c r="H801" s="55">
        <f t="shared" si="834"/>
        <v>0</v>
      </c>
      <c r="I801" s="55">
        <f t="shared" si="835"/>
        <v>0</v>
      </c>
      <c r="J801" s="55">
        <f t="shared" si="836"/>
        <v>0</v>
      </c>
      <c r="K801" s="55">
        <f>'Stavební rozpočet'!K816</f>
        <v>0</v>
      </c>
      <c r="L801" s="55">
        <f t="shared" si="837"/>
        <v>0</v>
      </c>
      <c r="M801" s="51" t="s">
        <v>622</v>
      </c>
      <c r="Z801" s="29">
        <f t="shared" si="838"/>
        <v>0</v>
      </c>
      <c r="AB801" s="29">
        <f t="shared" si="839"/>
        <v>0</v>
      </c>
      <c r="AC801" s="29">
        <f t="shared" si="840"/>
        <v>0</v>
      </c>
      <c r="AD801" s="29">
        <f t="shared" si="841"/>
        <v>0</v>
      </c>
      <c r="AE801" s="29">
        <f t="shared" si="842"/>
        <v>0</v>
      </c>
      <c r="AF801" s="29">
        <f t="shared" si="843"/>
        <v>0</v>
      </c>
      <c r="AG801" s="29">
        <f t="shared" si="844"/>
        <v>0</v>
      </c>
      <c r="AH801" s="29">
        <f t="shared" si="845"/>
        <v>0</v>
      </c>
      <c r="AI801" s="48" t="s">
        <v>61</v>
      </c>
      <c r="AJ801" s="55">
        <f t="shared" si="846"/>
        <v>0</v>
      </c>
      <c r="AK801" s="55">
        <f t="shared" si="847"/>
        <v>0</v>
      </c>
      <c r="AL801" s="55">
        <f t="shared" si="848"/>
        <v>0</v>
      </c>
      <c r="AN801" s="29">
        <v>15</v>
      </c>
      <c r="AO801" s="29">
        <f t="shared" si="849"/>
        <v>0</v>
      </c>
      <c r="AP801" s="29">
        <f t="shared" si="850"/>
        <v>10990</v>
      </c>
      <c r="AQ801" s="51" t="s">
        <v>85</v>
      </c>
      <c r="AV801" s="29">
        <f t="shared" si="851"/>
        <v>0</v>
      </c>
      <c r="AW801" s="29">
        <f t="shared" si="852"/>
        <v>0</v>
      </c>
      <c r="AX801" s="29">
        <f t="shared" si="853"/>
        <v>0</v>
      </c>
      <c r="AY801" s="54" t="s">
        <v>645</v>
      </c>
      <c r="AZ801" s="54" t="s">
        <v>1645</v>
      </c>
      <c r="BA801" s="48" t="s">
        <v>1649</v>
      </c>
      <c r="BC801" s="29">
        <f t="shared" si="854"/>
        <v>0</v>
      </c>
      <c r="BD801" s="29">
        <f t="shared" si="855"/>
        <v>10990</v>
      </c>
      <c r="BE801" s="29">
        <v>0</v>
      </c>
      <c r="BF801" s="29">
        <f t="shared" si="856"/>
        <v>0</v>
      </c>
      <c r="BH801" s="55">
        <f t="shared" si="857"/>
        <v>0</v>
      </c>
      <c r="BI801" s="55">
        <f t="shared" si="858"/>
        <v>0</v>
      </c>
      <c r="BJ801" s="55">
        <f t="shared" si="859"/>
        <v>0</v>
      </c>
    </row>
    <row r="802" spans="1:62" ht="12.75">
      <c r="A802" s="36" t="s">
        <v>2022</v>
      </c>
      <c r="B802" s="36" t="s">
        <v>61</v>
      </c>
      <c r="C802" s="36" t="s">
        <v>330</v>
      </c>
      <c r="D802" s="36" t="s">
        <v>1630</v>
      </c>
      <c r="E802" s="36" t="s">
        <v>606</v>
      </c>
      <c r="F802" s="55">
        <f>'Stavební rozpočet'!F817</f>
        <v>0</v>
      </c>
      <c r="G802" s="55">
        <f>'Stavební rozpočet'!G817</f>
        <v>12080</v>
      </c>
      <c r="H802" s="55">
        <f t="shared" si="834"/>
        <v>0</v>
      </c>
      <c r="I802" s="55">
        <f t="shared" si="835"/>
        <v>0</v>
      </c>
      <c r="J802" s="55">
        <f t="shared" si="836"/>
        <v>0</v>
      </c>
      <c r="K802" s="55">
        <f>'Stavební rozpočet'!K817</f>
        <v>0</v>
      </c>
      <c r="L802" s="55">
        <f t="shared" si="837"/>
        <v>0</v>
      </c>
      <c r="M802" s="51" t="s">
        <v>622</v>
      </c>
      <c r="Z802" s="29">
        <f t="shared" si="838"/>
        <v>0</v>
      </c>
      <c r="AB802" s="29">
        <f t="shared" si="839"/>
        <v>0</v>
      </c>
      <c r="AC802" s="29">
        <f t="shared" si="840"/>
        <v>0</v>
      </c>
      <c r="AD802" s="29">
        <f t="shared" si="841"/>
        <v>0</v>
      </c>
      <c r="AE802" s="29">
        <f t="shared" si="842"/>
        <v>0</v>
      </c>
      <c r="AF802" s="29">
        <f t="shared" si="843"/>
        <v>0</v>
      </c>
      <c r="AG802" s="29">
        <f t="shared" si="844"/>
        <v>0</v>
      </c>
      <c r="AH802" s="29">
        <f t="shared" si="845"/>
        <v>0</v>
      </c>
      <c r="AI802" s="48" t="s">
        <v>61</v>
      </c>
      <c r="AJ802" s="55">
        <f t="shared" si="846"/>
        <v>0</v>
      </c>
      <c r="AK802" s="55">
        <f t="shared" si="847"/>
        <v>0</v>
      </c>
      <c r="AL802" s="55">
        <f t="shared" si="848"/>
        <v>0</v>
      </c>
      <c r="AN802" s="29">
        <v>15</v>
      </c>
      <c r="AO802" s="29">
        <f t="shared" si="849"/>
        <v>0</v>
      </c>
      <c r="AP802" s="29">
        <f t="shared" si="850"/>
        <v>12080</v>
      </c>
      <c r="AQ802" s="51" t="s">
        <v>85</v>
      </c>
      <c r="AV802" s="29">
        <f t="shared" si="851"/>
        <v>0</v>
      </c>
      <c r="AW802" s="29">
        <f t="shared" si="852"/>
        <v>0</v>
      </c>
      <c r="AX802" s="29">
        <f t="shared" si="853"/>
        <v>0</v>
      </c>
      <c r="AY802" s="54" t="s">
        <v>645</v>
      </c>
      <c r="AZ802" s="54" t="s">
        <v>1645</v>
      </c>
      <c r="BA802" s="48" t="s">
        <v>1649</v>
      </c>
      <c r="BC802" s="29">
        <f t="shared" si="854"/>
        <v>0</v>
      </c>
      <c r="BD802" s="29">
        <f t="shared" si="855"/>
        <v>12080</v>
      </c>
      <c r="BE802" s="29">
        <v>0</v>
      </c>
      <c r="BF802" s="29">
        <f t="shared" si="856"/>
        <v>0</v>
      </c>
      <c r="BH802" s="55">
        <f t="shared" si="857"/>
        <v>0</v>
      </c>
      <c r="BI802" s="55">
        <f t="shared" si="858"/>
        <v>0</v>
      </c>
      <c r="BJ802" s="55">
        <f t="shared" si="859"/>
        <v>0</v>
      </c>
    </row>
    <row r="803" spans="1:62" ht="12.75">
      <c r="A803" s="36" t="s">
        <v>2023</v>
      </c>
      <c r="B803" s="36" t="s">
        <v>61</v>
      </c>
      <c r="C803" s="36" t="s">
        <v>331</v>
      </c>
      <c r="D803" s="36" t="s">
        <v>518</v>
      </c>
      <c r="E803" s="36" t="s">
        <v>606</v>
      </c>
      <c r="F803" s="55">
        <f>'Stavební rozpočet'!F818</f>
        <v>0</v>
      </c>
      <c r="G803" s="55">
        <f>'Stavební rozpočet'!G818</f>
        <v>235</v>
      </c>
      <c r="H803" s="55">
        <f t="shared" si="834"/>
        <v>0</v>
      </c>
      <c r="I803" s="55">
        <f t="shared" si="835"/>
        <v>0</v>
      </c>
      <c r="J803" s="55">
        <f t="shared" si="836"/>
        <v>0</v>
      </c>
      <c r="K803" s="55">
        <f>'Stavební rozpočet'!K818</f>
        <v>0</v>
      </c>
      <c r="L803" s="55">
        <f t="shared" si="837"/>
        <v>0</v>
      </c>
      <c r="M803" s="51" t="s">
        <v>622</v>
      </c>
      <c r="Z803" s="29">
        <f t="shared" si="838"/>
        <v>0</v>
      </c>
      <c r="AB803" s="29">
        <f t="shared" si="839"/>
        <v>0</v>
      </c>
      <c r="AC803" s="29">
        <f t="shared" si="840"/>
        <v>0</v>
      </c>
      <c r="AD803" s="29">
        <f t="shared" si="841"/>
        <v>0</v>
      </c>
      <c r="AE803" s="29">
        <f t="shared" si="842"/>
        <v>0</v>
      </c>
      <c r="AF803" s="29">
        <f t="shared" si="843"/>
        <v>0</v>
      </c>
      <c r="AG803" s="29">
        <f t="shared" si="844"/>
        <v>0</v>
      </c>
      <c r="AH803" s="29">
        <f t="shared" si="845"/>
        <v>0</v>
      </c>
      <c r="AI803" s="48" t="s">
        <v>61</v>
      </c>
      <c r="AJ803" s="55">
        <f t="shared" si="846"/>
        <v>0</v>
      </c>
      <c r="AK803" s="55">
        <f t="shared" si="847"/>
        <v>0</v>
      </c>
      <c r="AL803" s="55">
        <f t="shared" si="848"/>
        <v>0</v>
      </c>
      <c r="AN803" s="29">
        <v>15</v>
      </c>
      <c r="AO803" s="29">
        <f t="shared" si="849"/>
        <v>0</v>
      </c>
      <c r="AP803" s="29">
        <f t="shared" si="850"/>
        <v>235</v>
      </c>
      <c r="AQ803" s="51" t="s">
        <v>85</v>
      </c>
      <c r="AV803" s="29">
        <f t="shared" si="851"/>
        <v>0</v>
      </c>
      <c r="AW803" s="29">
        <f t="shared" si="852"/>
        <v>0</v>
      </c>
      <c r="AX803" s="29">
        <f t="shared" si="853"/>
        <v>0</v>
      </c>
      <c r="AY803" s="54" t="s">
        <v>645</v>
      </c>
      <c r="AZ803" s="54" t="s">
        <v>1645</v>
      </c>
      <c r="BA803" s="48" t="s">
        <v>1649</v>
      </c>
      <c r="BC803" s="29">
        <f t="shared" si="854"/>
        <v>0</v>
      </c>
      <c r="BD803" s="29">
        <f t="shared" si="855"/>
        <v>235</v>
      </c>
      <c r="BE803" s="29">
        <v>0</v>
      </c>
      <c r="BF803" s="29">
        <f t="shared" si="856"/>
        <v>0</v>
      </c>
      <c r="BH803" s="55">
        <f t="shared" si="857"/>
        <v>0</v>
      </c>
      <c r="BI803" s="55">
        <f t="shared" si="858"/>
        <v>0</v>
      </c>
      <c r="BJ803" s="55">
        <f t="shared" si="859"/>
        <v>0</v>
      </c>
    </row>
    <row r="804" spans="1:62" ht="12.75">
      <c r="A804" s="36" t="s">
        <v>2024</v>
      </c>
      <c r="B804" s="36" t="s">
        <v>61</v>
      </c>
      <c r="C804" s="36" t="s">
        <v>332</v>
      </c>
      <c r="D804" s="36" t="s">
        <v>1631</v>
      </c>
      <c r="E804" s="36" t="s">
        <v>606</v>
      </c>
      <c r="F804" s="55">
        <f>'Stavební rozpočet'!F819</f>
        <v>0</v>
      </c>
      <c r="G804" s="55">
        <f>'Stavební rozpočet'!G819</f>
        <v>265</v>
      </c>
      <c r="H804" s="55">
        <f t="shared" si="834"/>
        <v>0</v>
      </c>
      <c r="I804" s="55">
        <f t="shared" si="835"/>
        <v>0</v>
      </c>
      <c r="J804" s="55">
        <f t="shared" si="836"/>
        <v>0</v>
      </c>
      <c r="K804" s="55">
        <f>'Stavební rozpočet'!K819</f>
        <v>0</v>
      </c>
      <c r="L804" s="55">
        <f t="shared" si="837"/>
        <v>0</v>
      </c>
      <c r="M804" s="51" t="s">
        <v>622</v>
      </c>
      <c r="Z804" s="29">
        <f t="shared" si="838"/>
        <v>0</v>
      </c>
      <c r="AB804" s="29">
        <f t="shared" si="839"/>
        <v>0</v>
      </c>
      <c r="AC804" s="29">
        <f t="shared" si="840"/>
        <v>0</v>
      </c>
      <c r="AD804" s="29">
        <f t="shared" si="841"/>
        <v>0</v>
      </c>
      <c r="AE804" s="29">
        <f t="shared" si="842"/>
        <v>0</v>
      </c>
      <c r="AF804" s="29">
        <f t="shared" si="843"/>
        <v>0</v>
      </c>
      <c r="AG804" s="29">
        <f t="shared" si="844"/>
        <v>0</v>
      </c>
      <c r="AH804" s="29">
        <f t="shared" si="845"/>
        <v>0</v>
      </c>
      <c r="AI804" s="48" t="s">
        <v>61</v>
      </c>
      <c r="AJ804" s="55">
        <f t="shared" si="846"/>
        <v>0</v>
      </c>
      <c r="AK804" s="55">
        <f t="shared" si="847"/>
        <v>0</v>
      </c>
      <c r="AL804" s="55">
        <f t="shared" si="848"/>
        <v>0</v>
      </c>
      <c r="AN804" s="29">
        <v>15</v>
      </c>
      <c r="AO804" s="29">
        <f t="shared" si="849"/>
        <v>0</v>
      </c>
      <c r="AP804" s="29">
        <f t="shared" si="850"/>
        <v>265</v>
      </c>
      <c r="AQ804" s="51" t="s">
        <v>85</v>
      </c>
      <c r="AV804" s="29">
        <f t="shared" si="851"/>
        <v>0</v>
      </c>
      <c r="AW804" s="29">
        <f t="shared" si="852"/>
        <v>0</v>
      </c>
      <c r="AX804" s="29">
        <f t="shared" si="853"/>
        <v>0</v>
      </c>
      <c r="AY804" s="54" t="s">
        <v>645</v>
      </c>
      <c r="AZ804" s="54" t="s">
        <v>1645</v>
      </c>
      <c r="BA804" s="48" t="s">
        <v>1649</v>
      </c>
      <c r="BC804" s="29">
        <f t="shared" si="854"/>
        <v>0</v>
      </c>
      <c r="BD804" s="29">
        <f t="shared" si="855"/>
        <v>265</v>
      </c>
      <c r="BE804" s="29">
        <v>0</v>
      </c>
      <c r="BF804" s="29">
        <f t="shared" si="856"/>
        <v>0</v>
      </c>
      <c r="BH804" s="55">
        <f t="shared" si="857"/>
        <v>0</v>
      </c>
      <c r="BI804" s="55">
        <f t="shared" si="858"/>
        <v>0</v>
      </c>
      <c r="BJ804" s="55">
        <f t="shared" si="859"/>
        <v>0</v>
      </c>
    </row>
    <row r="805" spans="1:62" ht="12.75">
      <c r="A805" s="36" t="s">
        <v>2025</v>
      </c>
      <c r="B805" s="36" t="s">
        <v>61</v>
      </c>
      <c r="C805" s="36" t="s">
        <v>333</v>
      </c>
      <c r="D805" s="36" t="s">
        <v>520</v>
      </c>
      <c r="E805" s="36" t="s">
        <v>606</v>
      </c>
      <c r="F805" s="55">
        <f>'Stavební rozpočet'!F820</f>
        <v>0</v>
      </c>
      <c r="G805" s="55">
        <f>'Stavební rozpočet'!G820</f>
        <v>220</v>
      </c>
      <c r="H805" s="55">
        <f t="shared" si="834"/>
        <v>0</v>
      </c>
      <c r="I805" s="55">
        <f t="shared" si="835"/>
        <v>0</v>
      </c>
      <c r="J805" s="55">
        <f t="shared" si="836"/>
        <v>0</v>
      </c>
      <c r="K805" s="55">
        <f>'Stavební rozpočet'!K820</f>
        <v>0</v>
      </c>
      <c r="L805" s="55">
        <f t="shared" si="837"/>
        <v>0</v>
      </c>
      <c r="M805" s="51" t="s">
        <v>622</v>
      </c>
      <c r="Z805" s="29">
        <f t="shared" si="838"/>
        <v>0</v>
      </c>
      <c r="AB805" s="29">
        <f t="shared" si="839"/>
        <v>0</v>
      </c>
      <c r="AC805" s="29">
        <f t="shared" si="840"/>
        <v>0</v>
      </c>
      <c r="AD805" s="29">
        <f t="shared" si="841"/>
        <v>0</v>
      </c>
      <c r="AE805" s="29">
        <f t="shared" si="842"/>
        <v>0</v>
      </c>
      <c r="AF805" s="29">
        <f t="shared" si="843"/>
        <v>0</v>
      </c>
      <c r="AG805" s="29">
        <f t="shared" si="844"/>
        <v>0</v>
      </c>
      <c r="AH805" s="29">
        <f t="shared" si="845"/>
        <v>0</v>
      </c>
      <c r="AI805" s="48" t="s">
        <v>61</v>
      </c>
      <c r="AJ805" s="55">
        <f t="shared" si="846"/>
        <v>0</v>
      </c>
      <c r="AK805" s="55">
        <f t="shared" si="847"/>
        <v>0</v>
      </c>
      <c r="AL805" s="55">
        <f t="shared" si="848"/>
        <v>0</v>
      </c>
      <c r="AN805" s="29">
        <v>15</v>
      </c>
      <c r="AO805" s="29">
        <f t="shared" si="849"/>
        <v>0</v>
      </c>
      <c r="AP805" s="29">
        <f t="shared" si="850"/>
        <v>220</v>
      </c>
      <c r="AQ805" s="51" t="s">
        <v>85</v>
      </c>
      <c r="AV805" s="29">
        <f t="shared" si="851"/>
        <v>0</v>
      </c>
      <c r="AW805" s="29">
        <f t="shared" si="852"/>
        <v>0</v>
      </c>
      <c r="AX805" s="29">
        <f t="shared" si="853"/>
        <v>0</v>
      </c>
      <c r="AY805" s="54" t="s">
        <v>645</v>
      </c>
      <c r="AZ805" s="54" t="s">
        <v>1645</v>
      </c>
      <c r="BA805" s="48" t="s">
        <v>1649</v>
      </c>
      <c r="BC805" s="29">
        <f t="shared" si="854"/>
        <v>0</v>
      </c>
      <c r="BD805" s="29">
        <f t="shared" si="855"/>
        <v>220.00000000000003</v>
      </c>
      <c r="BE805" s="29">
        <v>0</v>
      </c>
      <c r="BF805" s="29">
        <f t="shared" si="856"/>
        <v>0</v>
      </c>
      <c r="BH805" s="55">
        <f t="shared" si="857"/>
        <v>0</v>
      </c>
      <c r="BI805" s="55">
        <f t="shared" si="858"/>
        <v>0</v>
      </c>
      <c r="BJ805" s="55">
        <f t="shared" si="859"/>
        <v>0</v>
      </c>
    </row>
    <row r="806" spans="1:62" ht="12.75">
      <c r="A806" s="36" t="s">
        <v>2026</v>
      </c>
      <c r="B806" s="36" t="s">
        <v>61</v>
      </c>
      <c r="C806" s="36" t="s">
        <v>334</v>
      </c>
      <c r="D806" s="36" t="s">
        <v>521</v>
      </c>
      <c r="E806" s="36" t="s">
        <v>606</v>
      </c>
      <c r="F806" s="55">
        <f>'Stavební rozpočet'!F821</f>
        <v>0</v>
      </c>
      <c r="G806" s="55">
        <f>'Stavební rozpočet'!G821</f>
        <v>31</v>
      </c>
      <c r="H806" s="55">
        <f t="shared" si="834"/>
        <v>0</v>
      </c>
      <c r="I806" s="55">
        <f t="shared" si="835"/>
        <v>0</v>
      </c>
      <c r="J806" s="55">
        <f t="shared" si="836"/>
        <v>0</v>
      </c>
      <c r="K806" s="55">
        <f>'Stavební rozpočet'!K821</f>
        <v>0</v>
      </c>
      <c r="L806" s="55">
        <f t="shared" si="837"/>
        <v>0</v>
      </c>
      <c r="M806" s="51" t="s">
        <v>622</v>
      </c>
      <c r="Z806" s="29">
        <f t="shared" si="838"/>
        <v>0</v>
      </c>
      <c r="AB806" s="29">
        <f t="shared" si="839"/>
        <v>0</v>
      </c>
      <c r="AC806" s="29">
        <f t="shared" si="840"/>
        <v>0</v>
      </c>
      <c r="AD806" s="29">
        <f t="shared" si="841"/>
        <v>0</v>
      </c>
      <c r="AE806" s="29">
        <f t="shared" si="842"/>
        <v>0</v>
      </c>
      <c r="AF806" s="29">
        <f t="shared" si="843"/>
        <v>0</v>
      </c>
      <c r="AG806" s="29">
        <f t="shared" si="844"/>
        <v>0</v>
      </c>
      <c r="AH806" s="29">
        <f t="shared" si="845"/>
        <v>0</v>
      </c>
      <c r="AI806" s="48" t="s">
        <v>61</v>
      </c>
      <c r="AJ806" s="55">
        <f t="shared" si="846"/>
        <v>0</v>
      </c>
      <c r="AK806" s="55">
        <f t="shared" si="847"/>
        <v>0</v>
      </c>
      <c r="AL806" s="55">
        <f t="shared" si="848"/>
        <v>0</v>
      </c>
      <c r="AN806" s="29">
        <v>15</v>
      </c>
      <c r="AO806" s="29">
        <f t="shared" si="849"/>
        <v>0</v>
      </c>
      <c r="AP806" s="29">
        <f t="shared" si="850"/>
        <v>31</v>
      </c>
      <c r="AQ806" s="51" t="s">
        <v>85</v>
      </c>
      <c r="AV806" s="29">
        <f t="shared" si="851"/>
        <v>0</v>
      </c>
      <c r="AW806" s="29">
        <f t="shared" si="852"/>
        <v>0</v>
      </c>
      <c r="AX806" s="29">
        <f t="shared" si="853"/>
        <v>0</v>
      </c>
      <c r="AY806" s="54" t="s">
        <v>645</v>
      </c>
      <c r="AZ806" s="54" t="s">
        <v>1645</v>
      </c>
      <c r="BA806" s="48" t="s">
        <v>1649</v>
      </c>
      <c r="BC806" s="29">
        <f t="shared" si="854"/>
        <v>0</v>
      </c>
      <c r="BD806" s="29">
        <f t="shared" si="855"/>
        <v>31</v>
      </c>
      <c r="BE806" s="29">
        <v>0</v>
      </c>
      <c r="BF806" s="29">
        <f t="shared" si="856"/>
        <v>0</v>
      </c>
      <c r="BH806" s="55">
        <f t="shared" si="857"/>
        <v>0</v>
      </c>
      <c r="BI806" s="55">
        <f t="shared" si="858"/>
        <v>0</v>
      </c>
      <c r="BJ806" s="55">
        <f t="shared" si="859"/>
        <v>0</v>
      </c>
    </row>
    <row r="807" spans="1:62" ht="12.75">
      <c r="A807" s="36" t="s">
        <v>2027</v>
      </c>
      <c r="B807" s="36" t="s">
        <v>61</v>
      </c>
      <c r="C807" s="36" t="s">
        <v>1588</v>
      </c>
      <c r="D807" s="36" t="s">
        <v>1632</v>
      </c>
      <c r="E807" s="36" t="s">
        <v>606</v>
      </c>
      <c r="F807" s="55">
        <f>'Stavební rozpočet'!F822</f>
        <v>0</v>
      </c>
      <c r="G807" s="55">
        <f>'Stavební rozpočet'!G822</f>
        <v>70</v>
      </c>
      <c r="H807" s="55">
        <f t="shared" si="834"/>
        <v>0</v>
      </c>
      <c r="I807" s="55">
        <f t="shared" si="835"/>
        <v>0</v>
      </c>
      <c r="J807" s="55">
        <f t="shared" si="836"/>
        <v>0</v>
      </c>
      <c r="K807" s="55">
        <f>'Stavební rozpočet'!K822</f>
        <v>0</v>
      </c>
      <c r="L807" s="55">
        <f t="shared" si="837"/>
        <v>0</v>
      </c>
      <c r="M807" s="51" t="s">
        <v>622</v>
      </c>
      <c r="Z807" s="29">
        <f t="shared" si="838"/>
        <v>0</v>
      </c>
      <c r="AB807" s="29">
        <f t="shared" si="839"/>
        <v>0</v>
      </c>
      <c r="AC807" s="29">
        <f t="shared" si="840"/>
        <v>0</v>
      </c>
      <c r="AD807" s="29">
        <f t="shared" si="841"/>
        <v>0</v>
      </c>
      <c r="AE807" s="29">
        <f t="shared" si="842"/>
        <v>0</v>
      </c>
      <c r="AF807" s="29">
        <f t="shared" si="843"/>
        <v>0</v>
      </c>
      <c r="AG807" s="29">
        <f t="shared" si="844"/>
        <v>0</v>
      </c>
      <c r="AH807" s="29">
        <f t="shared" si="845"/>
        <v>0</v>
      </c>
      <c r="AI807" s="48" t="s">
        <v>61</v>
      </c>
      <c r="AJ807" s="55">
        <f t="shared" si="846"/>
        <v>0</v>
      </c>
      <c r="AK807" s="55">
        <f t="shared" si="847"/>
        <v>0</v>
      </c>
      <c r="AL807" s="55">
        <f t="shared" si="848"/>
        <v>0</v>
      </c>
      <c r="AN807" s="29">
        <v>15</v>
      </c>
      <c r="AO807" s="29">
        <f t="shared" si="849"/>
        <v>0</v>
      </c>
      <c r="AP807" s="29">
        <f t="shared" si="850"/>
        <v>70</v>
      </c>
      <c r="AQ807" s="51" t="s">
        <v>85</v>
      </c>
      <c r="AV807" s="29">
        <f t="shared" si="851"/>
        <v>0</v>
      </c>
      <c r="AW807" s="29">
        <f t="shared" si="852"/>
        <v>0</v>
      </c>
      <c r="AX807" s="29">
        <f t="shared" si="853"/>
        <v>0</v>
      </c>
      <c r="AY807" s="54" t="s">
        <v>645</v>
      </c>
      <c r="AZ807" s="54" t="s">
        <v>1645</v>
      </c>
      <c r="BA807" s="48" t="s">
        <v>1649</v>
      </c>
      <c r="BC807" s="29">
        <f t="shared" si="854"/>
        <v>0</v>
      </c>
      <c r="BD807" s="29">
        <f t="shared" si="855"/>
        <v>70</v>
      </c>
      <c r="BE807" s="29">
        <v>0</v>
      </c>
      <c r="BF807" s="29">
        <f t="shared" si="856"/>
        <v>0</v>
      </c>
      <c r="BH807" s="55">
        <f t="shared" si="857"/>
        <v>0</v>
      </c>
      <c r="BI807" s="55">
        <f t="shared" si="858"/>
        <v>0</v>
      </c>
      <c r="BJ807" s="55">
        <f t="shared" si="859"/>
        <v>0</v>
      </c>
    </row>
    <row r="808" spans="1:62" ht="12.75">
      <c r="A808" s="36" t="s">
        <v>1650</v>
      </c>
      <c r="B808" s="36" t="s">
        <v>61</v>
      </c>
      <c r="C808" s="36" t="s">
        <v>1589</v>
      </c>
      <c r="D808" s="36" t="s">
        <v>523</v>
      </c>
      <c r="E808" s="36" t="s">
        <v>606</v>
      </c>
      <c r="F808" s="55">
        <f>'Stavební rozpočet'!F823</f>
        <v>0</v>
      </c>
      <c r="G808" s="55">
        <f>'Stavební rozpočet'!G823</f>
        <v>50</v>
      </c>
      <c r="H808" s="55">
        <f t="shared" si="834"/>
        <v>0</v>
      </c>
      <c r="I808" s="55">
        <f t="shared" si="835"/>
        <v>0</v>
      </c>
      <c r="J808" s="55">
        <f t="shared" si="836"/>
        <v>0</v>
      </c>
      <c r="K808" s="55">
        <f>'Stavební rozpočet'!K823</f>
        <v>0</v>
      </c>
      <c r="L808" s="55">
        <f t="shared" si="837"/>
        <v>0</v>
      </c>
      <c r="M808" s="51" t="s">
        <v>622</v>
      </c>
      <c r="Z808" s="29">
        <f t="shared" si="838"/>
        <v>0</v>
      </c>
      <c r="AB808" s="29">
        <f t="shared" si="839"/>
        <v>0</v>
      </c>
      <c r="AC808" s="29">
        <f t="shared" si="840"/>
        <v>0</v>
      </c>
      <c r="AD808" s="29">
        <f t="shared" si="841"/>
        <v>0</v>
      </c>
      <c r="AE808" s="29">
        <f t="shared" si="842"/>
        <v>0</v>
      </c>
      <c r="AF808" s="29">
        <f t="shared" si="843"/>
        <v>0</v>
      </c>
      <c r="AG808" s="29">
        <f t="shared" si="844"/>
        <v>0</v>
      </c>
      <c r="AH808" s="29">
        <f t="shared" si="845"/>
        <v>0</v>
      </c>
      <c r="AI808" s="48" t="s">
        <v>61</v>
      </c>
      <c r="AJ808" s="55">
        <f t="shared" si="846"/>
        <v>0</v>
      </c>
      <c r="AK808" s="55">
        <f t="shared" si="847"/>
        <v>0</v>
      </c>
      <c r="AL808" s="55">
        <f t="shared" si="848"/>
        <v>0</v>
      </c>
      <c r="AN808" s="29">
        <v>15</v>
      </c>
      <c r="AO808" s="29">
        <f t="shared" si="849"/>
        <v>0</v>
      </c>
      <c r="AP808" s="29">
        <f t="shared" si="850"/>
        <v>50</v>
      </c>
      <c r="AQ808" s="51" t="s">
        <v>85</v>
      </c>
      <c r="AV808" s="29">
        <f t="shared" si="851"/>
        <v>0</v>
      </c>
      <c r="AW808" s="29">
        <f t="shared" si="852"/>
        <v>0</v>
      </c>
      <c r="AX808" s="29">
        <f t="shared" si="853"/>
        <v>0</v>
      </c>
      <c r="AY808" s="54" t="s">
        <v>645</v>
      </c>
      <c r="AZ808" s="54" t="s">
        <v>1645</v>
      </c>
      <c r="BA808" s="48" t="s">
        <v>1649</v>
      </c>
      <c r="BC808" s="29">
        <f t="shared" si="854"/>
        <v>0</v>
      </c>
      <c r="BD808" s="29">
        <f t="shared" si="855"/>
        <v>50</v>
      </c>
      <c r="BE808" s="29">
        <v>0</v>
      </c>
      <c r="BF808" s="29">
        <f t="shared" si="856"/>
        <v>0</v>
      </c>
      <c r="BH808" s="55">
        <f t="shared" si="857"/>
        <v>0</v>
      </c>
      <c r="BI808" s="55">
        <f t="shared" si="858"/>
        <v>0</v>
      </c>
      <c r="BJ808" s="55">
        <f t="shared" si="859"/>
        <v>0</v>
      </c>
    </row>
    <row r="809" spans="1:62" ht="12.75">
      <c r="A809" s="36" t="s">
        <v>2028</v>
      </c>
      <c r="B809" s="36" t="s">
        <v>61</v>
      </c>
      <c r="C809" s="36" t="s">
        <v>335</v>
      </c>
      <c r="D809" s="36" t="s">
        <v>1633</v>
      </c>
      <c r="E809" s="36" t="s">
        <v>606</v>
      </c>
      <c r="F809" s="55">
        <f>'Stavební rozpočet'!F824</f>
        <v>0</v>
      </c>
      <c r="G809" s="55">
        <f>'Stavební rozpočet'!G824</f>
        <v>506.25</v>
      </c>
      <c r="H809" s="55">
        <f t="shared" si="834"/>
        <v>0</v>
      </c>
      <c r="I809" s="55">
        <f t="shared" si="835"/>
        <v>0</v>
      </c>
      <c r="J809" s="55">
        <f t="shared" si="836"/>
        <v>0</v>
      </c>
      <c r="K809" s="55">
        <f>'Stavební rozpočet'!K824</f>
        <v>0</v>
      </c>
      <c r="L809" s="55">
        <f t="shared" si="837"/>
        <v>0</v>
      </c>
      <c r="M809" s="51" t="s">
        <v>622</v>
      </c>
      <c r="Z809" s="29">
        <f t="shared" si="838"/>
        <v>0</v>
      </c>
      <c r="AB809" s="29">
        <f t="shared" si="839"/>
        <v>0</v>
      </c>
      <c r="AC809" s="29">
        <f t="shared" si="840"/>
        <v>0</v>
      </c>
      <c r="AD809" s="29">
        <f t="shared" si="841"/>
        <v>0</v>
      </c>
      <c r="AE809" s="29">
        <f t="shared" si="842"/>
        <v>0</v>
      </c>
      <c r="AF809" s="29">
        <f t="shared" si="843"/>
        <v>0</v>
      </c>
      <c r="AG809" s="29">
        <f t="shared" si="844"/>
        <v>0</v>
      </c>
      <c r="AH809" s="29">
        <f t="shared" si="845"/>
        <v>0</v>
      </c>
      <c r="AI809" s="48" t="s">
        <v>61</v>
      </c>
      <c r="AJ809" s="55">
        <f t="shared" si="846"/>
        <v>0</v>
      </c>
      <c r="AK809" s="55">
        <f t="shared" si="847"/>
        <v>0</v>
      </c>
      <c r="AL809" s="55">
        <f t="shared" si="848"/>
        <v>0</v>
      </c>
      <c r="AN809" s="29">
        <v>15</v>
      </c>
      <c r="AO809" s="29">
        <f t="shared" si="849"/>
        <v>0</v>
      </c>
      <c r="AP809" s="29">
        <f t="shared" si="850"/>
        <v>506.25</v>
      </c>
      <c r="AQ809" s="51" t="s">
        <v>85</v>
      </c>
      <c r="AV809" s="29">
        <f t="shared" si="851"/>
        <v>0</v>
      </c>
      <c r="AW809" s="29">
        <f t="shared" si="852"/>
        <v>0</v>
      </c>
      <c r="AX809" s="29">
        <f t="shared" si="853"/>
        <v>0</v>
      </c>
      <c r="AY809" s="54" t="s">
        <v>645</v>
      </c>
      <c r="AZ809" s="54" t="s">
        <v>1645</v>
      </c>
      <c r="BA809" s="48" t="s">
        <v>1649</v>
      </c>
      <c r="BC809" s="29">
        <f t="shared" si="854"/>
        <v>0</v>
      </c>
      <c r="BD809" s="29">
        <f t="shared" si="855"/>
        <v>506.25</v>
      </c>
      <c r="BE809" s="29">
        <v>0</v>
      </c>
      <c r="BF809" s="29">
        <f t="shared" si="856"/>
        <v>0</v>
      </c>
      <c r="BH809" s="55">
        <f t="shared" si="857"/>
        <v>0</v>
      </c>
      <c r="BI809" s="55">
        <f t="shared" si="858"/>
        <v>0</v>
      </c>
      <c r="BJ809" s="55">
        <f t="shared" si="859"/>
        <v>0</v>
      </c>
    </row>
    <row r="810" spans="1:62" ht="12.75">
      <c r="A810" s="36" t="s">
        <v>1651</v>
      </c>
      <c r="B810" s="36" t="s">
        <v>61</v>
      </c>
      <c r="C810" s="36" t="s">
        <v>336</v>
      </c>
      <c r="D810" s="36" t="s">
        <v>1634</v>
      </c>
      <c r="E810" s="36" t="s">
        <v>606</v>
      </c>
      <c r="F810" s="55">
        <f>'Stavební rozpočet'!F825</f>
        <v>0</v>
      </c>
      <c r="G810" s="55">
        <f>'Stavební rozpočet'!G825</f>
        <v>727.5</v>
      </c>
      <c r="H810" s="55">
        <f t="shared" si="834"/>
        <v>0</v>
      </c>
      <c r="I810" s="55">
        <f t="shared" si="835"/>
        <v>0</v>
      </c>
      <c r="J810" s="55">
        <f t="shared" si="836"/>
        <v>0</v>
      </c>
      <c r="K810" s="55">
        <f>'Stavební rozpočet'!K825</f>
        <v>0</v>
      </c>
      <c r="L810" s="55">
        <f t="shared" si="837"/>
        <v>0</v>
      </c>
      <c r="M810" s="51" t="s">
        <v>622</v>
      </c>
      <c r="Z810" s="29">
        <f t="shared" si="838"/>
        <v>0</v>
      </c>
      <c r="AB810" s="29">
        <f t="shared" si="839"/>
        <v>0</v>
      </c>
      <c r="AC810" s="29">
        <f t="shared" si="840"/>
        <v>0</v>
      </c>
      <c r="AD810" s="29">
        <f t="shared" si="841"/>
        <v>0</v>
      </c>
      <c r="AE810" s="29">
        <f t="shared" si="842"/>
        <v>0</v>
      </c>
      <c r="AF810" s="29">
        <f t="shared" si="843"/>
        <v>0</v>
      </c>
      <c r="AG810" s="29">
        <f t="shared" si="844"/>
        <v>0</v>
      </c>
      <c r="AH810" s="29">
        <f t="shared" si="845"/>
        <v>0</v>
      </c>
      <c r="AI810" s="48" t="s">
        <v>61</v>
      </c>
      <c r="AJ810" s="55">
        <f t="shared" si="846"/>
        <v>0</v>
      </c>
      <c r="AK810" s="55">
        <f t="shared" si="847"/>
        <v>0</v>
      </c>
      <c r="AL810" s="55">
        <f t="shared" si="848"/>
        <v>0</v>
      </c>
      <c r="AN810" s="29">
        <v>15</v>
      </c>
      <c r="AO810" s="29">
        <f t="shared" si="849"/>
        <v>0</v>
      </c>
      <c r="AP810" s="29">
        <f t="shared" si="850"/>
        <v>727.5</v>
      </c>
      <c r="AQ810" s="51" t="s">
        <v>85</v>
      </c>
      <c r="AV810" s="29">
        <f t="shared" si="851"/>
        <v>0</v>
      </c>
      <c r="AW810" s="29">
        <f t="shared" si="852"/>
        <v>0</v>
      </c>
      <c r="AX810" s="29">
        <f t="shared" si="853"/>
        <v>0</v>
      </c>
      <c r="AY810" s="54" t="s">
        <v>645</v>
      </c>
      <c r="AZ810" s="54" t="s">
        <v>1645</v>
      </c>
      <c r="BA810" s="48" t="s">
        <v>1649</v>
      </c>
      <c r="BC810" s="29">
        <f t="shared" si="854"/>
        <v>0</v>
      </c>
      <c r="BD810" s="29">
        <f t="shared" si="855"/>
        <v>727.5</v>
      </c>
      <c r="BE810" s="29">
        <v>0</v>
      </c>
      <c r="BF810" s="29">
        <f t="shared" si="856"/>
        <v>0</v>
      </c>
      <c r="BH810" s="55">
        <f t="shared" si="857"/>
        <v>0</v>
      </c>
      <c r="BI810" s="55">
        <f t="shared" si="858"/>
        <v>0</v>
      </c>
      <c r="BJ810" s="55">
        <f t="shared" si="859"/>
        <v>0</v>
      </c>
    </row>
    <row r="811" spans="1:62" ht="12.75">
      <c r="A811" s="36" t="s">
        <v>1653</v>
      </c>
      <c r="B811" s="36" t="s">
        <v>61</v>
      </c>
      <c r="C811" s="36" t="s">
        <v>337</v>
      </c>
      <c r="D811" s="36" t="s">
        <v>526</v>
      </c>
      <c r="E811" s="36" t="s">
        <v>606</v>
      </c>
      <c r="F811" s="55">
        <f>'Stavební rozpočet'!F826</f>
        <v>0</v>
      </c>
      <c r="G811" s="55">
        <f>'Stavební rozpočet'!G826</f>
        <v>186</v>
      </c>
      <c r="H811" s="55">
        <f t="shared" si="834"/>
        <v>0</v>
      </c>
      <c r="I811" s="55">
        <f t="shared" si="835"/>
        <v>0</v>
      </c>
      <c r="J811" s="55">
        <f t="shared" si="836"/>
        <v>0</v>
      </c>
      <c r="K811" s="55">
        <f>'Stavební rozpočet'!K826</f>
        <v>0</v>
      </c>
      <c r="L811" s="55">
        <f t="shared" si="837"/>
        <v>0</v>
      </c>
      <c r="M811" s="51" t="s">
        <v>622</v>
      </c>
      <c r="Z811" s="29">
        <f t="shared" si="838"/>
        <v>0</v>
      </c>
      <c r="AB811" s="29">
        <f t="shared" si="839"/>
        <v>0</v>
      </c>
      <c r="AC811" s="29">
        <f t="shared" si="840"/>
        <v>0</v>
      </c>
      <c r="AD811" s="29">
        <f t="shared" si="841"/>
        <v>0</v>
      </c>
      <c r="AE811" s="29">
        <f t="shared" si="842"/>
        <v>0</v>
      </c>
      <c r="AF811" s="29">
        <f t="shared" si="843"/>
        <v>0</v>
      </c>
      <c r="AG811" s="29">
        <f t="shared" si="844"/>
        <v>0</v>
      </c>
      <c r="AH811" s="29">
        <f t="shared" si="845"/>
        <v>0</v>
      </c>
      <c r="AI811" s="48" t="s">
        <v>61</v>
      </c>
      <c r="AJ811" s="55">
        <f t="shared" si="846"/>
        <v>0</v>
      </c>
      <c r="AK811" s="55">
        <f t="shared" si="847"/>
        <v>0</v>
      </c>
      <c r="AL811" s="55">
        <f t="shared" si="848"/>
        <v>0</v>
      </c>
      <c r="AN811" s="29">
        <v>15</v>
      </c>
      <c r="AO811" s="29">
        <f t="shared" si="849"/>
        <v>0</v>
      </c>
      <c r="AP811" s="29">
        <f t="shared" si="850"/>
        <v>186</v>
      </c>
      <c r="AQ811" s="51" t="s">
        <v>85</v>
      </c>
      <c r="AV811" s="29">
        <f t="shared" si="851"/>
        <v>0</v>
      </c>
      <c r="AW811" s="29">
        <f t="shared" si="852"/>
        <v>0</v>
      </c>
      <c r="AX811" s="29">
        <f t="shared" si="853"/>
        <v>0</v>
      </c>
      <c r="AY811" s="54" t="s">
        <v>645</v>
      </c>
      <c r="AZ811" s="54" t="s">
        <v>1645</v>
      </c>
      <c r="BA811" s="48" t="s">
        <v>1649</v>
      </c>
      <c r="BC811" s="29">
        <f t="shared" si="854"/>
        <v>0</v>
      </c>
      <c r="BD811" s="29">
        <f t="shared" si="855"/>
        <v>186</v>
      </c>
      <c r="BE811" s="29">
        <v>0</v>
      </c>
      <c r="BF811" s="29">
        <f t="shared" si="856"/>
        <v>0</v>
      </c>
      <c r="BH811" s="55">
        <f t="shared" si="857"/>
        <v>0</v>
      </c>
      <c r="BI811" s="55">
        <f t="shared" si="858"/>
        <v>0</v>
      </c>
      <c r="BJ811" s="55">
        <f t="shared" si="859"/>
        <v>0</v>
      </c>
    </row>
    <row r="812" spans="1:62" ht="12.75">
      <c r="A812" s="36" t="s">
        <v>2029</v>
      </c>
      <c r="B812" s="36" t="s">
        <v>61</v>
      </c>
      <c r="C812" s="36" t="s">
        <v>338</v>
      </c>
      <c r="D812" s="36" t="s">
        <v>527</v>
      </c>
      <c r="E812" s="36" t="s">
        <v>606</v>
      </c>
      <c r="F812" s="55">
        <f>'Stavební rozpočet'!F827</f>
        <v>0</v>
      </c>
      <c r="G812" s="55">
        <f>'Stavební rozpočet'!G827</f>
        <v>125</v>
      </c>
      <c r="H812" s="55">
        <f t="shared" si="834"/>
        <v>0</v>
      </c>
      <c r="I812" s="55">
        <f t="shared" si="835"/>
        <v>0</v>
      </c>
      <c r="J812" s="55">
        <f t="shared" si="836"/>
        <v>0</v>
      </c>
      <c r="K812" s="55">
        <f>'Stavební rozpočet'!K827</f>
        <v>0</v>
      </c>
      <c r="L812" s="55">
        <f t="shared" si="837"/>
        <v>0</v>
      </c>
      <c r="M812" s="51" t="s">
        <v>622</v>
      </c>
      <c r="Z812" s="29">
        <f t="shared" si="838"/>
        <v>0</v>
      </c>
      <c r="AB812" s="29">
        <f t="shared" si="839"/>
        <v>0</v>
      </c>
      <c r="AC812" s="29">
        <f t="shared" si="840"/>
        <v>0</v>
      </c>
      <c r="AD812" s="29">
        <f t="shared" si="841"/>
        <v>0</v>
      </c>
      <c r="AE812" s="29">
        <f t="shared" si="842"/>
        <v>0</v>
      </c>
      <c r="AF812" s="29">
        <f t="shared" si="843"/>
        <v>0</v>
      </c>
      <c r="AG812" s="29">
        <f t="shared" si="844"/>
        <v>0</v>
      </c>
      <c r="AH812" s="29">
        <f t="shared" si="845"/>
        <v>0</v>
      </c>
      <c r="AI812" s="48" t="s">
        <v>61</v>
      </c>
      <c r="AJ812" s="55">
        <f t="shared" si="846"/>
        <v>0</v>
      </c>
      <c r="AK812" s="55">
        <f t="shared" si="847"/>
        <v>0</v>
      </c>
      <c r="AL812" s="55">
        <f t="shared" si="848"/>
        <v>0</v>
      </c>
      <c r="AN812" s="29">
        <v>15</v>
      </c>
      <c r="AO812" s="29">
        <f t="shared" si="849"/>
        <v>0</v>
      </c>
      <c r="AP812" s="29">
        <f t="shared" si="850"/>
        <v>125</v>
      </c>
      <c r="AQ812" s="51" t="s">
        <v>85</v>
      </c>
      <c r="AV812" s="29">
        <f t="shared" si="851"/>
        <v>0</v>
      </c>
      <c r="AW812" s="29">
        <f t="shared" si="852"/>
        <v>0</v>
      </c>
      <c r="AX812" s="29">
        <f t="shared" si="853"/>
        <v>0</v>
      </c>
      <c r="AY812" s="54" t="s">
        <v>645</v>
      </c>
      <c r="AZ812" s="54" t="s">
        <v>1645</v>
      </c>
      <c r="BA812" s="48" t="s">
        <v>1649</v>
      </c>
      <c r="BC812" s="29">
        <f t="shared" si="854"/>
        <v>0</v>
      </c>
      <c r="BD812" s="29">
        <f t="shared" si="855"/>
        <v>125</v>
      </c>
      <c r="BE812" s="29">
        <v>0</v>
      </c>
      <c r="BF812" s="29">
        <f t="shared" si="856"/>
        <v>0</v>
      </c>
      <c r="BH812" s="55">
        <f t="shared" si="857"/>
        <v>0</v>
      </c>
      <c r="BI812" s="55">
        <f t="shared" si="858"/>
        <v>0</v>
      </c>
      <c r="BJ812" s="55">
        <f t="shared" si="859"/>
        <v>0</v>
      </c>
    </row>
    <row r="813" spans="1:62" ht="12.75">
      <c r="A813" s="36" t="s">
        <v>2030</v>
      </c>
      <c r="B813" s="36" t="s">
        <v>61</v>
      </c>
      <c r="C813" s="36" t="s">
        <v>339</v>
      </c>
      <c r="D813" s="36" t="s">
        <v>528</v>
      </c>
      <c r="E813" s="36" t="s">
        <v>606</v>
      </c>
      <c r="F813" s="55">
        <f>'Stavební rozpočet'!F828</f>
        <v>0</v>
      </c>
      <c r="G813" s="55">
        <f>'Stavební rozpočet'!G828</f>
        <v>19025</v>
      </c>
      <c r="H813" s="55">
        <f t="shared" si="834"/>
        <v>0</v>
      </c>
      <c r="I813" s="55">
        <f t="shared" si="835"/>
        <v>0</v>
      </c>
      <c r="J813" s="55">
        <f t="shared" si="836"/>
        <v>0</v>
      </c>
      <c r="K813" s="55">
        <f>'Stavební rozpočet'!K828</f>
        <v>0</v>
      </c>
      <c r="L813" s="55">
        <f t="shared" si="837"/>
        <v>0</v>
      </c>
      <c r="M813" s="51" t="s">
        <v>622</v>
      </c>
      <c r="Z813" s="29">
        <f t="shared" si="838"/>
        <v>0</v>
      </c>
      <c r="AB813" s="29">
        <f t="shared" si="839"/>
        <v>0</v>
      </c>
      <c r="AC813" s="29">
        <f t="shared" si="840"/>
        <v>0</v>
      </c>
      <c r="AD813" s="29">
        <f t="shared" si="841"/>
        <v>0</v>
      </c>
      <c r="AE813" s="29">
        <f t="shared" si="842"/>
        <v>0</v>
      </c>
      <c r="AF813" s="29">
        <f t="shared" si="843"/>
        <v>0</v>
      </c>
      <c r="AG813" s="29">
        <f t="shared" si="844"/>
        <v>0</v>
      </c>
      <c r="AH813" s="29">
        <f t="shared" si="845"/>
        <v>0</v>
      </c>
      <c r="AI813" s="48" t="s">
        <v>61</v>
      </c>
      <c r="AJ813" s="55">
        <f t="shared" si="846"/>
        <v>0</v>
      </c>
      <c r="AK813" s="55">
        <f t="shared" si="847"/>
        <v>0</v>
      </c>
      <c r="AL813" s="55">
        <f t="shared" si="848"/>
        <v>0</v>
      </c>
      <c r="AN813" s="29">
        <v>15</v>
      </c>
      <c r="AO813" s="29">
        <f t="shared" si="849"/>
        <v>0</v>
      </c>
      <c r="AP813" s="29">
        <f t="shared" si="850"/>
        <v>19025</v>
      </c>
      <c r="AQ813" s="51" t="s">
        <v>85</v>
      </c>
      <c r="AV813" s="29">
        <f t="shared" si="851"/>
        <v>0</v>
      </c>
      <c r="AW813" s="29">
        <f t="shared" si="852"/>
        <v>0</v>
      </c>
      <c r="AX813" s="29">
        <f t="shared" si="853"/>
        <v>0</v>
      </c>
      <c r="AY813" s="54" t="s">
        <v>645</v>
      </c>
      <c r="AZ813" s="54" t="s">
        <v>1645</v>
      </c>
      <c r="BA813" s="48" t="s">
        <v>1649</v>
      </c>
      <c r="BC813" s="29">
        <f t="shared" si="854"/>
        <v>0</v>
      </c>
      <c r="BD813" s="29">
        <f t="shared" si="855"/>
        <v>19025</v>
      </c>
      <c r="BE813" s="29">
        <v>0</v>
      </c>
      <c r="BF813" s="29">
        <f t="shared" si="856"/>
        <v>0</v>
      </c>
      <c r="BH813" s="55">
        <f t="shared" si="857"/>
        <v>0</v>
      </c>
      <c r="BI813" s="55">
        <f t="shared" si="858"/>
        <v>0</v>
      </c>
      <c r="BJ813" s="55">
        <f t="shared" si="859"/>
        <v>0</v>
      </c>
    </row>
    <row r="814" spans="1:62" ht="12.75">
      <c r="A814" s="36" t="s">
        <v>2031</v>
      </c>
      <c r="B814" s="36" t="s">
        <v>61</v>
      </c>
      <c r="C814" s="36" t="s">
        <v>340</v>
      </c>
      <c r="D814" s="36" t="s">
        <v>530</v>
      </c>
      <c r="E814" s="36" t="s">
        <v>611</v>
      </c>
      <c r="F814" s="55">
        <f>'Stavební rozpočet'!F829</f>
        <v>0</v>
      </c>
      <c r="G814" s="55">
        <f>'Stavební rozpočet'!G829</f>
        <v>450</v>
      </c>
      <c r="H814" s="55">
        <f t="shared" si="834"/>
        <v>0</v>
      </c>
      <c r="I814" s="55">
        <f t="shared" si="835"/>
        <v>0</v>
      </c>
      <c r="J814" s="55">
        <f t="shared" si="836"/>
        <v>0</v>
      </c>
      <c r="K814" s="55">
        <f>'Stavební rozpočet'!K829</f>
        <v>0</v>
      </c>
      <c r="L814" s="55">
        <f t="shared" si="837"/>
        <v>0</v>
      </c>
      <c r="M814" s="51" t="s">
        <v>622</v>
      </c>
      <c r="Z814" s="29">
        <f t="shared" si="838"/>
        <v>0</v>
      </c>
      <c r="AB814" s="29">
        <f t="shared" si="839"/>
        <v>0</v>
      </c>
      <c r="AC814" s="29">
        <f t="shared" si="840"/>
        <v>0</v>
      </c>
      <c r="AD814" s="29">
        <f t="shared" si="841"/>
        <v>0</v>
      </c>
      <c r="AE814" s="29">
        <f t="shared" si="842"/>
        <v>0</v>
      </c>
      <c r="AF814" s="29">
        <f t="shared" si="843"/>
        <v>0</v>
      </c>
      <c r="AG814" s="29">
        <f t="shared" si="844"/>
        <v>0</v>
      </c>
      <c r="AH814" s="29">
        <f t="shared" si="845"/>
        <v>0</v>
      </c>
      <c r="AI814" s="48" t="s">
        <v>61</v>
      </c>
      <c r="AJ814" s="55">
        <f t="shared" si="846"/>
        <v>0</v>
      </c>
      <c r="AK814" s="55">
        <f t="shared" si="847"/>
        <v>0</v>
      </c>
      <c r="AL814" s="55">
        <f t="shared" si="848"/>
        <v>0</v>
      </c>
      <c r="AN814" s="29">
        <v>15</v>
      </c>
      <c r="AO814" s="29">
        <f t="shared" si="849"/>
        <v>0</v>
      </c>
      <c r="AP814" s="29">
        <f t="shared" si="850"/>
        <v>450</v>
      </c>
      <c r="AQ814" s="51" t="s">
        <v>85</v>
      </c>
      <c r="AV814" s="29">
        <f t="shared" si="851"/>
        <v>0</v>
      </c>
      <c r="AW814" s="29">
        <f t="shared" si="852"/>
        <v>0</v>
      </c>
      <c r="AX814" s="29">
        <f t="shared" si="853"/>
        <v>0</v>
      </c>
      <c r="AY814" s="54" t="s">
        <v>645</v>
      </c>
      <c r="AZ814" s="54" t="s">
        <v>1645</v>
      </c>
      <c r="BA814" s="48" t="s">
        <v>1649</v>
      </c>
      <c r="BC814" s="29">
        <f t="shared" si="854"/>
        <v>0</v>
      </c>
      <c r="BD814" s="29">
        <f t="shared" si="855"/>
        <v>450</v>
      </c>
      <c r="BE814" s="29">
        <v>0</v>
      </c>
      <c r="BF814" s="29">
        <f t="shared" si="856"/>
        <v>0</v>
      </c>
      <c r="BH814" s="55">
        <f t="shared" si="857"/>
        <v>0</v>
      </c>
      <c r="BI814" s="55">
        <f t="shared" si="858"/>
        <v>0</v>
      </c>
      <c r="BJ814" s="55">
        <f t="shared" si="859"/>
        <v>0</v>
      </c>
    </row>
    <row r="815" spans="1:62" ht="12.75">
      <c r="A815" s="36" t="s">
        <v>2032</v>
      </c>
      <c r="B815" s="36" t="s">
        <v>61</v>
      </c>
      <c r="C815" s="36" t="s">
        <v>1590</v>
      </c>
      <c r="D815" s="36" t="s">
        <v>531</v>
      </c>
      <c r="E815" s="36" t="s">
        <v>611</v>
      </c>
      <c r="F815" s="55">
        <f>'Stavební rozpočet'!F830</f>
        <v>0</v>
      </c>
      <c r="G815" s="55">
        <f>'Stavební rozpočet'!G830</f>
        <v>350</v>
      </c>
      <c r="H815" s="55">
        <f t="shared" si="834"/>
        <v>0</v>
      </c>
      <c r="I815" s="55">
        <f t="shared" si="835"/>
        <v>0</v>
      </c>
      <c r="J815" s="55">
        <f t="shared" si="836"/>
        <v>0</v>
      </c>
      <c r="K815" s="55">
        <f>'Stavební rozpočet'!K830</f>
        <v>0</v>
      </c>
      <c r="L815" s="55">
        <f t="shared" si="837"/>
        <v>0</v>
      </c>
      <c r="M815" s="51" t="s">
        <v>622</v>
      </c>
      <c r="Z815" s="29">
        <f t="shared" si="838"/>
        <v>0</v>
      </c>
      <c r="AB815" s="29">
        <f t="shared" si="839"/>
        <v>0</v>
      </c>
      <c r="AC815" s="29">
        <f t="shared" si="840"/>
        <v>0</v>
      </c>
      <c r="AD815" s="29">
        <f t="shared" si="841"/>
        <v>0</v>
      </c>
      <c r="AE815" s="29">
        <f t="shared" si="842"/>
        <v>0</v>
      </c>
      <c r="AF815" s="29">
        <f t="shared" si="843"/>
        <v>0</v>
      </c>
      <c r="AG815" s="29">
        <f t="shared" si="844"/>
        <v>0</v>
      </c>
      <c r="AH815" s="29">
        <f t="shared" si="845"/>
        <v>0</v>
      </c>
      <c r="AI815" s="48" t="s">
        <v>61</v>
      </c>
      <c r="AJ815" s="55">
        <f t="shared" si="846"/>
        <v>0</v>
      </c>
      <c r="AK815" s="55">
        <f t="shared" si="847"/>
        <v>0</v>
      </c>
      <c r="AL815" s="55">
        <f t="shared" si="848"/>
        <v>0</v>
      </c>
      <c r="AN815" s="29">
        <v>15</v>
      </c>
      <c r="AO815" s="29">
        <f t="shared" si="849"/>
        <v>0</v>
      </c>
      <c r="AP815" s="29">
        <f t="shared" si="850"/>
        <v>350</v>
      </c>
      <c r="AQ815" s="51" t="s">
        <v>85</v>
      </c>
      <c r="AV815" s="29">
        <f t="shared" si="851"/>
        <v>0</v>
      </c>
      <c r="AW815" s="29">
        <f t="shared" si="852"/>
        <v>0</v>
      </c>
      <c r="AX815" s="29">
        <f t="shared" si="853"/>
        <v>0</v>
      </c>
      <c r="AY815" s="54" t="s">
        <v>645</v>
      </c>
      <c r="AZ815" s="54" t="s">
        <v>1645</v>
      </c>
      <c r="BA815" s="48" t="s">
        <v>1649</v>
      </c>
      <c r="BC815" s="29">
        <f t="shared" si="854"/>
        <v>0</v>
      </c>
      <c r="BD815" s="29">
        <f t="shared" si="855"/>
        <v>350</v>
      </c>
      <c r="BE815" s="29">
        <v>0</v>
      </c>
      <c r="BF815" s="29">
        <f t="shared" si="856"/>
        <v>0</v>
      </c>
      <c r="BH815" s="55">
        <f t="shared" si="857"/>
        <v>0</v>
      </c>
      <c r="BI815" s="55">
        <f t="shared" si="858"/>
        <v>0</v>
      </c>
      <c r="BJ815" s="55">
        <f t="shared" si="859"/>
        <v>0</v>
      </c>
    </row>
    <row r="816" spans="1:62" ht="12.75">
      <c r="A816" s="36" t="s">
        <v>2033</v>
      </c>
      <c r="B816" s="36" t="s">
        <v>61</v>
      </c>
      <c r="C816" s="36" t="s">
        <v>1591</v>
      </c>
      <c r="D816" s="36" t="s">
        <v>532</v>
      </c>
      <c r="E816" s="36" t="s">
        <v>606</v>
      </c>
      <c r="F816" s="55">
        <f>'Stavební rozpočet'!F831</f>
        <v>0</v>
      </c>
      <c r="G816" s="55">
        <f>'Stavební rozpočet'!G831</f>
        <v>1000</v>
      </c>
      <c r="H816" s="55">
        <f t="shared" si="834"/>
        <v>0</v>
      </c>
      <c r="I816" s="55">
        <f t="shared" si="835"/>
        <v>0</v>
      </c>
      <c r="J816" s="55">
        <f t="shared" si="836"/>
        <v>0</v>
      </c>
      <c r="K816" s="55">
        <f>'Stavební rozpočet'!K831</f>
        <v>0</v>
      </c>
      <c r="L816" s="55">
        <f t="shared" si="837"/>
        <v>0</v>
      </c>
      <c r="M816" s="51" t="s">
        <v>622</v>
      </c>
      <c r="Z816" s="29">
        <f t="shared" si="838"/>
        <v>0</v>
      </c>
      <c r="AB816" s="29">
        <f t="shared" si="839"/>
        <v>0</v>
      </c>
      <c r="AC816" s="29">
        <f t="shared" si="840"/>
        <v>0</v>
      </c>
      <c r="AD816" s="29">
        <f t="shared" si="841"/>
        <v>0</v>
      </c>
      <c r="AE816" s="29">
        <f t="shared" si="842"/>
        <v>0</v>
      </c>
      <c r="AF816" s="29">
        <f t="shared" si="843"/>
        <v>0</v>
      </c>
      <c r="AG816" s="29">
        <f t="shared" si="844"/>
        <v>0</v>
      </c>
      <c r="AH816" s="29">
        <f t="shared" si="845"/>
        <v>0</v>
      </c>
      <c r="AI816" s="48" t="s">
        <v>61</v>
      </c>
      <c r="AJ816" s="55">
        <f t="shared" si="846"/>
        <v>0</v>
      </c>
      <c r="AK816" s="55">
        <f t="shared" si="847"/>
        <v>0</v>
      </c>
      <c r="AL816" s="55">
        <f t="shared" si="848"/>
        <v>0</v>
      </c>
      <c r="AN816" s="29">
        <v>15</v>
      </c>
      <c r="AO816" s="29">
        <f t="shared" si="849"/>
        <v>0</v>
      </c>
      <c r="AP816" s="29">
        <f t="shared" si="850"/>
        <v>1000</v>
      </c>
      <c r="AQ816" s="51" t="s">
        <v>85</v>
      </c>
      <c r="AV816" s="29">
        <f t="shared" si="851"/>
        <v>0</v>
      </c>
      <c r="AW816" s="29">
        <f t="shared" si="852"/>
        <v>0</v>
      </c>
      <c r="AX816" s="29">
        <f t="shared" si="853"/>
        <v>0</v>
      </c>
      <c r="AY816" s="54" t="s">
        <v>645</v>
      </c>
      <c r="AZ816" s="54" t="s">
        <v>1645</v>
      </c>
      <c r="BA816" s="48" t="s">
        <v>1649</v>
      </c>
      <c r="BC816" s="29">
        <f t="shared" si="854"/>
        <v>0</v>
      </c>
      <c r="BD816" s="29">
        <f t="shared" si="855"/>
        <v>1000</v>
      </c>
      <c r="BE816" s="29">
        <v>0</v>
      </c>
      <c r="BF816" s="29">
        <f t="shared" si="856"/>
        <v>0</v>
      </c>
      <c r="BH816" s="55">
        <f t="shared" si="857"/>
        <v>0</v>
      </c>
      <c r="BI816" s="55">
        <f t="shared" si="858"/>
        <v>0</v>
      </c>
      <c r="BJ816" s="55">
        <f t="shared" si="859"/>
        <v>0</v>
      </c>
    </row>
    <row r="817" spans="1:62" ht="12.75">
      <c r="A817" s="36" t="s">
        <v>1668</v>
      </c>
      <c r="B817" s="36" t="s">
        <v>61</v>
      </c>
      <c r="C817" s="36" t="s">
        <v>341</v>
      </c>
      <c r="D817" s="36" t="s">
        <v>529</v>
      </c>
      <c r="E817" s="36" t="s">
        <v>609</v>
      </c>
      <c r="F817" s="55">
        <f>'Stavební rozpočet'!F832</f>
        <v>0</v>
      </c>
      <c r="G817" s="55">
        <f>'Stavební rozpočet'!G832</f>
        <v>80</v>
      </c>
      <c r="H817" s="55">
        <f t="shared" si="834"/>
        <v>0</v>
      </c>
      <c r="I817" s="55">
        <f t="shared" si="835"/>
        <v>0</v>
      </c>
      <c r="J817" s="55">
        <f t="shared" si="836"/>
        <v>0</v>
      </c>
      <c r="K817" s="55">
        <f>'Stavební rozpočet'!K832</f>
        <v>0</v>
      </c>
      <c r="L817" s="55">
        <f t="shared" si="837"/>
        <v>0</v>
      </c>
      <c r="M817" s="51" t="s">
        <v>622</v>
      </c>
      <c r="Z817" s="29">
        <f t="shared" si="838"/>
        <v>0</v>
      </c>
      <c r="AB817" s="29">
        <f t="shared" si="839"/>
        <v>0</v>
      </c>
      <c r="AC817" s="29">
        <f t="shared" si="840"/>
        <v>0</v>
      </c>
      <c r="AD817" s="29">
        <f t="shared" si="841"/>
        <v>0</v>
      </c>
      <c r="AE817" s="29">
        <f t="shared" si="842"/>
        <v>0</v>
      </c>
      <c r="AF817" s="29">
        <f t="shared" si="843"/>
        <v>0</v>
      </c>
      <c r="AG817" s="29">
        <f t="shared" si="844"/>
        <v>0</v>
      </c>
      <c r="AH817" s="29">
        <f t="shared" si="845"/>
        <v>0</v>
      </c>
      <c r="AI817" s="48" t="s">
        <v>61</v>
      </c>
      <c r="AJ817" s="55">
        <f t="shared" si="846"/>
        <v>0</v>
      </c>
      <c r="AK817" s="55">
        <f t="shared" si="847"/>
        <v>0</v>
      </c>
      <c r="AL817" s="55">
        <f t="shared" si="848"/>
        <v>0</v>
      </c>
      <c r="AN817" s="29">
        <v>15</v>
      </c>
      <c r="AO817" s="29">
        <f t="shared" si="849"/>
        <v>0</v>
      </c>
      <c r="AP817" s="29">
        <f t="shared" si="850"/>
        <v>80</v>
      </c>
      <c r="AQ817" s="51" t="s">
        <v>85</v>
      </c>
      <c r="AV817" s="29">
        <f t="shared" si="851"/>
        <v>0</v>
      </c>
      <c r="AW817" s="29">
        <f t="shared" si="852"/>
        <v>0</v>
      </c>
      <c r="AX817" s="29">
        <f t="shared" si="853"/>
        <v>0</v>
      </c>
      <c r="AY817" s="54" t="s">
        <v>645</v>
      </c>
      <c r="AZ817" s="54" t="s">
        <v>1645</v>
      </c>
      <c r="BA817" s="48" t="s">
        <v>1649</v>
      </c>
      <c r="BC817" s="29">
        <f t="shared" si="854"/>
        <v>0</v>
      </c>
      <c r="BD817" s="29">
        <f t="shared" si="855"/>
        <v>80</v>
      </c>
      <c r="BE817" s="29">
        <v>0</v>
      </c>
      <c r="BF817" s="29">
        <f t="shared" si="856"/>
        <v>0</v>
      </c>
      <c r="BH817" s="55">
        <f t="shared" si="857"/>
        <v>0</v>
      </c>
      <c r="BI817" s="55">
        <f t="shared" si="858"/>
        <v>0</v>
      </c>
      <c r="BJ817" s="55">
        <f t="shared" si="859"/>
        <v>0</v>
      </c>
    </row>
    <row r="818" spans="1:62" ht="12.75">
      <c r="A818" s="36" t="s">
        <v>2034</v>
      </c>
      <c r="B818" s="36" t="s">
        <v>61</v>
      </c>
      <c r="C818" s="36" t="s">
        <v>344</v>
      </c>
      <c r="D818" s="36" t="s">
        <v>535</v>
      </c>
      <c r="E818" s="36" t="s">
        <v>606</v>
      </c>
      <c r="F818" s="55">
        <f>'Stavební rozpočet'!F833</f>
        <v>0</v>
      </c>
      <c r="G818" s="55">
        <f>'Stavební rozpočet'!G833</f>
        <v>5000</v>
      </c>
      <c r="H818" s="55">
        <f t="shared" si="834"/>
        <v>0</v>
      </c>
      <c r="I818" s="55">
        <f t="shared" si="835"/>
        <v>0</v>
      </c>
      <c r="J818" s="55">
        <f t="shared" si="836"/>
        <v>0</v>
      </c>
      <c r="K818" s="55">
        <f>'Stavební rozpočet'!K833</f>
        <v>0</v>
      </c>
      <c r="L818" s="55">
        <f t="shared" si="837"/>
        <v>0</v>
      </c>
      <c r="M818" s="51" t="s">
        <v>622</v>
      </c>
      <c r="Z818" s="29">
        <f t="shared" si="838"/>
        <v>0</v>
      </c>
      <c r="AB818" s="29">
        <f t="shared" si="839"/>
        <v>0</v>
      </c>
      <c r="AC818" s="29">
        <f t="shared" si="840"/>
        <v>0</v>
      </c>
      <c r="AD818" s="29">
        <f t="shared" si="841"/>
        <v>0</v>
      </c>
      <c r="AE818" s="29">
        <f t="shared" si="842"/>
        <v>0</v>
      </c>
      <c r="AF818" s="29">
        <f t="shared" si="843"/>
        <v>0</v>
      </c>
      <c r="AG818" s="29">
        <f t="shared" si="844"/>
        <v>0</v>
      </c>
      <c r="AH818" s="29">
        <f t="shared" si="845"/>
        <v>0</v>
      </c>
      <c r="AI818" s="48" t="s">
        <v>61</v>
      </c>
      <c r="AJ818" s="55">
        <f t="shared" si="846"/>
        <v>0</v>
      </c>
      <c r="AK818" s="55">
        <f t="shared" si="847"/>
        <v>0</v>
      </c>
      <c r="AL818" s="55">
        <f t="shared" si="848"/>
        <v>0</v>
      </c>
      <c r="AN818" s="29">
        <v>15</v>
      </c>
      <c r="AO818" s="29">
        <f t="shared" si="849"/>
        <v>0</v>
      </c>
      <c r="AP818" s="29">
        <f t="shared" si="850"/>
        <v>5000</v>
      </c>
      <c r="AQ818" s="51" t="s">
        <v>85</v>
      </c>
      <c r="AV818" s="29">
        <f t="shared" si="851"/>
        <v>0</v>
      </c>
      <c r="AW818" s="29">
        <f t="shared" si="852"/>
        <v>0</v>
      </c>
      <c r="AX818" s="29">
        <f t="shared" si="853"/>
        <v>0</v>
      </c>
      <c r="AY818" s="54" t="s">
        <v>645</v>
      </c>
      <c r="AZ818" s="54" t="s">
        <v>1645</v>
      </c>
      <c r="BA818" s="48" t="s">
        <v>1649</v>
      </c>
      <c r="BC818" s="29">
        <f t="shared" si="854"/>
        <v>0</v>
      </c>
      <c r="BD818" s="29">
        <f t="shared" si="855"/>
        <v>5000</v>
      </c>
      <c r="BE818" s="29">
        <v>0</v>
      </c>
      <c r="BF818" s="29">
        <f t="shared" si="856"/>
        <v>0</v>
      </c>
      <c r="BH818" s="55">
        <f t="shared" si="857"/>
        <v>0</v>
      </c>
      <c r="BI818" s="55">
        <f t="shared" si="858"/>
        <v>0</v>
      </c>
      <c r="BJ818" s="55">
        <f t="shared" si="859"/>
        <v>0</v>
      </c>
    </row>
    <row r="819" spans="1:62" ht="12.75">
      <c r="A819" s="36" t="s">
        <v>2035</v>
      </c>
      <c r="B819" s="36" t="s">
        <v>61</v>
      </c>
      <c r="C819" s="36" t="s">
        <v>347</v>
      </c>
      <c r="D819" s="36" t="s">
        <v>536</v>
      </c>
      <c r="E819" s="36" t="s">
        <v>606</v>
      </c>
      <c r="F819" s="55">
        <f>'Stavební rozpočet'!F834</f>
        <v>0</v>
      </c>
      <c r="G819" s="55">
        <f>'Stavební rozpočet'!G834</f>
        <v>4000</v>
      </c>
      <c r="H819" s="55">
        <f t="shared" si="834"/>
        <v>0</v>
      </c>
      <c r="I819" s="55">
        <f t="shared" si="835"/>
        <v>0</v>
      </c>
      <c r="J819" s="55">
        <f t="shared" si="836"/>
        <v>0</v>
      </c>
      <c r="K819" s="55">
        <f>'Stavební rozpočet'!K834</f>
        <v>0</v>
      </c>
      <c r="L819" s="55">
        <f t="shared" si="837"/>
        <v>0</v>
      </c>
      <c r="M819" s="51" t="s">
        <v>622</v>
      </c>
      <c r="Z819" s="29">
        <f t="shared" si="838"/>
        <v>0</v>
      </c>
      <c r="AB819" s="29">
        <f t="shared" si="839"/>
        <v>0</v>
      </c>
      <c r="AC819" s="29">
        <f t="shared" si="840"/>
        <v>0</v>
      </c>
      <c r="AD819" s="29">
        <f t="shared" si="841"/>
        <v>0</v>
      </c>
      <c r="AE819" s="29">
        <f t="shared" si="842"/>
        <v>0</v>
      </c>
      <c r="AF819" s="29">
        <f t="shared" si="843"/>
        <v>0</v>
      </c>
      <c r="AG819" s="29">
        <f t="shared" si="844"/>
        <v>0</v>
      </c>
      <c r="AH819" s="29">
        <f t="shared" si="845"/>
        <v>0</v>
      </c>
      <c r="AI819" s="48" t="s">
        <v>61</v>
      </c>
      <c r="AJ819" s="55">
        <f t="shared" si="846"/>
        <v>0</v>
      </c>
      <c r="AK819" s="55">
        <f t="shared" si="847"/>
        <v>0</v>
      </c>
      <c r="AL819" s="55">
        <f t="shared" si="848"/>
        <v>0</v>
      </c>
      <c r="AN819" s="29">
        <v>15</v>
      </c>
      <c r="AO819" s="29">
        <f t="shared" si="849"/>
        <v>0</v>
      </c>
      <c r="AP819" s="29">
        <f t="shared" si="850"/>
        <v>4000</v>
      </c>
      <c r="AQ819" s="51" t="s">
        <v>85</v>
      </c>
      <c r="AV819" s="29">
        <f t="shared" si="851"/>
        <v>0</v>
      </c>
      <c r="AW819" s="29">
        <f t="shared" si="852"/>
        <v>0</v>
      </c>
      <c r="AX819" s="29">
        <f t="shared" si="853"/>
        <v>0</v>
      </c>
      <c r="AY819" s="54" t="s">
        <v>645</v>
      </c>
      <c r="AZ819" s="54" t="s">
        <v>1645</v>
      </c>
      <c r="BA819" s="48" t="s">
        <v>1649</v>
      </c>
      <c r="BC819" s="29">
        <f t="shared" si="854"/>
        <v>0</v>
      </c>
      <c r="BD819" s="29">
        <f t="shared" si="855"/>
        <v>4000</v>
      </c>
      <c r="BE819" s="29">
        <v>0</v>
      </c>
      <c r="BF819" s="29">
        <f t="shared" si="856"/>
        <v>0</v>
      </c>
      <c r="BH819" s="55">
        <f t="shared" si="857"/>
        <v>0</v>
      </c>
      <c r="BI819" s="55">
        <f t="shared" si="858"/>
        <v>0</v>
      </c>
      <c r="BJ819" s="55">
        <f t="shared" si="859"/>
        <v>0</v>
      </c>
    </row>
    <row r="820" spans="1:62" ht="12.75">
      <c r="A820" s="36" t="s">
        <v>2036</v>
      </c>
      <c r="B820" s="36" t="s">
        <v>61</v>
      </c>
      <c r="C820" s="36" t="s">
        <v>348</v>
      </c>
      <c r="D820" s="36" t="s">
        <v>537</v>
      </c>
      <c r="E820" s="36" t="s">
        <v>606</v>
      </c>
      <c r="F820" s="55">
        <f>'Stavební rozpočet'!F835</f>
        <v>0</v>
      </c>
      <c r="G820" s="55">
        <f>'Stavební rozpočet'!G835</f>
        <v>2500</v>
      </c>
      <c r="H820" s="55">
        <f t="shared" si="834"/>
        <v>0</v>
      </c>
      <c r="I820" s="55">
        <f t="shared" si="835"/>
        <v>0</v>
      </c>
      <c r="J820" s="55">
        <f t="shared" si="836"/>
        <v>0</v>
      </c>
      <c r="K820" s="55">
        <f>'Stavební rozpočet'!K835</f>
        <v>0</v>
      </c>
      <c r="L820" s="55">
        <f t="shared" si="837"/>
        <v>0</v>
      </c>
      <c r="M820" s="51" t="s">
        <v>622</v>
      </c>
      <c r="Z820" s="29">
        <f t="shared" si="838"/>
        <v>0</v>
      </c>
      <c r="AB820" s="29">
        <f t="shared" si="839"/>
        <v>0</v>
      </c>
      <c r="AC820" s="29">
        <f t="shared" si="840"/>
        <v>0</v>
      </c>
      <c r="AD820" s="29">
        <f t="shared" si="841"/>
        <v>0</v>
      </c>
      <c r="AE820" s="29">
        <f t="shared" si="842"/>
        <v>0</v>
      </c>
      <c r="AF820" s="29">
        <f t="shared" si="843"/>
        <v>0</v>
      </c>
      <c r="AG820" s="29">
        <f t="shared" si="844"/>
        <v>0</v>
      </c>
      <c r="AH820" s="29">
        <f t="shared" si="845"/>
        <v>0</v>
      </c>
      <c r="AI820" s="48" t="s">
        <v>61</v>
      </c>
      <c r="AJ820" s="55">
        <f t="shared" si="846"/>
        <v>0</v>
      </c>
      <c r="AK820" s="55">
        <f t="shared" si="847"/>
        <v>0</v>
      </c>
      <c r="AL820" s="55">
        <f t="shared" si="848"/>
        <v>0</v>
      </c>
      <c r="AN820" s="29">
        <v>15</v>
      </c>
      <c r="AO820" s="29">
        <f t="shared" si="849"/>
        <v>0</v>
      </c>
      <c r="AP820" s="29">
        <f t="shared" si="850"/>
        <v>2500</v>
      </c>
      <c r="AQ820" s="51" t="s">
        <v>85</v>
      </c>
      <c r="AV820" s="29">
        <f t="shared" si="851"/>
        <v>0</v>
      </c>
      <c r="AW820" s="29">
        <f t="shared" si="852"/>
        <v>0</v>
      </c>
      <c r="AX820" s="29">
        <f t="shared" si="853"/>
        <v>0</v>
      </c>
      <c r="AY820" s="54" t="s">
        <v>645</v>
      </c>
      <c r="AZ820" s="54" t="s">
        <v>1645</v>
      </c>
      <c r="BA820" s="48" t="s">
        <v>1649</v>
      </c>
      <c r="BC820" s="29">
        <f t="shared" si="854"/>
        <v>0</v>
      </c>
      <c r="BD820" s="29">
        <f t="shared" si="855"/>
        <v>2500</v>
      </c>
      <c r="BE820" s="29">
        <v>0</v>
      </c>
      <c r="BF820" s="29">
        <f t="shared" si="856"/>
        <v>0</v>
      </c>
      <c r="BH820" s="55">
        <f t="shared" si="857"/>
        <v>0</v>
      </c>
      <c r="BI820" s="55">
        <f t="shared" si="858"/>
        <v>0</v>
      </c>
      <c r="BJ820" s="55">
        <f t="shared" si="859"/>
        <v>0</v>
      </c>
    </row>
    <row r="821" spans="1:62" ht="12.75">
      <c r="A821" s="36" t="s">
        <v>2037</v>
      </c>
      <c r="B821" s="36" t="s">
        <v>61</v>
      </c>
      <c r="C821" s="36" t="s">
        <v>349</v>
      </c>
      <c r="D821" s="36" t="s">
        <v>538</v>
      </c>
      <c r="E821" s="36" t="s">
        <v>606</v>
      </c>
      <c r="F821" s="55">
        <f>'Stavební rozpočet'!F836</f>
        <v>0</v>
      </c>
      <c r="G821" s="55">
        <f>'Stavební rozpočet'!G836</f>
        <v>1000</v>
      </c>
      <c r="H821" s="55">
        <f t="shared" si="834"/>
        <v>0</v>
      </c>
      <c r="I821" s="55">
        <f t="shared" si="835"/>
        <v>0</v>
      </c>
      <c r="J821" s="55">
        <f t="shared" si="836"/>
        <v>0</v>
      </c>
      <c r="K821" s="55">
        <f>'Stavební rozpočet'!K836</f>
        <v>0</v>
      </c>
      <c r="L821" s="55">
        <f t="shared" si="837"/>
        <v>0</v>
      </c>
      <c r="M821" s="51" t="s">
        <v>622</v>
      </c>
      <c r="Z821" s="29">
        <f t="shared" si="838"/>
        <v>0</v>
      </c>
      <c r="AB821" s="29">
        <f t="shared" si="839"/>
        <v>0</v>
      </c>
      <c r="AC821" s="29">
        <f t="shared" si="840"/>
        <v>0</v>
      </c>
      <c r="AD821" s="29">
        <f t="shared" si="841"/>
        <v>0</v>
      </c>
      <c r="AE821" s="29">
        <f t="shared" si="842"/>
        <v>0</v>
      </c>
      <c r="AF821" s="29">
        <f t="shared" si="843"/>
        <v>0</v>
      </c>
      <c r="AG821" s="29">
        <f t="shared" si="844"/>
        <v>0</v>
      </c>
      <c r="AH821" s="29">
        <f t="shared" si="845"/>
        <v>0</v>
      </c>
      <c r="AI821" s="48" t="s">
        <v>61</v>
      </c>
      <c r="AJ821" s="55">
        <f t="shared" si="846"/>
        <v>0</v>
      </c>
      <c r="AK821" s="55">
        <f t="shared" si="847"/>
        <v>0</v>
      </c>
      <c r="AL821" s="55">
        <f t="shared" si="848"/>
        <v>0</v>
      </c>
      <c r="AN821" s="29">
        <v>15</v>
      </c>
      <c r="AO821" s="29">
        <f t="shared" si="849"/>
        <v>0</v>
      </c>
      <c r="AP821" s="29">
        <f t="shared" si="850"/>
        <v>1000</v>
      </c>
      <c r="AQ821" s="51" t="s">
        <v>85</v>
      </c>
      <c r="AV821" s="29">
        <f t="shared" si="851"/>
        <v>0</v>
      </c>
      <c r="AW821" s="29">
        <f t="shared" si="852"/>
        <v>0</v>
      </c>
      <c r="AX821" s="29">
        <f t="shared" si="853"/>
        <v>0</v>
      </c>
      <c r="AY821" s="54" t="s">
        <v>645</v>
      </c>
      <c r="AZ821" s="54" t="s">
        <v>1645</v>
      </c>
      <c r="BA821" s="48" t="s">
        <v>1649</v>
      </c>
      <c r="BC821" s="29">
        <f t="shared" si="854"/>
        <v>0</v>
      </c>
      <c r="BD821" s="29">
        <f t="shared" si="855"/>
        <v>1000</v>
      </c>
      <c r="BE821" s="29">
        <v>0</v>
      </c>
      <c r="BF821" s="29">
        <f t="shared" si="856"/>
        <v>0</v>
      </c>
      <c r="BH821" s="55">
        <f t="shared" si="857"/>
        <v>0</v>
      </c>
      <c r="BI821" s="55">
        <f t="shared" si="858"/>
        <v>0</v>
      </c>
      <c r="BJ821" s="55">
        <f t="shared" si="859"/>
        <v>0</v>
      </c>
    </row>
    <row r="822" spans="1:62" ht="12.75">
      <c r="A822" s="36" t="s">
        <v>2038</v>
      </c>
      <c r="B822" s="36" t="s">
        <v>61</v>
      </c>
      <c r="C822" s="36" t="s">
        <v>350</v>
      </c>
      <c r="D822" s="36" t="s">
        <v>541</v>
      </c>
      <c r="E822" s="36" t="s">
        <v>606</v>
      </c>
      <c r="F822" s="55">
        <f>'Stavební rozpočet'!F837</f>
        <v>0</v>
      </c>
      <c r="G822" s="55">
        <f>'Stavební rozpočet'!G837</f>
        <v>150</v>
      </c>
      <c r="H822" s="55">
        <f t="shared" si="834"/>
        <v>0</v>
      </c>
      <c r="I822" s="55">
        <f t="shared" si="835"/>
        <v>0</v>
      </c>
      <c r="J822" s="55">
        <f t="shared" si="836"/>
        <v>0</v>
      </c>
      <c r="K822" s="55">
        <f>'Stavební rozpočet'!K837</f>
        <v>0</v>
      </c>
      <c r="L822" s="55">
        <f t="shared" si="837"/>
        <v>0</v>
      </c>
      <c r="M822" s="51" t="s">
        <v>622</v>
      </c>
      <c r="Z822" s="29">
        <f t="shared" si="838"/>
        <v>0</v>
      </c>
      <c r="AB822" s="29">
        <f t="shared" si="839"/>
        <v>0</v>
      </c>
      <c r="AC822" s="29">
        <f t="shared" si="840"/>
        <v>0</v>
      </c>
      <c r="AD822" s="29">
        <f t="shared" si="841"/>
        <v>0</v>
      </c>
      <c r="AE822" s="29">
        <f t="shared" si="842"/>
        <v>0</v>
      </c>
      <c r="AF822" s="29">
        <f t="shared" si="843"/>
        <v>0</v>
      </c>
      <c r="AG822" s="29">
        <f t="shared" si="844"/>
        <v>0</v>
      </c>
      <c r="AH822" s="29">
        <f t="shared" si="845"/>
        <v>0</v>
      </c>
      <c r="AI822" s="48" t="s">
        <v>61</v>
      </c>
      <c r="AJ822" s="55">
        <f t="shared" si="846"/>
        <v>0</v>
      </c>
      <c r="AK822" s="55">
        <f t="shared" si="847"/>
        <v>0</v>
      </c>
      <c r="AL822" s="55">
        <f t="shared" si="848"/>
        <v>0</v>
      </c>
      <c r="AN822" s="29">
        <v>15</v>
      </c>
      <c r="AO822" s="29">
        <f t="shared" si="849"/>
        <v>0</v>
      </c>
      <c r="AP822" s="29">
        <f t="shared" si="850"/>
        <v>150</v>
      </c>
      <c r="AQ822" s="51" t="s">
        <v>85</v>
      </c>
      <c r="AV822" s="29">
        <f t="shared" si="851"/>
        <v>0</v>
      </c>
      <c r="AW822" s="29">
        <f t="shared" si="852"/>
        <v>0</v>
      </c>
      <c r="AX822" s="29">
        <f t="shared" si="853"/>
        <v>0</v>
      </c>
      <c r="AY822" s="54" t="s">
        <v>645</v>
      </c>
      <c r="AZ822" s="54" t="s">
        <v>1645</v>
      </c>
      <c r="BA822" s="48" t="s">
        <v>1649</v>
      </c>
      <c r="BC822" s="29">
        <f t="shared" si="854"/>
        <v>0</v>
      </c>
      <c r="BD822" s="29">
        <f t="shared" si="855"/>
        <v>150</v>
      </c>
      <c r="BE822" s="29">
        <v>0</v>
      </c>
      <c r="BF822" s="29">
        <f t="shared" si="856"/>
        <v>0</v>
      </c>
      <c r="BH822" s="55">
        <f t="shared" si="857"/>
        <v>0</v>
      </c>
      <c r="BI822" s="55">
        <f t="shared" si="858"/>
        <v>0</v>
      </c>
      <c r="BJ822" s="55">
        <f t="shared" si="859"/>
        <v>0</v>
      </c>
    </row>
    <row r="823" spans="1:62" ht="12.75">
      <c r="A823" s="36" t="s">
        <v>2039</v>
      </c>
      <c r="B823" s="36" t="s">
        <v>61</v>
      </c>
      <c r="C823" s="36" t="s">
        <v>351</v>
      </c>
      <c r="D823" s="36" t="s">
        <v>539</v>
      </c>
      <c r="E823" s="36" t="s">
        <v>606</v>
      </c>
      <c r="F823" s="55">
        <f>'Stavební rozpočet'!F838</f>
        <v>0</v>
      </c>
      <c r="G823" s="55">
        <f>'Stavební rozpočet'!G838</f>
        <v>1500</v>
      </c>
      <c r="H823" s="55">
        <f t="shared" si="834"/>
        <v>0</v>
      </c>
      <c r="I823" s="55">
        <f t="shared" si="835"/>
        <v>0</v>
      </c>
      <c r="J823" s="55">
        <f t="shared" si="836"/>
        <v>0</v>
      </c>
      <c r="K823" s="55">
        <f>'Stavební rozpočet'!K838</f>
        <v>0</v>
      </c>
      <c r="L823" s="55">
        <f t="shared" si="837"/>
        <v>0</v>
      </c>
      <c r="M823" s="51" t="s">
        <v>622</v>
      </c>
      <c r="Z823" s="29">
        <f t="shared" si="838"/>
        <v>0</v>
      </c>
      <c r="AB823" s="29">
        <f t="shared" si="839"/>
        <v>0</v>
      </c>
      <c r="AC823" s="29">
        <f t="shared" si="840"/>
        <v>0</v>
      </c>
      <c r="AD823" s="29">
        <f t="shared" si="841"/>
        <v>0</v>
      </c>
      <c r="AE823" s="29">
        <f t="shared" si="842"/>
        <v>0</v>
      </c>
      <c r="AF823" s="29">
        <f t="shared" si="843"/>
        <v>0</v>
      </c>
      <c r="AG823" s="29">
        <f t="shared" si="844"/>
        <v>0</v>
      </c>
      <c r="AH823" s="29">
        <f t="shared" si="845"/>
        <v>0</v>
      </c>
      <c r="AI823" s="48" t="s">
        <v>61</v>
      </c>
      <c r="AJ823" s="55">
        <f t="shared" si="846"/>
        <v>0</v>
      </c>
      <c r="AK823" s="55">
        <f t="shared" si="847"/>
        <v>0</v>
      </c>
      <c r="AL823" s="55">
        <f t="shared" si="848"/>
        <v>0</v>
      </c>
      <c r="AN823" s="29">
        <v>15</v>
      </c>
      <c r="AO823" s="29">
        <f t="shared" si="849"/>
        <v>0</v>
      </c>
      <c r="AP823" s="29">
        <f t="shared" si="850"/>
        <v>1500</v>
      </c>
      <c r="AQ823" s="51" t="s">
        <v>85</v>
      </c>
      <c r="AV823" s="29">
        <f t="shared" si="851"/>
        <v>0</v>
      </c>
      <c r="AW823" s="29">
        <f t="shared" si="852"/>
        <v>0</v>
      </c>
      <c r="AX823" s="29">
        <f t="shared" si="853"/>
        <v>0</v>
      </c>
      <c r="AY823" s="54" t="s">
        <v>645</v>
      </c>
      <c r="AZ823" s="54" t="s">
        <v>1645</v>
      </c>
      <c r="BA823" s="48" t="s">
        <v>1649</v>
      </c>
      <c r="BC823" s="29">
        <f t="shared" si="854"/>
        <v>0</v>
      </c>
      <c r="BD823" s="29">
        <f t="shared" si="855"/>
        <v>1500</v>
      </c>
      <c r="BE823" s="29">
        <v>0</v>
      </c>
      <c r="BF823" s="29">
        <f t="shared" si="856"/>
        <v>0</v>
      </c>
      <c r="BH823" s="55">
        <f t="shared" si="857"/>
        <v>0</v>
      </c>
      <c r="BI823" s="55">
        <f t="shared" si="858"/>
        <v>0</v>
      </c>
      <c r="BJ823" s="55">
        <f t="shared" si="859"/>
        <v>0</v>
      </c>
    </row>
    <row r="824" spans="1:62" ht="12.75">
      <c r="A824" s="36" t="s">
        <v>2040</v>
      </c>
      <c r="B824" s="36" t="s">
        <v>61</v>
      </c>
      <c r="C824" s="36" t="s">
        <v>352</v>
      </c>
      <c r="D824" s="36" t="s">
        <v>1399</v>
      </c>
      <c r="E824" s="36" t="s">
        <v>606</v>
      </c>
      <c r="F824" s="55">
        <f>'Stavební rozpočet'!F839</f>
        <v>0</v>
      </c>
      <c r="G824" s="55">
        <f>'Stavební rozpočet'!G839</f>
        <v>100</v>
      </c>
      <c r="H824" s="55">
        <f t="shared" si="834"/>
        <v>0</v>
      </c>
      <c r="I824" s="55">
        <f t="shared" si="835"/>
        <v>0</v>
      </c>
      <c r="J824" s="55">
        <f t="shared" si="836"/>
        <v>0</v>
      </c>
      <c r="K824" s="55">
        <f>'Stavební rozpočet'!K839</f>
        <v>0</v>
      </c>
      <c r="L824" s="55">
        <f t="shared" si="837"/>
        <v>0</v>
      </c>
      <c r="M824" s="51" t="s">
        <v>622</v>
      </c>
      <c r="Z824" s="29">
        <f t="shared" si="838"/>
        <v>0</v>
      </c>
      <c r="AB824" s="29">
        <f t="shared" si="839"/>
        <v>0</v>
      </c>
      <c r="AC824" s="29">
        <f t="shared" si="840"/>
        <v>0</v>
      </c>
      <c r="AD824" s="29">
        <f t="shared" si="841"/>
        <v>0</v>
      </c>
      <c r="AE824" s="29">
        <f t="shared" si="842"/>
        <v>0</v>
      </c>
      <c r="AF824" s="29">
        <f t="shared" si="843"/>
        <v>0</v>
      </c>
      <c r="AG824" s="29">
        <f t="shared" si="844"/>
        <v>0</v>
      </c>
      <c r="AH824" s="29">
        <f t="shared" si="845"/>
        <v>0</v>
      </c>
      <c r="AI824" s="48" t="s">
        <v>61</v>
      </c>
      <c r="AJ824" s="55">
        <f t="shared" si="846"/>
        <v>0</v>
      </c>
      <c r="AK824" s="55">
        <f t="shared" si="847"/>
        <v>0</v>
      </c>
      <c r="AL824" s="55">
        <f t="shared" si="848"/>
        <v>0</v>
      </c>
      <c r="AN824" s="29">
        <v>15</v>
      </c>
      <c r="AO824" s="29">
        <f t="shared" si="849"/>
        <v>0</v>
      </c>
      <c r="AP824" s="29">
        <f t="shared" si="850"/>
        <v>100</v>
      </c>
      <c r="AQ824" s="51" t="s">
        <v>85</v>
      </c>
      <c r="AV824" s="29">
        <f t="shared" si="851"/>
        <v>0</v>
      </c>
      <c r="AW824" s="29">
        <f t="shared" si="852"/>
        <v>0</v>
      </c>
      <c r="AX824" s="29">
        <f t="shared" si="853"/>
        <v>0</v>
      </c>
      <c r="AY824" s="54" t="s">
        <v>645</v>
      </c>
      <c r="AZ824" s="54" t="s">
        <v>1645</v>
      </c>
      <c r="BA824" s="48" t="s">
        <v>1649</v>
      </c>
      <c r="BC824" s="29">
        <f t="shared" si="854"/>
        <v>0</v>
      </c>
      <c r="BD824" s="29">
        <f t="shared" si="855"/>
        <v>100</v>
      </c>
      <c r="BE824" s="29">
        <v>0</v>
      </c>
      <c r="BF824" s="29">
        <f t="shared" si="856"/>
        <v>0</v>
      </c>
      <c r="BH824" s="55">
        <f t="shared" si="857"/>
        <v>0</v>
      </c>
      <c r="BI824" s="55">
        <f t="shared" si="858"/>
        <v>0</v>
      </c>
      <c r="BJ824" s="55">
        <f t="shared" si="859"/>
        <v>0</v>
      </c>
    </row>
    <row r="825" spans="1:62" ht="12.75">
      <c r="A825" s="36" t="s">
        <v>2041</v>
      </c>
      <c r="B825" s="36" t="s">
        <v>61</v>
      </c>
      <c r="C825" s="36" t="s">
        <v>353</v>
      </c>
      <c r="D825" s="36" t="s">
        <v>540</v>
      </c>
      <c r="E825" s="36" t="s">
        <v>606</v>
      </c>
      <c r="F825" s="55">
        <f>'Stavební rozpočet'!F840</f>
        <v>0</v>
      </c>
      <c r="G825" s="55">
        <f>'Stavební rozpočet'!G840</f>
        <v>1000</v>
      </c>
      <c r="H825" s="55">
        <f t="shared" si="834"/>
        <v>0</v>
      </c>
      <c r="I825" s="55">
        <f t="shared" si="835"/>
        <v>0</v>
      </c>
      <c r="J825" s="55">
        <f t="shared" si="836"/>
        <v>0</v>
      </c>
      <c r="K825" s="55">
        <f>'Stavební rozpočet'!K840</f>
        <v>0</v>
      </c>
      <c r="L825" s="55">
        <f t="shared" si="837"/>
        <v>0</v>
      </c>
      <c r="M825" s="51" t="s">
        <v>622</v>
      </c>
      <c r="Z825" s="29">
        <f t="shared" si="838"/>
        <v>0</v>
      </c>
      <c r="AB825" s="29">
        <f t="shared" si="839"/>
        <v>0</v>
      </c>
      <c r="AC825" s="29">
        <f t="shared" si="840"/>
        <v>0</v>
      </c>
      <c r="AD825" s="29">
        <f t="shared" si="841"/>
        <v>0</v>
      </c>
      <c r="AE825" s="29">
        <f t="shared" si="842"/>
        <v>0</v>
      </c>
      <c r="AF825" s="29">
        <f t="shared" si="843"/>
        <v>0</v>
      </c>
      <c r="AG825" s="29">
        <f t="shared" si="844"/>
        <v>0</v>
      </c>
      <c r="AH825" s="29">
        <f t="shared" si="845"/>
        <v>0</v>
      </c>
      <c r="AI825" s="48" t="s">
        <v>61</v>
      </c>
      <c r="AJ825" s="55">
        <f t="shared" si="846"/>
        <v>0</v>
      </c>
      <c r="AK825" s="55">
        <f t="shared" si="847"/>
        <v>0</v>
      </c>
      <c r="AL825" s="55">
        <f t="shared" si="848"/>
        <v>0</v>
      </c>
      <c r="AN825" s="29">
        <v>15</v>
      </c>
      <c r="AO825" s="29">
        <f t="shared" si="849"/>
        <v>0</v>
      </c>
      <c r="AP825" s="29">
        <f t="shared" si="850"/>
        <v>1000</v>
      </c>
      <c r="AQ825" s="51" t="s">
        <v>85</v>
      </c>
      <c r="AV825" s="29">
        <f t="shared" si="851"/>
        <v>0</v>
      </c>
      <c r="AW825" s="29">
        <f t="shared" si="852"/>
        <v>0</v>
      </c>
      <c r="AX825" s="29">
        <f t="shared" si="853"/>
        <v>0</v>
      </c>
      <c r="AY825" s="54" t="s">
        <v>645</v>
      </c>
      <c r="AZ825" s="54" t="s">
        <v>1645</v>
      </c>
      <c r="BA825" s="48" t="s">
        <v>1649</v>
      </c>
      <c r="BC825" s="29">
        <f t="shared" si="854"/>
        <v>0</v>
      </c>
      <c r="BD825" s="29">
        <f t="shared" si="855"/>
        <v>1000</v>
      </c>
      <c r="BE825" s="29">
        <v>0</v>
      </c>
      <c r="BF825" s="29">
        <f t="shared" si="856"/>
        <v>0</v>
      </c>
      <c r="BH825" s="55">
        <f t="shared" si="857"/>
        <v>0</v>
      </c>
      <c r="BI825" s="55">
        <f t="shared" si="858"/>
        <v>0</v>
      </c>
      <c r="BJ825" s="55">
        <f t="shared" si="859"/>
        <v>0</v>
      </c>
    </row>
    <row r="826" spans="1:62" ht="12.75">
      <c r="A826" s="36" t="s">
        <v>2042</v>
      </c>
      <c r="B826" s="36" t="s">
        <v>61</v>
      </c>
      <c r="C826" s="36" t="s">
        <v>354</v>
      </c>
      <c r="D826" s="36" t="s">
        <v>501</v>
      </c>
      <c r="E826" s="36" t="s">
        <v>611</v>
      </c>
      <c r="F826" s="55">
        <f>'Stavební rozpočet'!F841</f>
        <v>0</v>
      </c>
      <c r="G826" s="55">
        <f>'Stavební rozpočet'!G841</f>
        <v>50</v>
      </c>
      <c r="H826" s="55">
        <f t="shared" si="834"/>
        <v>0</v>
      </c>
      <c r="I826" s="55">
        <f t="shared" si="835"/>
        <v>0</v>
      </c>
      <c r="J826" s="55">
        <f t="shared" si="836"/>
        <v>0</v>
      </c>
      <c r="K826" s="55">
        <f>'Stavební rozpočet'!K841</f>
        <v>0</v>
      </c>
      <c r="L826" s="55">
        <f t="shared" si="837"/>
        <v>0</v>
      </c>
      <c r="M826" s="51" t="s">
        <v>622</v>
      </c>
      <c r="Z826" s="29">
        <f t="shared" si="838"/>
        <v>0</v>
      </c>
      <c r="AB826" s="29">
        <f t="shared" si="839"/>
        <v>0</v>
      </c>
      <c r="AC826" s="29">
        <f t="shared" si="840"/>
        <v>0</v>
      </c>
      <c r="AD826" s="29">
        <f t="shared" si="841"/>
        <v>0</v>
      </c>
      <c r="AE826" s="29">
        <f t="shared" si="842"/>
        <v>0</v>
      </c>
      <c r="AF826" s="29">
        <f t="shared" si="843"/>
        <v>0</v>
      </c>
      <c r="AG826" s="29">
        <f t="shared" si="844"/>
        <v>0</v>
      </c>
      <c r="AH826" s="29">
        <f t="shared" si="845"/>
        <v>0</v>
      </c>
      <c r="AI826" s="48" t="s">
        <v>61</v>
      </c>
      <c r="AJ826" s="55">
        <f t="shared" si="846"/>
        <v>0</v>
      </c>
      <c r="AK826" s="55">
        <f t="shared" si="847"/>
        <v>0</v>
      </c>
      <c r="AL826" s="55">
        <f t="shared" si="848"/>
        <v>0</v>
      </c>
      <c r="AN826" s="29">
        <v>15</v>
      </c>
      <c r="AO826" s="29">
        <f t="shared" si="849"/>
        <v>0</v>
      </c>
      <c r="AP826" s="29">
        <f t="shared" si="850"/>
        <v>50</v>
      </c>
      <c r="AQ826" s="51" t="s">
        <v>85</v>
      </c>
      <c r="AV826" s="29">
        <f t="shared" si="851"/>
        <v>0</v>
      </c>
      <c r="AW826" s="29">
        <f t="shared" si="852"/>
        <v>0</v>
      </c>
      <c r="AX826" s="29">
        <f t="shared" si="853"/>
        <v>0</v>
      </c>
      <c r="AY826" s="54" t="s">
        <v>645</v>
      </c>
      <c r="AZ826" s="54" t="s">
        <v>1645</v>
      </c>
      <c r="BA826" s="48" t="s">
        <v>1649</v>
      </c>
      <c r="BC826" s="29">
        <f t="shared" si="854"/>
        <v>0</v>
      </c>
      <c r="BD826" s="29">
        <f t="shared" si="855"/>
        <v>50</v>
      </c>
      <c r="BE826" s="29">
        <v>0</v>
      </c>
      <c r="BF826" s="29">
        <f t="shared" si="856"/>
        <v>0</v>
      </c>
      <c r="BH826" s="55">
        <f t="shared" si="857"/>
        <v>0</v>
      </c>
      <c r="BI826" s="55">
        <f t="shared" si="858"/>
        <v>0</v>
      </c>
      <c r="BJ826" s="55">
        <f t="shared" si="859"/>
        <v>0</v>
      </c>
    </row>
    <row r="827" spans="1:62" ht="12.75">
      <c r="A827" s="36" t="s">
        <v>2043</v>
      </c>
      <c r="B827" s="36" t="s">
        <v>61</v>
      </c>
      <c r="C827" s="36" t="s">
        <v>355</v>
      </c>
      <c r="D827" s="36" t="s">
        <v>502</v>
      </c>
      <c r="E827" s="36" t="s">
        <v>606</v>
      </c>
      <c r="F827" s="55">
        <f>'Stavební rozpočet'!F842</f>
        <v>0</v>
      </c>
      <c r="G827" s="55">
        <f>'Stavební rozpočet'!G842</f>
        <v>1000</v>
      </c>
      <c r="H827" s="55">
        <f t="shared" si="834"/>
        <v>0</v>
      </c>
      <c r="I827" s="55">
        <f t="shared" si="835"/>
        <v>0</v>
      </c>
      <c r="J827" s="55">
        <f t="shared" si="836"/>
        <v>0</v>
      </c>
      <c r="K827" s="55">
        <f>'Stavební rozpočet'!K842</f>
        <v>0</v>
      </c>
      <c r="L827" s="55">
        <f t="shared" si="837"/>
        <v>0</v>
      </c>
      <c r="M827" s="51" t="s">
        <v>622</v>
      </c>
      <c r="Z827" s="29">
        <f t="shared" si="838"/>
        <v>0</v>
      </c>
      <c r="AB827" s="29">
        <f t="shared" si="839"/>
        <v>0</v>
      </c>
      <c r="AC827" s="29">
        <f t="shared" si="840"/>
        <v>0</v>
      </c>
      <c r="AD827" s="29">
        <f t="shared" si="841"/>
        <v>0</v>
      </c>
      <c r="AE827" s="29">
        <f t="shared" si="842"/>
        <v>0</v>
      </c>
      <c r="AF827" s="29">
        <f t="shared" si="843"/>
        <v>0</v>
      </c>
      <c r="AG827" s="29">
        <f t="shared" si="844"/>
        <v>0</v>
      </c>
      <c r="AH827" s="29">
        <f t="shared" si="845"/>
        <v>0</v>
      </c>
      <c r="AI827" s="48" t="s">
        <v>61</v>
      </c>
      <c r="AJ827" s="55">
        <f t="shared" si="846"/>
        <v>0</v>
      </c>
      <c r="AK827" s="55">
        <f t="shared" si="847"/>
        <v>0</v>
      </c>
      <c r="AL827" s="55">
        <f t="shared" si="848"/>
        <v>0</v>
      </c>
      <c r="AN827" s="29">
        <v>15</v>
      </c>
      <c r="AO827" s="29">
        <f t="shared" si="849"/>
        <v>0</v>
      </c>
      <c r="AP827" s="29">
        <f t="shared" si="850"/>
        <v>1000</v>
      </c>
      <c r="AQ827" s="51" t="s">
        <v>85</v>
      </c>
      <c r="AV827" s="29">
        <f t="shared" si="851"/>
        <v>0</v>
      </c>
      <c r="AW827" s="29">
        <f t="shared" si="852"/>
        <v>0</v>
      </c>
      <c r="AX827" s="29">
        <f t="shared" si="853"/>
        <v>0</v>
      </c>
      <c r="AY827" s="54" t="s">
        <v>645</v>
      </c>
      <c r="AZ827" s="54" t="s">
        <v>1645</v>
      </c>
      <c r="BA827" s="48" t="s">
        <v>1649</v>
      </c>
      <c r="BC827" s="29">
        <f t="shared" si="854"/>
        <v>0</v>
      </c>
      <c r="BD827" s="29">
        <f t="shared" si="855"/>
        <v>1000</v>
      </c>
      <c r="BE827" s="29">
        <v>0</v>
      </c>
      <c r="BF827" s="29">
        <f t="shared" si="856"/>
        <v>0</v>
      </c>
      <c r="BH827" s="55">
        <f t="shared" si="857"/>
        <v>0</v>
      </c>
      <c r="BI827" s="55">
        <f t="shared" si="858"/>
        <v>0</v>
      </c>
      <c r="BJ827" s="55">
        <f t="shared" si="859"/>
        <v>0</v>
      </c>
    </row>
    <row r="828" spans="1:62" ht="12.75">
      <c r="A828" s="36" t="s">
        <v>2044</v>
      </c>
      <c r="B828" s="36" t="s">
        <v>61</v>
      </c>
      <c r="C828" s="36" t="s">
        <v>356</v>
      </c>
      <c r="D828" s="36" t="s">
        <v>543</v>
      </c>
      <c r="E828" s="36" t="s">
        <v>606</v>
      </c>
      <c r="F828" s="55">
        <f>'Stavební rozpočet'!F843</f>
        <v>0</v>
      </c>
      <c r="G828" s="55">
        <f>'Stavební rozpočet'!G843</f>
        <v>500</v>
      </c>
      <c r="H828" s="55">
        <f t="shared" si="834"/>
        <v>0</v>
      </c>
      <c r="I828" s="55">
        <f t="shared" si="835"/>
        <v>0</v>
      </c>
      <c r="J828" s="55">
        <f t="shared" si="836"/>
        <v>0</v>
      </c>
      <c r="K828" s="55">
        <f>'Stavební rozpočet'!K843</f>
        <v>0</v>
      </c>
      <c r="L828" s="55">
        <f t="shared" si="837"/>
        <v>0</v>
      </c>
      <c r="M828" s="51" t="s">
        <v>622</v>
      </c>
      <c r="Z828" s="29">
        <f t="shared" si="838"/>
        <v>0</v>
      </c>
      <c r="AB828" s="29">
        <f t="shared" si="839"/>
        <v>0</v>
      </c>
      <c r="AC828" s="29">
        <f t="shared" si="840"/>
        <v>0</v>
      </c>
      <c r="AD828" s="29">
        <f t="shared" si="841"/>
        <v>0</v>
      </c>
      <c r="AE828" s="29">
        <f t="shared" si="842"/>
        <v>0</v>
      </c>
      <c r="AF828" s="29">
        <f t="shared" si="843"/>
        <v>0</v>
      </c>
      <c r="AG828" s="29">
        <f t="shared" si="844"/>
        <v>0</v>
      </c>
      <c r="AH828" s="29">
        <f t="shared" si="845"/>
        <v>0</v>
      </c>
      <c r="AI828" s="48" t="s">
        <v>61</v>
      </c>
      <c r="AJ828" s="55">
        <f t="shared" si="846"/>
        <v>0</v>
      </c>
      <c r="AK828" s="55">
        <f t="shared" si="847"/>
        <v>0</v>
      </c>
      <c r="AL828" s="55">
        <f t="shared" si="848"/>
        <v>0</v>
      </c>
      <c r="AN828" s="29">
        <v>15</v>
      </c>
      <c r="AO828" s="29">
        <f t="shared" si="849"/>
        <v>0</v>
      </c>
      <c r="AP828" s="29">
        <f t="shared" si="850"/>
        <v>500</v>
      </c>
      <c r="AQ828" s="51" t="s">
        <v>85</v>
      </c>
      <c r="AV828" s="29">
        <f t="shared" si="851"/>
        <v>0</v>
      </c>
      <c r="AW828" s="29">
        <f t="shared" si="852"/>
        <v>0</v>
      </c>
      <c r="AX828" s="29">
        <f t="shared" si="853"/>
        <v>0</v>
      </c>
      <c r="AY828" s="54" t="s">
        <v>645</v>
      </c>
      <c r="AZ828" s="54" t="s">
        <v>1645</v>
      </c>
      <c r="BA828" s="48" t="s">
        <v>1649</v>
      </c>
      <c r="BC828" s="29">
        <f t="shared" si="854"/>
        <v>0</v>
      </c>
      <c r="BD828" s="29">
        <f t="shared" si="855"/>
        <v>500</v>
      </c>
      <c r="BE828" s="29">
        <v>0</v>
      </c>
      <c r="BF828" s="29">
        <f t="shared" si="856"/>
        <v>0</v>
      </c>
      <c r="BH828" s="55">
        <f t="shared" si="857"/>
        <v>0</v>
      </c>
      <c r="BI828" s="55">
        <f t="shared" si="858"/>
        <v>0</v>
      </c>
      <c r="BJ828" s="55">
        <f t="shared" si="859"/>
        <v>0</v>
      </c>
    </row>
    <row r="829" spans="1:62" ht="12.75">
      <c r="A829" s="36" t="s">
        <v>2045</v>
      </c>
      <c r="B829" s="36" t="s">
        <v>61</v>
      </c>
      <c r="C829" s="36" t="s">
        <v>357</v>
      </c>
      <c r="D829" s="36" t="s">
        <v>490</v>
      </c>
      <c r="E829" s="36" t="s">
        <v>606</v>
      </c>
      <c r="F829" s="55">
        <f>'Stavební rozpočet'!F844</f>
        <v>0</v>
      </c>
      <c r="G829" s="55">
        <f>'Stavební rozpočet'!G844</f>
        <v>500</v>
      </c>
      <c r="H829" s="55">
        <f t="shared" si="834"/>
        <v>0</v>
      </c>
      <c r="I829" s="55">
        <f t="shared" si="835"/>
        <v>0</v>
      </c>
      <c r="J829" s="55">
        <f t="shared" si="836"/>
        <v>0</v>
      </c>
      <c r="K829" s="55">
        <f>'Stavební rozpočet'!K844</f>
        <v>0</v>
      </c>
      <c r="L829" s="55">
        <f t="shared" si="837"/>
        <v>0</v>
      </c>
      <c r="M829" s="51" t="s">
        <v>622</v>
      </c>
      <c r="Z829" s="29">
        <f t="shared" si="838"/>
        <v>0</v>
      </c>
      <c r="AB829" s="29">
        <f t="shared" si="839"/>
        <v>0</v>
      </c>
      <c r="AC829" s="29">
        <f t="shared" si="840"/>
        <v>0</v>
      </c>
      <c r="AD829" s="29">
        <f t="shared" si="841"/>
        <v>0</v>
      </c>
      <c r="AE829" s="29">
        <f t="shared" si="842"/>
        <v>0</v>
      </c>
      <c r="AF829" s="29">
        <f t="shared" si="843"/>
        <v>0</v>
      </c>
      <c r="AG829" s="29">
        <f t="shared" si="844"/>
        <v>0</v>
      </c>
      <c r="AH829" s="29">
        <f t="shared" si="845"/>
        <v>0</v>
      </c>
      <c r="AI829" s="48" t="s">
        <v>61</v>
      </c>
      <c r="AJ829" s="55">
        <f t="shared" si="846"/>
        <v>0</v>
      </c>
      <c r="AK829" s="55">
        <f t="shared" si="847"/>
        <v>0</v>
      </c>
      <c r="AL829" s="55">
        <f t="shared" si="848"/>
        <v>0</v>
      </c>
      <c r="AN829" s="29">
        <v>15</v>
      </c>
      <c r="AO829" s="29">
        <f t="shared" si="849"/>
        <v>0</v>
      </c>
      <c r="AP829" s="29">
        <f t="shared" si="850"/>
        <v>500</v>
      </c>
      <c r="AQ829" s="51" t="s">
        <v>85</v>
      </c>
      <c r="AV829" s="29">
        <f t="shared" si="851"/>
        <v>0</v>
      </c>
      <c r="AW829" s="29">
        <f t="shared" si="852"/>
        <v>0</v>
      </c>
      <c r="AX829" s="29">
        <f t="shared" si="853"/>
        <v>0</v>
      </c>
      <c r="AY829" s="54" t="s">
        <v>645</v>
      </c>
      <c r="AZ829" s="54" t="s">
        <v>1645</v>
      </c>
      <c r="BA829" s="48" t="s">
        <v>1649</v>
      </c>
      <c r="BC829" s="29">
        <f t="shared" si="854"/>
        <v>0</v>
      </c>
      <c r="BD829" s="29">
        <f t="shared" si="855"/>
        <v>500</v>
      </c>
      <c r="BE829" s="29">
        <v>0</v>
      </c>
      <c r="BF829" s="29">
        <f t="shared" si="856"/>
        <v>0</v>
      </c>
      <c r="BH829" s="55">
        <f t="shared" si="857"/>
        <v>0</v>
      </c>
      <c r="BI829" s="55">
        <f t="shared" si="858"/>
        <v>0</v>
      </c>
      <c r="BJ829" s="55">
        <f t="shared" si="859"/>
        <v>0</v>
      </c>
    </row>
    <row r="830" spans="1:62" ht="12.75">
      <c r="A830" s="36" t="s">
        <v>2046</v>
      </c>
      <c r="B830" s="36" t="s">
        <v>61</v>
      </c>
      <c r="C830" s="36" t="s">
        <v>358</v>
      </c>
      <c r="D830" s="36" t="s">
        <v>489</v>
      </c>
      <c r="E830" s="36" t="s">
        <v>606</v>
      </c>
      <c r="F830" s="55">
        <f>'Stavební rozpočet'!F845</f>
        <v>0</v>
      </c>
      <c r="G830" s="55">
        <f>'Stavební rozpočet'!G845</f>
        <v>1000</v>
      </c>
      <c r="H830" s="55">
        <f t="shared" si="834"/>
        <v>0</v>
      </c>
      <c r="I830" s="55">
        <f t="shared" si="835"/>
        <v>0</v>
      </c>
      <c r="J830" s="55">
        <f t="shared" si="836"/>
        <v>0</v>
      </c>
      <c r="K830" s="55">
        <f>'Stavební rozpočet'!K845</f>
        <v>0</v>
      </c>
      <c r="L830" s="55">
        <f t="shared" si="837"/>
        <v>0</v>
      </c>
      <c r="M830" s="51" t="s">
        <v>622</v>
      </c>
      <c r="Z830" s="29">
        <f t="shared" si="838"/>
        <v>0</v>
      </c>
      <c r="AB830" s="29">
        <f t="shared" si="839"/>
        <v>0</v>
      </c>
      <c r="AC830" s="29">
        <f t="shared" si="840"/>
        <v>0</v>
      </c>
      <c r="AD830" s="29">
        <f t="shared" si="841"/>
        <v>0</v>
      </c>
      <c r="AE830" s="29">
        <f t="shared" si="842"/>
        <v>0</v>
      </c>
      <c r="AF830" s="29">
        <f t="shared" si="843"/>
        <v>0</v>
      </c>
      <c r="AG830" s="29">
        <f t="shared" si="844"/>
        <v>0</v>
      </c>
      <c r="AH830" s="29">
        <f t="shared" si="845"/>
        <v>0</v>
      </c>
      <c r="AI830" s="48" t="s">
        <v>61</v>
      </c>
      <c r="AJ830" s="55">
        <f t="shared" si="846"/>
        <v>0</v>
      </c>
      <c r="AK830" s="55">
        <f t="shared" si="847"/>
        <v>0</v>
      </c>
      <c r="AL830" s="55">
        <f t="shared" si="848"/>
        <v>0</v>
      </c>
      <c r="AN830" s="29">
        <v>15</v>
      </c>
      <c r="AO830" s="29">
        <f t="shared" si="849"/>
        <v>0</v>
      </c>
      <c r="AP830" s="29">
        <f t="shared" si="850"/>
        <v>1000</v>
      </c>
      <c r="AQ830" s="51" t="s">
        <v>85</v>
      </c>
      <c r="AV830" s="29">
        <f t="shared" si="851"/>
        <v>0</v>
      </c>
      <c r="AW830" s="29">
        <f t="shared" si="852"/>
        <v>0</v>
      </c>
      <c r="AX830" s="29">
        <f t="shared" si="853"/>
        <v>0</v>
      </c>
      <c r="AY830" s="54" t="s">
        <v>645</v>
      </c>
      <c r="AZ830" s="54" t="s">
        <v>1645</v>
      </c>
      <c r="BA830" s="48" t="s">
        <v>1649</v>
      </c>
      <c r="BC830" s="29">
        <f t="shared" si="854"/>
        <v>0</v>
      </c>
      <c r="BD830" s="29">
        <f t="shared" si="855"/>
        <v>1000</v>
      </c>
      <c r="BE830" s="29">
        <v>0</v>
      </c>
      <c r="BF830" s="29">
        <f t="shared" si="856"/>
        <v>0</v>
      </c>
      <c r="BH830" s="55">
        <f t="shared" si="857"/>
        <v>0</v>
      </c>
      <c r="BI830" s="55">
        <f t="shared" si="858"/>
        <v>0</v>
      </c>
      <c r="BJ830" s="55">
        <f t="shared" si="859"/>
        <v>0</v>
      </c>
    </row>
    <row r="831" spans="1:62" ht="12.75">
      <c r="A831" s="36" t="s">
        <v>2047</v>
      </c>
      <c r="B831" s="36" t="s">
        <v>61</v>
      </c>
      <c r="C831" s="36" t="s">
        <v>359</v>
      </c>
      <c r="D831" s="36" t="s">
        <v>492</v>
      </c>
      <c r="E831" s="36" t="s">
        <v>606</v>
      </c>
      <c r="F831" s="55">
        <f>'Stavební rozpočet'!F846</f>
        <v>0</v>
      </c>
      <c r="G831" s="55">
        <f>'Stavební rozpočet'!G846</f>
        <v>500</v>
      </c>
      <c r="H831" s="55">
        <f t="shared" si="834"/>
        <v>0</v>
      </c>
      <c r="I831" s="55">
        <f t="shared" si="835"/>
        <v>0</v>
      </c>
      <c r="J831" s="55">
        <f t="shared" si="836"/>
        <v>0</v>
      </c>
      <c r="K831" s="55">
        <f>'Stavební rozpočet'!K846</f>
        <v>0</v>
      </c>
      <c r="L831" s="55">
        <f t="shared" si="837"/>
        <v>0</v>
      </c>
      <c r="M831" s="51" t="s">
        <v>622</v>
      </c>
      <c r="Z831" s="29">
        <f t="shared" si="838"/>
        <v>0</v>
      </c>
      <c r="AB831" s="29">
        <f t="shared" si="839"/>
        <v>0</v>
      </c>
      <c r="AC831" s="29">
        <f t="shared" si="840"/>
        <v>0</v>
      </c>
      <c r="AD831" s="29">
        <f t="shared" si="841"/>
        <v>0</v>
      </c>
      <c r="AE831" s="29">
        <f t="shared" si="842"/>
        <v>0</v>
      </c>
      <c r="AF831" s="29">
        <f t="shared" si="843"/>
        <v>0</v>
      </c>
      <c r="AG831" s="29">
        <f t="shared" si="844"/>
        <v>0</v>
      </c>
      <c r="AH831" s="29">
        <f t="shared" si="845"/>
        <v>0</v>
      </c>
      <c r="AI831" s="48" t="s">
        <v>61</v>
      </c>
      <c r="AJ831" s="55">
        <f t="shared" si="846"/>
        <v>0</v>
      </c>
      <c r="AK831" s="55">
        <f t="shared" si="847"/>
        <v>0</v>
      </c>
      <c r="AL831" s="55">
        <f t="shared" si="848"/>
        <v>0</v>
      </c>
      <c r="AN831" s="29">
        <v>15</v>
      </c>
      <c r="AO831" s="29">
        <f t="shared" si="849"/>
        <v>0</v>
      </c>
      <c r="AP831" s="29">
        <f t="shared" si="850"/>
        <v>500</v>
      </c>
      <c r="AQ831" s="51" t="s">
        <v>85</v>
      </c>
      <c r="AV831" s="29">
        <f t="shared" si="851"/>
        <v>0</v>
      </c>
      <c r="AW831" s="29">
        <f t="shared" si="852"/>
        <v>0</v>
      </c>
      <c r="AX831" s="29">
        <f t="shared" si="853"/>
        <v>0</v>
      </c>
      <c r="AY831" s="54" t="s">
        <v>645</v>
      </c>
      <c r="AZ831" s="54" t="s">
        <v>1645</v>
      </c>
      <c r="BA831" s="48" t="s">
        <v>1649</v>
      </c>
      <c r="BC831" s="29">
        <f t="shared" si="854"/>
        <v>0</v>
      </c>
      <c r="BD831" s="29">
        <f t="shared" si="855"/>
        <v>500</v>
      </c>
      <c r="BE831" s="29">
        <v>0</v>
      </c>
      <c r="BF831" s="29">
        <f t="shared" si="856"/>
        <v>0</v>
      </c>
      <c r="BH831" s="55">
        <f t="shared" si="857"/>
        <v>0</v>
      </c>
      <c r="BI831" s="55">
        <f t="shared" si="858"/>
        <v>0</v>
      </c>
      <c r="BJ831" s="55">
        <f t="shared" si="859"/>
        <v>0</v>
      </c>
    </row>
    <row r="832" spans="1:62" ht="12.75">
      <c r="A832" s="36" t="s">
        <v>2048</v>
      </c>
      <c r="B832" s="36" t="s">
        <v>61</v>
      </c>
      <c r="C832" s="36" t="s">
        <v>360</v>
      </c>
      <c r="D832" s="36" t="s">
        <v>493</v>
      </c>
      <c r="E832" s="36" t="s">
        <v>606</v>
      </c>
      <c r="F832" s="55">
        <f>'Stavební rozpočet'!F847</f>
        <v>0</v>
      </c>
      <c r="G832" s="55">
        <f>'Stavební rozpočet'!G847</f>
        <v>1000</v>
      </c>
      <c r="H832" s="55">
        <f t="shared" si="834"/>
        <v>0</v>
      </c>
      <c r="I832" s="55">
        <f t="shared" si="835"/>
        <v>0</v>
      </c>
      <c r="J832" s="55">
        <f t="shared" si="836"/>
        <v>0</v>
      </c>
      <c r="K832" s="55">
        <f>'Stavební rozpočet'!K847</f>
        <v>0</v>
      </c>
      <c r="L832" s="55">
        <f t="shared" si="837"/>
        <v>0</v>
      </c>
      <c r="M832" s="51" t="s">
        <v>622</v>
      </c>
      <c r="Z832" s="29">
        <f t="shared" si="838"/>
        <v>0</v>
      </c>
      <c r="AB832" s="29">
        <f t="shared" si="839"/>
        <v>0</v>
      </c>
      <c r="AC832" s="29">
        <f t="shared" si="840"/>
        <v>0</v>
      </c>
      <c r="AD832" s="29">
        <f t="shared" si="841"/>
        <v>0</v>
      </c>
      <c r="AE832" s="29">
        <f t="shared" si="842"/>
        <v>0</v>
      </c>
      <c r="AF832" s="29">
        <f t="shared" si="843"/>
        <v>0</v>
      </c>
      <c r="AG832" s="29">
        <f t="shared" si="844"/>
        <v>0</v>
      </c>
      <c r="AH832" s="29">
        <f t="shared" si="845"/>
        <v>0</v>
      </c>
      <c r="AI832" s="48" t="s">
        <v>61</v>
      </c>
      <c r="AJ832" s="55">
        <f t="shared" si="846"/>
        <v>0</v>
      </c>
      <c r="AK832" s="55">
        <f t="shared" si="847"/>
        <v>0</v>
      </c>
      <c r="AL832" s="55">
        <f t="shared" si="848"/>
        <v>0</v>
      </c>
      <c r="AN832" s="29">
        <v>15</v>
      </c>
      <c r="AO832" s="29">
        <f t="shared" si="849"/>
        <v>0</v>
      </c>
      <c r="AP832" s="29">
        <f t="shared" si="850"/>
        <v>1000</v>
      </c>
      <c r="AQ832" s="51" t="s">
        <v>85</v>
      </c>
      <c r="AV832" s="29">
        <f t="shared" si="851"/>
        <v>0</v>
      </c>
      <c r="AW832" s="29">
        <f t="shared" si="852"/>
        <v>0</v>
      </c>
      <c r="AX832" s="29">
        <f t="shared" si="853"/>
        <v>0</v>
      </c>
      <c r="AY832" s="54" t="s">
        <v>645</v>
      </c>
      <c r="AZ832" s="54" t="s">
        <v>1645</v>
      </c>
      <c r="BA832" s="48" t="s">
        <v>1649</v>
      </c>
      <c r="BC832" s="29">
        <f t="shared" si="854"/>
        <v>0</v>
      </c>
      <c r="BD832" s="29">
        <f t="shared" si="855"/>
        <v>1000</v>
      </c>
      <c r="BE832" s="29">
        <v>0</v>
      </c>
      <c r="BF832" s="29">
        <f t="shared" si="856"/>
        <v>0</v>
      </c>
      <c r="BH832" s="55">
        <f t="shared" si="857"/>
        <v>0</v>
      </c>
      <c r="BI832" s="55">
        <f t="shared" si="858"/>
        <v>0</v>
      </c>
      <c r="BJ832" s="55">
        <f t="shared" si="859"/>
        <v>0</v>
      </c>
    </row>
    <row r="833" spans="1:47" ht="12.75">
      <c r="A833" s="35"/>
      <c r="B833" s="42" t="s">
        <v>61</v>
      </c>
      <c r="C833" s="42" t="s">
        <v>1100</v>
      </c>
      <c r="D833" s="42" t="s">
        <v>1400</v>
      </c>
      <c r="E833" s="35" t="s">
        <v>57</v>
      </c>
      <c r="F833" s="35" t="s">
        <v>57</v>
      </c>
      <c r="G833" s="35" t="s">
        <v>57</v>
      </c>
      <c r="H833" s="59">
        <f>SUM(H834:H836)</f>
        <v>0</v>
      </c>
      <c r="I833" s="59">
        <f>SUM(I834:I836)</f>
        <v>0</v>
      </c>
      <c r="J833" s="59">
        <f>SUM(J834:J836)</f>
        <v>0</v>
      </c>
      <c r="K833" s="48"/>
      <c r="L833" s="59">
        <f>SUM(L834:L836)</f>
        <v>0</v>
      </c>
      <c r="M833" s="48"/>
      <c r="AI833" s="48" t="s">
        <v>61</v>
      </c>
      <c r="AS833" s="59">
        <f>SUM(AJ834:AJ836)</f>
        <v>0</v>
      </c>
      <c r="AT833" s="59">
        <f>SUM(AK834:AK836)</f>
        <v>0</v>
      </c>
      <c r="AU833" s="59">
        <f>SUM(AL834:AL836)</f>
        <v>0</v>
      </c>
    </row>
    <row r="834" spans="1:62" ht="12.75">
      <c r="A834" s="36" t="s">
        <v>2049</v>
      </c>
      <c r="B834" s="36" t="s">
        <v>61</v>
      </c>
      <c r="C834" s="36" t="s">
        <v>1102</v>
      </c>
      <c r="D834" s="36" t="s">
        <v>1403</v>
      </c>
      <c r="E834" s="36" t="s">
        <v>606</v>
      </c>
      <c r="F834" s="55">
        <f>'Stavební rozpočet'!F849</f>
        <v>0</v>
      </c>
      <c r="G834" s="55">
        <f>'Stavební rozpočet'!G849</f>
        <v>8800</v>
      </c>
      <c r="H834" s="55">
        <f>F834*AO834</f>
        <v>0</v>
      </c>
      <c r="I834" s="55">
        <f>F834*AP834</f>
        <v>0</v>
      </c>
      <c r="J834" s="55">
        <f>F834*G834</f>
        <v>0</v>
      </c>
      <c r="K834" s="55">
        <f>'Stavební rozpočet'!K849</f>
        <v>0.06</v>
      </c>
      <c r="L834" s="55">
        <f>F834*K834</f>
        <v>0</v>
      </c>
      <c r="M834" s="51" t="s">
        <v>622</v>
      </c>
      <c r="Z834" s="29">
        <f>IF(AQ834="5",BJ834,0)</f>
        <v>0</v>
      </c>
      <c r="AB834" s="29">
        <f>IF(AQ834="1",BH834,0)</f>
        <v>0</v>
      </c>
      <c r="AC834" s="29">
        <f>IF(AQ834="1",BI834,0)</f>
        <v>0</v>
      </c>
      <c r="AD834" s="29">
        <f>IF(AQ834="7",BH834,0)</f>
        <v>0</v>
      </c>
      <c r="AE834" s="29">
        <f>IF(AQ834="7",BI834,0)</f>
        <v>0</v>
      </c>
      <c r="AF834" s="29">
        <f>IF(AQ834="2",BH834,0)</f>
        <v>0</v>
      </c>
      <c r="AG834" s="29">
        <f>IF(AQ834="2",BI834,0)</f>
        <v>0</v>
      </c>
      <c r="AH834" s="29">
        <f>IF(AQ834="0",BJ834,0)</f>
        <v>0</v>
      </c>
      <c r="AI834" s="48" t="s">
        <v>61</v>
      </c>
      <c r="AJ834" s="55">
        <f>IF(AN834=0,J834,0)</f>
        <v>0</v>
      </c>
      <c r="AK834" s="55">
        <f>IF(AN834=15,J834,0)</f>
        <v>0</v>
      </c>
      <c r="AL834" s="55">
        <f>IF(AN834=21,J834,0)</f>
        <v>0</v>
      </c>
      <c r="AN834" s="29">
        <v>15</v>
      </c>
      <c r="AO834" s="29">
        <f>G834*0</f>
        <v>0</v>
      </c>
      <c r="AP834" s="29">
        <f>G834*(1-0)</f>
        <v>8800</v>
      </c>
      <c r="AQ834" s="51" t="s">
        <v>85</v>
      </c>
      <c r="AV834" s="29">
        <f>AW834+AX834</f>
        <v>0</v>
      </c>
      <c r="AW834" s="29">
        <f>F834*AO834</f>
        <v>0</v>
      </c>
      <c r="AX834" s="29">
        <f>F834*AP834</f>
        <v>0</v>
      </c>
      <c r="AY834" s="54" t="s">
        <v>1530</v>
      </c>
      <c r="AZ834" s="54" t="s">
        <v>1646</v>
      </c>
      <c r="BA834" s="48" t="s">
        <v>1649</v>
      </c>
      <c r="BC834" s="29">
        <f>AW834+AX834</f>
        <v>0</v>
      </c>
      <c r="BD834" s="29">
        <f>G834/(100-BE834)*100</f>
        <v>8800</v>
      </c>
      <c r="BE834" s="29">
        <v>0</v>
      </c>
      <c r="BF834" s="29">
        <f>L834</f>
        <v>0</v>
      </c>
      <c r="BH834" s="55">
        <f>F834*AO834</f>
        <v>0</v>
      </c>
      <c r="BI834" s="55">
        <f>F834*AP834</f>
        <v>0</v>
      </c>
      <c r="BJ834" s="55">
        <f>F834*G834</f>
        <v>0</v>
      </c>
    </row>
    <row r="835" spans="1:62" ht="12.75">
      <c r="A835" s="36" t="s">
        <v>1100</v>
      </c>
      <c r="B835" s="36" t="s">
        <v>61</v>
      </c>
      <c r="C835" s="36" t="s">
        <v>1103</v>
      </c>
      <c r="D835" s="36" t="s">
        <v>1405</v>
      </c>
      <c r="E835" s="36" t="s">
        <v>606</v>
      </c>
      <c r="F835" s="55">
        <f>'Stavební rozpočet'!F850</f>
        <v>0</v>
      </c>
      <c r="G835" s="55">
        <f>'Stavební rozpočet'!G850</f>
        <v>9100</v>
      </c>
      <c r="H835" s="55">
        <f>F835*AO835</f>
        <v>0</v>
      </c>
      <c r="I835" s="55">
        <f>F835*AP835</f>
        <v>0</v>
      </c>
      <c r="J835" s="55">
        <f>F835*G835</f>
        <v>0</v>
      </c>
      <c r="K835" s="55">
        <f>'Stavební rozpočet'!K850</f>
        <v>0.065</v>
      </c>
      <c r="L835" s="55">
        <f>F835*K835</f>
        <v>0</v>
      </c>
      <c r="M835" s="51" t="s">
        <v>622</v>
      </c>
      <c r="Z835" s="29">
        <f>IF(AQ835="5",BJ835,0)</f>
        <v>0</v>
      </c>
      <c r="AB835" s="29">
        <f>IF(AQ835="1",BH835,0)</f>
        <v>0</v>
      </c>
      <c r="AC835" s="29">
        <f>IF(AQ835="1",BI835,0)</f>
        <v>0</v>
      </c>
      <c r="AD835" s="29">
        <f>IF(AQ835="7",BH835,0)</f>
        <v>0</v>
      </c>
      <c r="AE835" s="29">
        <f>IF(AQ835="7",BI835,0)</f>
        <v>0</v>
      </c>
      <c r="AF835" s="29">
        <f>IF(AQ835="2",BH835,0)</f>
        <v>0</v>
      </c>
      <c r="AG835" s="29">
        <f>IF(AQ835="2",BI835,0)</f>
        <v>0</v>
      </c>
      <c r="AH835" s="29">
        <f>IF(AQ835="0",BJ835,0)</f>
        <v>0</v>
      </c>
      <c r="AI835" s="48" t="s">
        <v>61</v>
      </c>
      <c r="AJ835" s="55">
        <f>IF(AN835=0,J835,0)</f>
        <v>0</v>
      </c>
      <c r="AK835" s="55">
        <f>IF(AN835=15,J835,0)</f>
        <v>0</v>
      </c>
      <c r="AL835" s="55">
        <f>IF(AN835=21,J835,0)</f>
        <v>0</v>
      </c>
      <c r="AN835" s="29">
        <v>15</v>
      </c>
      <c r="AO835" s="29">
        <f>G835*0</f>
        <v>0</v>
      </c>
      <c r="AP835" s="29">
        <f>G835*(1-0)</f>
        <v>9100</v>
      </c>
      <c r="AQ835" s="51" t="s">
        <v>85</v>
      </c>
      <c r="AV835" s="29">
        <f>AW835+AX835</f>
        <v>0</v>
      </c>
      <c r="AW835" s="29">
        <f>F835*AO835</f>
        <v>0</v>
      </c>
      <c r="AX835" s="29">
        <f>F835*AP835</f>
        <v>0</v>
      </c>
      <c r="AY835" s="54" t="s">
        <v>1530</v>
      </c>
      <c r="AZ835" s="54" t="s">
        <v>1646</v>
      </c>
      <c r="BA835" s="48" t="s">
        <v>1649</v>
      </c>
      <c r="BC835" s="29">
        <f>AW835+AX835</f>
        <v>0</v>
      </c>
      <c r="BD835" s="29">
        <f>G835/(100-BE835)*100</f>
        <v>9100</v>
      </c>
      <c r="BE835" s="29">
        <v>0</v>
      </c>
      <c r="BF835" s="29">
        <f>L835</f>
        <v>0</v>
      </c>
      <c r="BH835" s="55">
        <f>F835*AO835</f>
        <v>0</v>
      </c>
      <c r="BI835" s="55">
        <f>F835*AP835</f>
        <v>0</v>
      </c>
      <c r="BJ835" s="55">
        <f>F835*G835</f>
        <v>0</v>
      </c>
    </row>
    <row r="836" spans="1:62" ht="12.75">
      <c r="A836" s="36" t="s">
        <v>361</v>
      </c>
      <c r="B836" s="36" t="s">
        <v>61</v>
      </c>
      <c r="C836" s="36" t="s">
        <v>1107</v>
      </c>
      <c r="D836" s="36" t="s">
        <v>1410</v>
      </c>
      <c r="E836" s="36" t="s">
        <v>612</v>
      </c>
      <c r="F836" s="55">
        <f>'Stavební rozpočet'!F851</f>
        <v>0</v>
      </c>
      <c r="G836" s="55">
        <f>'Stavební rozpočet'!G851</f>
        <v>661</v>
      </c>
      <c r="H836" s="55">
        <f>F836*AO836</f>
        <v>0</v>
      </c>
      <c r="I836" s="55">
        <f>F836*AP836</f>
        <v>0</v>
      </c>
      <c r="J836" s="55">
        <f>F836*G836</f>
        <v>0</v>
      </c>
      <c r="K836" s="55">
        <f>'Stavební rozpočet'!K851</f>
        <v>0</v>
      </c>
      <c r="L836" s="55">
        <f>F836*K836</f>
        <v>0</v>
      </c>
      <c r="M836" s="51" t="s">
        <v>622</v>
      </c>
      <c r="Z836" s="29">
        <f>IF(AQ836="5",BJ836,0)</f>
        <v>0</v>
      </c>
      <c r="AB836" s="29">
        <f>IF(AQ836="1",BH836,0)</f>
        <v>0</v>
      </c>
      <c r="AC836" s="29">
        <f>IF(AQ836="1",BI836,0)</f>
        <v>0</v>
      </c>
      <c r="AD836" s="29">
        <f>IF(AQ836="7",BH836,0)</f>
        <v>0</v>
      </c>
      <c r="AE836" s="29">
        <f>IF(AQ836="7",BI836,0)</f>
        <v>0</v>
      </c>
      <c r="AF836" s="29">
        <f>IF(AQ836="2",BH836,0)</f>
        <v>0</v>
      </c>
      <c r="AG836" s="29">
        <f>IF(AQ836="2",BI836,0)</f>
        <v>0</v>
      </c>
      <c r="AH836" s="29">
        <f>IF(AQ836="0",BJ836,0)</f>
        <v>0</v>
      </c>
      <c r="AI836" s="48" t="s">
        <v>61</v>
      </c>
      <c r="AJ836" s="55">
        <f>IF(AN836=0,J836,0)</f>
        <v>0</v>
      </c>
      <c r="AK836" s="55">
        <f>IF(AN836=15,J836,0)</f>
        <v>0</v>
      </c>
      <c r="AL836" s="55">
        <f>IF(AN836=21,J836,0)</f>
        <v>0</v>
      </c>
      <c r="AN836" s="29">
        <v>15</v>
      </c>
      <c r="AO836" s="29">
        <f>G836*0</f>
        <v>0</v>
      </c>
      <c r="AP836" s="29">
        <f>G836*(1-0)</f>
        <v>661</v>
      </c>
      <c r="AQ836" s="51" t="s">
        <v>83</v>
      </c>
      <c r="AV836" s="29">
        <f>AW836+AX836</f>
        <v>0</v>
      </c>
      <c r="AW836" s="29">
        <f>F836*AO836</f>
        <v>0</v>
      </c>
      <c r="AX836" s="29">
        <f>F836*AP836</f>
        <v>0</v>
      </c>
      <c r="AY836" s="54" t="s">
        <v>1530</v>
      </c>
      <c r="AZ836" s="54" t="s">
        <v>1646</v>
      </c>
      <c r="BA836" s="48" t="s">
        <v>1649</v>
      </c>
      <c r="BC836" s="29">
        <f>AW836+AX836</f>
        <v>0</v>
      </c>
      <c r="BD836" s="29">
        <f>G836/(100-BE836)*100</f>
        <v>661</v>
      </c>
      <c r="BE836" s="29">
        <v>0</v>
      </c>
      <c r="BF836" s="29">
        <f>L836</f>
        <v>0</v>
      </c>
      <c r="BH836" s="55">
        <f>F836*AO836</f>
        <v>0</v>
      </c>
      <c r="BI836" s="55">
        <f>F836*AP836</f>
        <v>0</v>
      </c>
      <c r="BJ836" s="55">
        <f>F836*G836</f>
        <v>0</v>
      </c>
    </row>
    <row r="837" spans="1:47" ht="12.75">
      <c r="A837" s="35"/>
      <c r="B837" s="42" t="s">
        <v>61</v>
      </c>
      <c r="C837" s="42" t="s">
        <v>361</v>
      </c>
      <c r="D837" s="42" t="s">
        <v>544</v>
      </c>
      <c r="E837" s="35" t="s">
        <v>57</v>
      </c>
      <c r="F837" s="35" t="s">
        <v>57</v>
      </c>
      <c r="G837" s="35" t="s">
        <v>57</v>
      </c>
      <c r="H837" s="59">
        <f>SUM(H838:H840)</f>
        <v>0</v>
      </c>
      <c r="I837" s="59">
        <f>SUM(I838:I840)</f>
        <v>0</v>
      </c>
      <c r="J837" s="59">
        <f>SUM(J838:J840)</f>
        <v>0</v>
      </c>
      <c r="K837" s="48"/>
      <c r="L837" s="59">
        <f>SUM(L838:L840)</f>
        <v>0</v>
      </c>
      <c r="M837" s="48"/>
      <c r="AI837" s="48" t="s">
        <v>61</v>
      </c>
      <c r="AS837" s="59">
        <f>SUM(AJ838:AJ840)</f>
        <v>0</v>
      </c>
      <c r="AT837" s="59">
        <f>SUM(AK838:AK840)</f>
        <v>0</v>
      </c>
      <c r="AU837" s="59">
        <f>SUM(AL838:AL840)</f>
        <v>0</v>
      </c>
    </row>
    <row r="838" spans="1:62" ht="12.75">
      <c r="A838" s="36" t="s">
        <v>2050</v>
      </c>
      <c r="B838" s="36" t="s">
        <v>61</v>
      </c>
      <c r="C838" s="36" t="s">
        <v>362</v>
      </c>
      <c r="D838" s="36" t="s">
        <v>545</v>
      </c>
      <c r="E838" s="36" t="s">
        <v>606</v>
      </c>
      <c r="F838" s="55">
        <f>'Stavební rozpočet'!F853</f>
        <v>0</v>
      </c>
      <c r="G838" s="55">
        <f>'Stavební rozpočet'!G853</f>
        <v>12500</v>
      </c>
      <c r="H838" s="55">
        <f>F838*AO838</f>
        <v>0</v>
      </c>
      <c r="I838" s="55">
        <f>F838*AP838</f>
        <v>0</v>
      </c>
      <c r="J838" s="55">
        <f>F838*G838</f>
        <v>0</v>
      </c>
      <c r="K838" s="55">
        <f>'Stavební rozpočet'!K853</f>
        <v>0.075</v>
      </c>
      <c r="L838" s="55">
        <f>F838*K838</f>
        <v>0</v>
      </c>
      <c r="M838" s="51" t="s">
        <v>622</v>
      </c>
      <c r="Z838" s="29">
        <f>IF(AQ838="5",BJ838,0)</f>
        <v>0</v>
      </c>
      <c r="AB838" s="29">
        <f>IF(AQ838="1",BH838,0)</f>
        <v>0</v>
      </c>
      <c r="AC838" s="29">
        <f>IF(AQ838="1",BI838,0)</f>
        <v>0</v>
      </c>
      <c r="AD838" s="29">
        <f>IF(AQ838="7",BH838,0)</f>
        <v>0</v>
      </c>
      <c r="AE838" s="29">
        <f>IF(AQ838="7",BI838,0)</f>
        <v>0</v>
      </c>
      <c r="AF838" s="29">
        <f>IF(AQ838="2",BH838,0)</f>
        <v>0</v>
      </c>
      <c r="AG838" s="29">
        <f>IF(AQ838="2",BI838,0)</f>
        <v>0</v>
      </c>
      <c r="AH838" s="29">
        <f>IF(AQ838="0",BJ838,0)</f>
        <v>0</v>
      </c>
      <c r="AI838" s="48" t="s">
        <v>61</v>
      </c>
      <c r="AJ838" s="55">
        <f>IF(AN838=0,J838,0)</f>
        <v>0</v>
      </c>
      <c r="AK838" s="55">
        <f>IF(AN838=15,J838,0)</f>
        <v>0</v>
      </c>
      <c r="AL838" s="55">
        <f>IF(AN838=21,J838,0)</f>
        <v>0</v>
      </c>
      <c r="AN838" s="29">
        <v>15</v>
      </c>
      <c r="AO838" s="29">
        <f>G838*0.0336344</f>
        <v>420.43</v>
      </c>
      <c r="AP838" s="29">
        <f>G838*(1-0.0336344)</f>
        <v>12079.57</v>
      </c>
      <c r="AQ838" s="51" t="s">
        <v>85</v>
      </c>
      <c r="AV838" s="29">
        <f>AW838+AX838</f>
        <v>0</v>
      </c>
      <c r="AW838" s="29">
        <f>F838*AO838</f>
        <v>0</v>
      </c>
      <c r="AX838" s="29">
        <f>F838*AP838</f>
        <v>0</v>
      </c>
      <c r="AY838" s="54" t="s">
        <v>646</v>
      </c>
      <c r="AZ838" s="54" t="s">
        <v>1646</v>
      </c>
      <c r="BA838" s="48" t="s">
        <v>1649</v>
      </c>
      <c r="BC838" s="29">
        <f>AW838+AX838</f>
        <v>0</v>
      </c>
      <c r="BD838" s="29">
        <f>G838/(100-BE838)*100</f>
        <v>12500</v>
      </c>
      <c r="BE838" s="29">
        <v>0</v>
      </c>
      <c r="BF838" s="29">
        <f>L838</f>
        <v>0</v>
      </c>
      <c r="BH838" s="55">
        <f>F838*AO838</f>
        <v>0</v>
      </c>
      <c r="BI838" s="55">
        <f>F838*AP838</f>
        <v>0</v>
      </c>
      <c r="BJ838" s="55">
        <f>F838*G838</f>
        <v>0</v>
      </c>
    </row>
    <row r="839" spans="1:62" ht="12.75">
      <c r="A839" s="36" t="s">
        <v>2051</v>
      </c>
      <c r="B839" s="36" t="s">
        <v>61</v>
      </c>
      <c r="C839" s="36" t="s">
        <v>363</v>
      </c>
      <c r="D839" s="36" t="s">
        <v>547</v>
      </c>
      <c r="E839" s="36" t="s">
        <v>606</v>
      </c>
      <c r="F839" s="55">
        <f>'Stavební rozpočet'!F854</f>
        <v>0</v>
      </c>
      <c r="G839" s="55">
        <f>'Stavební rozpočet'!G854</f>
        <v>12800</v>
      </c>
      <c r="H839" s="55">
        <f>F839*AO839</f>
        <v>0</v>
      </c>
      <c r="I839" s="55">
        <f>F839*AP839</f>
        <v>0</v>
      </c>
      <c r="J839" s="55">
        <f>F839*G839</f>
        <v>0</v>
      </c>
      <c r="K839" s="55">
        <f>'Stavební rozpočet'!K854</f>
        <v>0.085</v>
      </c>
      <c r="L839" s="55">
        <f>F839*K839</f>
        <v>0</v>
      </c>
      <c r="M839" s="51" t="s">
        <v>622</v>
      </c>
      <c r="Z839" s="29">
        <f>IF(AQ839="5",BJ839,0)</f>
        <v>0</v>
      </c>
      <c r="AB839" s="29">
        <f>IF(AQ839="1",BH839,0)</f>
        <v>0</v>
      </c>
      <c r="AC839" s="29">
        <f>IF(AQ839="1",BI839,0)</f>
        <v>0</v>
      </c>
      <c r="AD839" s="29">
        <f>IF(AQ839="7",BH839,0)</f>
        <v>0</v>
      </c>
      <c r="AE839" s="29">
        <f>IF(AQ839="7",BI839,0)</f>
        <v>0</v>
      </c>
      <c r="AF839" s="29">
        <f>IF(AQ839="2",BH839,0)</f>
        <v>0</v>
      </c>
      <c r="AG839" s="29">
        <f>IF(AQ839="2",BI839,0)</f>
        <v>0</v>
      </c>
      <c r="AH839" s="29">
        <f>IF(AQ839="0",BJ839,0)</f>
        <v>0</v>
      </c>
      <c r="AI839" s="48" t="s">
        <v>61</v>
      </c>
      <c r="AJ839" s="55">
        <f>IF(AN839=0,J839,0)</f>
        <v>0</v>
      </c>
      <c r="AK839" s="55">
        <f>IF(AN839=15,J839,0)</f>
        <v>0</v>
      </c>
      <c r="AL839" s="55">
        <f>IF(AN839=21,J839,0)</f>
        <v>0</v>
      </c>
      <c r="AN839" s="29">
        <v>15</v>
      </c>
      <c r="AO839" s="29">
        <f>G839*0.033634375</f>
        <v>430.52000000000004</v>
      </c>
      <c r="AP839" s="29">
        <f>G839*(1-0.033634375)</f>
        <v>12369.48</v>
      </c>
      <c r="AQ839" s="51" t="s">
        <v>85</v>
      </c>
      <c r="AV839" s="29">
        <f>AW839+AX839</f>
        <v>0</v>
      </c>
      <c r="AW839" s="29">
        <f>F839*AO839</f>
        <v>0</v>
      </c>
      <c r="AX839" s="29">
        <f>F839*AP839</f>
        <v>0</v>
      </c>
      <c r="AY839" s="54" t="s">
        <v>646</v>
      </c>
      <c r="AZ839" s="54" t="s">
        <v>1646</v>
      </c>
      <c r="BA839" s="48" t="s">
        <v>1649</v>
      </c>
      <c r="BC839" s="29">
        <f>AW839+AX839</f>
        <v>0</v>
      </c>
      <c r="BD839" s="29">
        <f>G839/(100-BE839)*100</f>
        <v>12800</v>
      </c>
      <c r="BE839" s="29">
        <v>0</v>
      </c>
      <c r="BF839" s="29">
        <f>L839</f>
        <v>0</v>
      </c>
      <c r="BH839" s="55">
        <f>F839*AO839</f>
        <v>0</v>
      </c>
      <c r="BI839" s="55">
        <f>F839*AP839</f>
        <v>0</v>
      </c>
      <c r="BJ839" s="55">
        <f>F839*G839</f>
        <v>0</v>
      </c>
    </row>
    <row r="840" spans="1:62" ht="12.75">
      <c r="A840" s="36" t="s">
        <v>2052</v>
      </c>
      <c r="B840" s="36" t="s">
        <v>61</v>
      </c>
      <c r="C840" s="36" t="s">
        <v>366</v>
      </c>
      <c r="D840" s="36" t="s">
        <v>551</v>
      </c>
      <c r="E840" s="36" t="s">
        <v>612</v>
      </c>
      <c r="F840" s="55">
        <f>'Stavební rozpočet'!F855</f>
        <v>0</v>
      </c>
      <c r="G840" s="55">
        <f>'Stavební rozpočet'!G855</f>
        <v>991</v>
      </c>
      <c r="H840" s="55">
        <f>F840*AO840</f>
        <v>0</v>
      </c>
      <c r="I840" s="55">
        <f>F840*AP840</f>
        <v>0</v>
      </c>
      <c r="J840" s="55">
        <f>F840*G840</f>
        <v>0</v>
      </c>
      <c r="K840" s="55">
        <f>'Stavební rozpočet'!K855</f>
        <v>0</v>
      </c>
      <c r="L840" s="55">
        <f>F840*K840</f>
        <v>0</v>
      </c>
      <c r="M840" s="51" t="s">
        <v>622</v>
      </c>
      <c r="Z840" s="29">
        <f>IF(AQ840="5",BJ840,0)</f>
        <v>0</v>
      </c>
      <c r="AB840" s="29">
        <f>IF(AQ840="1",BH840,0)</f>
        <v>0</v>
      </c>
      <c r="AC840" s="29">
        <f>IF(AQ840="1",BI840,0)</f>
        <v>0</v>
      </c>
      <c r="AD840" s="29">
        <f>IF(AQ840="7",BH840,0)</f>
        <v>0</v>
      </c>
      <c r="AE840" s="29">
        <f>IF(AQ840="7",BI840,0)</f>
        <v>0</v>
      </c>
      <c r="AF840" s="29">
        <f>IF(AQ840="2",BH840,0)</f>
        <v>0</v>
      </c>
      <c r="AG840" s="29">
        <f>IF(AQ840="2",BI840,0)</f>
        <v>0</v>
      </c>
      <c r="AH840" s="29">
        <f>IF(AQ840="0",BJ840,0)</f>
        <v>0</v>
      </c>
      <c r="AI840" s="48" t="s">
        <v>61</v>
      </c>
      <c r="AJ840" s="55">
        <f>IF(AN840=0,J840,0)</f>
        <v>0</v>
      </c>
      <c r="AK840" s="55">
        <f>IF(AN840=15,J840,0)</f>
        <v>0</v>
      </c>
      <c r="AL840" s="55">
        <f>IF(AN840=21,J840,0)</f>
        <v>0</v>
      </c>
      <c r="AN840" s="29">
        <v>15</v>
      </c>
      <c r="AO840" s="29">
        <f>G840*0</f>
        <v>0</v>
      </c>
      <c r="AP840" s="29">
        <f>G840*(1-0)</f>
        <v>991</v>
      </c>
      <c r="AQ840" s="51" t="s">
        <v>83</v>
      </c>
      <c r="AV840" s="29">
        <f>AW840+AX840</f>
        <v>0</v>
      </c>
      <c r="AW840" s="29">
        <f>F840*AO840</f>
        <v>0</v>
      </c>
      <c r="AX840" s="29">
        <f>F840*AP840</f>
        <v>0</v>
      </c>
      <c r="AY840" s="54" t="s">
        <v>646</v>
      </c>
      <c r="AZ840" s="54" t="s">
        <v>1646</v>
      </c>
      <c r="BA840" s="48" t="s">
        <v>1649</v>
      </c>
      <c r="BC840" s="29">
        <f>AW840+AX840</f>
        <v>0</v>
      </c>
      <c r="BD840" s="29">
        <f>G840/(100-BE840)*100</f>
        <v>991</v>
      </c>
      <c r="BE840" s="29">
        <v>0</v>
      </c>
      <c r="BF840" s="29">
        <f>L840</f>
        <v>0</v>
      </c>
      <c r="BH840" s="55">
        <f>F840*AO840</f>
        <v>0</v>
      </c>
      <c r="BI840" s="55">
        <f>F840*AP840</f>
        <v>0</v>
      </c>
      <c r="BJ840" s="55">
        <f>F840*G840</f>
        <v>0</v>
      </c>
    </row>
    <row r="841" spans="1:47" ht="12.75">
      <c r="A841" s="35"/>
      <c r="B841" s="42" t="s">
        <v>61</v>
      </c>
      <c r="C841" s="42" t="s">
        <v>367</v>
      </c>
      <c r="D841" s="42" t="s">
        <v>552</v>
      </c>
      <c r="E841" s="35" t="s">
        <v>57</v>
      </c>
      <c r="F841" s="35" t="s">
        <v>57</v>
      </c>
      <c r="G841" s="35" t="s">
        <v>57</v>
      </c>
      <c r="H841" s="59">
        <f>SUM(H842:H850)</f>
        <v>0</v>
      </c>
      <c r="I841" s="59">
        <f>SUM(I842:I850)</f>
        <v>0</v>
      </c>
      <c r="J841" s="59">
        <f>SUM(J842:J850)</f>
        <v>0</v>
      </c>
      <c r="K841" s="48"/>
      <c r="L841" s="59">
        <f>SUM(L842:L850)</f>
        <v>0</v>
      </c>
      <c r="M841" s="48"/>
      <c r="AI841" s="48" t="s">
        <v>61</v>
      </c>
      <c r="AS841" s="59">
        <f>SUM(AJ842:AJ850)</f>
        <v>0</v>
      </c>
      <c r="AT841" s="59">
        <f>SUM(AK842:AK850)</f>
        <v>0</v>
      </c>
      <c r="AU841" s="59">
        <f>SUM(AL842:AL850)</f>
        <v>0</v>
      </c>
    </row>
    <row r="842" spans="1:62" ht="12.75">
      <c r="A842" s="36" t="s">
        <v>367</v>
      </c>
      <c r="B842" s="36" t="s">
        <v>61</v>
      </c>
      <c r="C842" s="36" t="s">
        <v>368</v>
      </c>
      <c r="D842" s="36" t="s">
        <v>553</v>
      </c>
      <c r="E842" s="36" t="s">
        <v>608</v>
      </c>
      <c r="F842" s="55">
        <f>'Stavební rozpočet'!F857</f>
        <v>0</v>
      </c>
      <c r="G842" s="55">
        <f>'Stavební rozpočet'!G857</f>
        <v>91.9</v>
      </c>
      <c r="H842" s="55">
        <f aca="true" t="shared" si="860" ref="H842:H850">F842*AO842</f>
        <v>0</v>
      </c>
      <c r="I842" s="55">
        <f aca="true" t="shared" si="861" ref="I842:I850">F842*AP842</f>
        <v>0</v>
      </c>
      <c r="J842" s="55">
        <f aca="true" t="shared" si="862" ref="J842:J850">F842*G842</f>
        <v>0</v>
      </c>
      <c r="K842" s="55">
        <f>'Stavební rozpočet'!K857</f>
        <v>0.003</v>
      </c>
      <c r="L842" s="55">
        <f aca="true" t="shared" si="863" ref="L842:L850">F842*K842</f>
        <v>0</v>
      </c>
      <c r="M842" s="51" t="s">
        <v>622</v>
      </c>
      <c r="Z842" s="29">
        <f aca="true" t="shared" si="864" ref="Z842:Z850">IF(AQ842="5",BJ842,0)</f>
        <v>0</v>
      </c>
      <c r="AB842" s="29">
        <f aca="true" t="shared" si="865" ref="AB842:AB850">IF(AQ842="1",BH842,0)</f>
        <v>0</v>
      </c>
      <c r="AC842" s="29">
        <f aca="true" t="shared" si="866" ref="AC842:AC850">IF(AQ842="1",BI842,0)</f>
        <v>0</v>
      </c>
      <c r="AD842" s="29">
        <f aca="true" t="shared" si="867" ref="AD842:AD850">IF(AQ842="7",BH842,0)</f>
        <v>0</v>
      </c>
      <c r="AE842" s="29">
        <f aca="true" t="shared" si="868" ref="AE842:AE850">IF(AQ842="7",BI842,0)</f>
        <v>0</v>
      </c>
      <c r="AF842" s="29">
        <f aca="true" t="shared" si="869" ref="AF842:AF850">IF(AQ842="2",BH842,0)</f>
        <v>0</v>
      </c>
      <c r="AG842" s="29">
        <f aca="true" t="shared" si="870" ref="AG842:AG850">IF(AQ842="2",BI842,0)</f>
        <v>0</v>
      </c>
      <c r="AH842" s="29">
        <f aca="true" t="shared" si="871" ref="AH842:AH850">IF(AQ842="0",BJ842,0)</f>
        <v>0</v>
      </c>
      <c r="AI842" s="48" t="s">
        <v>61</v>
      </c>
      <c r="AJ842" s="55">
        <f aca="true" t="shared" si="872" ref="AJ842:AJ850">IF(AN842=0,J842,0)</f>
        <v>0</v>
      </c>
      <c r="AK842" s="55">
        <f aca="true" t="shared" si="873" ref="AK842:AK850">IF(AN842=15,J842,0)</f>
        <v>0</v>
      </c>
      <c r="AL842" s="55">
        <f aca="true" t="shared" si="874" ref="AL842:AL850">IF(AN842=21,J842,0)</f>
        <v>0</v>
      </c>
      <c r="AN842" s="29">
        <v>15</v>
      </c>
      <c r="AO842" s="29">
        <f>G842*0</f>
        <v>0</v>
      </c>
      <c r="AP842" s="29">
        <f>G842*(1-0)</f>
        <v>91.9</v>
      </c>
      <c r="AQ842" s="51" t="s">
        <v>85</v>
      </c>
      <c r="AV842" s="29">
        <f aca="true" t="shared" si="875" ref="AV842:AV850">AW842+AX842</f>
        <v>0</v>
      </c>
      <c r="AW842" s="29">
        <f aca="true" t="shared" si="876" ref="AW842:AW850">F842*AO842</f>
        <v>0</v>
      </c>
      <c r="AX842" s="29">
        <f aca="true" t="shared" si="877" ref="AX842:AX850">F842*AP842</f>
        <v>0</v>
      </c>
      <c r="AY842" s="54" t="s">
        <v>647</v>
      </c>
      <c r="AZ842" s="54" t="s">
        <v>1647</v>
      </c>
      <c r="BA842" s="48" t="s">
        <v>1649</v>
      </c>
      <c r="BC842" s="29">
        <f aca="true" t="shared" si="878" ref="BC842:BC850">AW842+AX842</f>
        <v>0</v>
      </c>
      <c r="BD842" s="29">
        <f aca="true" t="shared" si="879" ref="BD842:BD850">G842/(100-BE842)*100</f>
        <v>91.9</v>
      </c>
      <c r="BE842" s="29">
        <v>0</v>
      </c>
      <c r="BF842" s="29">
        <f aca="true" t="shared" si="880" ref="BF842:BF850">L842</f>
        <v>0</v>
      </c>
      <c r="BH842" s="55">
        <f aca="true" t="shared" si="881" ref="BH842:BH850">F842*AO842</f>
        <v>0</v>
      </c>
      <c r="BI842" s="55">
        <f aca="true" t="shared" si="882" ref="BI842:BI850">F842*AP842</f>
        <v>0</v>
      </c>
      <c r="BJ842" s="55">
        <f aca="true" t="shared" si="883" ref="BJ842:BJ850">F842*G842</f>
        <v>0</v>
      </c>
    </row>
    <row r="843" spans="1:62" ht="12.75">
      <c r="A843" s="36" t="s">
        <v>2053</v>
      </c>
      <c r="B843" s="36" t="s">
        <v>61</v>
      </c>
      <c r="C843" s="36" t="s">
        <v>369</v>
      </c>
      <c r="D843" s="36" t="s">
        <v>1635</v>
      </c>
      <c r="E843" s="36" t="s">
        <v>608</v>
      </c>
      <c r="F843" s="55">
        <f>'Stavební rozpočet'!F858</f>
        <v>0</v>
      </c>
      <c r="G843" s="55">
        <f>'Stavební rozpočet'!G858</f>
        <v>267</v>
      </c>
      <c r="H843" s="55">
        <f t="shared" si="860"/>
        <v>0</v>
      </c>
      <c r="I843" s="55">
        <f t="shared" si="861"/>
        <v>0</v>
      </c>
      <c r="J843" s="55">
        <f t="shared" si="862"/>
        <v>0</v>
      </c>
      <c r="K843" s="55">
        <f>'Stavební rozpočet'!K858</f>
        <v>0</v>
      </c>
      <c r="L843" s="55">
        <f t="shared" si="863"/>
        <v>0</v>
      </c>
      <c r="M843" s="51" t="s">
        <v>622</v>
      </c>
      <c r="Z843" s="29">
        <f t="shared" si="864"/>
        <v>0</v>
      </c>
      <c r="AB843" s="29">
        <f t="shared" si="865"/>
        <v>0</v>
      </c>
      <c r="AC843" s="29">
        <f t="shared" si="866"/>
        <v>0</v>
      </c>
      <c r="AD843" s="29">
        <f t="shared" si="867"/>
        <v>0</v>
      </c>
      <c r="AE843" s="29">
        <f t="shared" si="868"/>
        <v>0</v>
      </c>
      <c r="AF843" s="29">
        <f t="shared" si="869"/>
        <v>0</v>
      </c>
      <c r="AG843" s="29">
        <f t="shared" si="870"/>
        <v>0</v>
      </c>
      <c r="AH843" s="29">
        <f t="shared" si="871"/>
        <v>0</v>
      </c>
      <c r="AI843" s="48" t="s">
        <v>61</v>
      </c>
      <c r="AJ843" s="55">
        <f t="shared" si="872"/>
        <v>0</v>
      </c>
      <c r="AK843" s="55">
        <f t="shared" si="873"/>
        <v>0</v>
      </c>
      <c r="AL843" s="55">
        <f t="shared" si="874"/>
        <v>0</v>
      </c>
      <c r="AN843" s="29">
        <v>15</v>
      </c>
      <c r="AO843" s="29">
        <f>G843*0</f>
        <v>0</v>
      </c>
      <c r="AP843" s="29">
        <f>G843*(1-0)</f>
        <v>267</v>
      </c>
      <c r="AQ843" s="51" t="s">
        <v>85</v>
      </c>
      <c r="AV843" s="29">
        <f t="shared" si="875"/>
        <v>0</v>
      </c>
      <c r="AW843" s="29">
        <f t="shared" si="876"/>
        <v>0</v>
      </c>
      <c r="AX843" s="29">
        <f t="shared" si="877"/>
        <v>0</v>
      </c>
      <c r="AY843" s="54" t="s">
        <v>647</v>
      </c>
      <c r="AZ843" s="54" t="s">
        <v>1647</v>
      </c>
      <c r="BA843" s="48" t="s">
        <v>1649</v>
      </c>
      <c r="BC843" s="29">
        <f t="shared" si="878"/>
        <v>0</v>
      </c>
      <c r="BD843" s="29">
        <f t="shared" si="879"/>
        <v>267</v>
      </c>
      <c r="BE843" s="29">
        <v>0</v>
      </c>
      <c r="BF843" s="29">
        <f t="shared" si="880"/>
        <v>0</v>
      </c>
      <c r="BH843" s="55">
        <f t="shared" si="881"/>
        <v>0</v>
      </c>
      <c r="BI843" s="55">
        <f t="shared" si="882"/>
        <v>0</v>
      </c>
      <c r="BJ843" s="55">
        <f t="shared" si="883"/>
        <v>0</v>
      </c>
    </row>
    <row r="844" spans="1:62" ht="12.75">
      <c r="A844" s="36" t="s">
        <v>2054</v>
      </c>
      <c r="B844" s="36" t="s">
        <v>61</v>
      </c>
      <c r="C844" s="36" t="s">
        <v>370</v>
      </c>
      <c r="D844" s="36" t="s">
        <v>1636</v>
      </c>
      <c r="E844" s="36" t="s">
        <v>608</v>
      </c>
      <c r="F844" s="55">
        <f>'Stavební rozpočet'!F859</f>
        <v>0</v>
      </c>
      <c r="G844" s="55">
        <f>'Stavební rozpočet'!G859</f>
        <v>296</v>
      </c>
      <c r="H844" s="55">
        <f t="shared" si="860"/>
        <v>0</v>
      </c>
      <c r="I844" s="55">
        <f t="shared" si="861"/>
        <v>0</v>
      </c>
      <c r="J844" s="55">
        <f t="shared" si="862"/>
        <v>0</v>
      </c>
      <c r="K844" s="55">
        <f>'Stavební rozpočet'!K859</f>
        <v>0</v>
      </c>
      <c r="L844" s="55">
        <f t="shared" si="863"/>
        <v>0</v>
      </c>
      <c r="M844" s="51" t="s">
        <v>622</v>
      </c>
      <c r="Z844" s="29">
        <f t="shared" si="864"/>
        <v>0</v>
      </c>
      <c r="AB844" s="29">
        <f t="shared" si="865"/>
        <v>0</v>
      </c>
      <c r="AC844" s="29">
        <f t="shared" si="866"/>
        <v>0</v>
      </c>
      <c r="AD844" s="29">
        <f t="shared" si="867"/>
        <v>0</v>
      </c>
      <c r="AE844" s="29">
        <f t="shared" si="868"/>
        <v>0</v>
      </c>
      <c r="AF844" s="29">
        <f t="shared" si="869"/>
        <v>0</v>
      </c>
      <c r="AG844" s="29">
        <f t="shared" si="870"/>
        <v>0</v>
      </c>
      <c r="AH844" s="29">
        <f t="shared" si="871"/>
        <v>0</v>
      </c>
      <c r="AI844" s="48" t="s">
        <v>61</v>
      </c>
      <c r="AJ844" s="55">
        <f t="shared" si="872"/>
        <v>0</v>
      </c>
      <c r="AK844" s="55">
        <f t="shared" si="873"/>
        <v>0</v>
      </c>
      <c r="AL844" s="55">
        <f t="shared" si="874"/>
        <v>0</v>
      </c>
      <c r="AN844" s="29">
        <v>15</v>
      </c>
      <c r="AO844" s="29">
        <f>G844*0</f>
        <v>0</v>
      </c>
      <c r="AP844" s="29">
        <f>G844*(1-0)</f>
        <v>296</v>
      </c>
      <c r="AQ844" s="51" t="s">
        <v>85</v>
      </c>
      <c r="AV844" s="29">
        <f t="shared" si="875"/>
        <v>0</v>
      </c>
      <c r="AW844" s="29">
        <f t="shared" si="876"/>
        <v>0</v>
      </c>
      <c r="AX844" s="29">
        <f t="shared" si="877"/>
        <v>0</v>
      </c>
      <c r="AY844" s="54" t="s">
        <v>647</v>
      </c>
      <c r="AZ844" s="54" t="s">
        <v>1647</v>
      </c>
      <c r="BA844" s="48" t="s">
        <v>1649</v>
      </c>
      <c r="BC844" s="29">
        <f t="shared" si="878"/>
        <v>0</v>
      </c>
      <c r="BD844" s="29">
        <f t="shared" si="879"/>
        <v>296</v>
      </c>
      <c r="BE844" s="29">
        <v>0</v>
      </c>
      <c r="BF844" s="29">
        <f t="shared" si="880"/>
        <v>0</v>
      </c>
      <c r="BH844" s="55">
        <f t="shared" si="881"/>
        <v>0</v>
      </c>
      <c r="BI844" s="55">
        <f t="shared" si="882"/>
        <v>0</v>
      </c>
      <c r="BJ844" s="55">
        <f t="shared" si="883"/>
        <v>0</v>
      </c>
    </row>
    <row r="845" spans="1:62" ht="12.75">
      <c r="A845" s="36" t="s">
        <v>2055</v>
      </c>
      <c r="B845" s="36" t="s">
        <v>61</v>
      </c>
      <c r="C845" s="36" t="s">
        <v>372</v>
      </c>
      <c r="D845" s="36" t="s">
        <v>557</v>
      </c>
      <c r="E845" s="36" t="s">
        <v>608</v>
      </c>
      <c r="F845" s="55">
        <f>'Stavební rozpočet'!F860</f>
        <v>0</v>
      </c>
      <c r="G845" s="55">
        <f>'Stavební rozpočet'!G860</f>
        <v>38.6</v>
      </c>
      <c r="H845" s="55">
        <f t="shared" si="860"/>
        <v>0</v>
      </c>
      <c r="I845" s="55">
        <f t="shared" si="861"/>
        <v>0</v>
      </c>
      <c r="J845" s="55">
        <f t="shared" si="862"/>
        <v>0</v>
      </c>
      <c r="K845" s="55">
        <f>'Stavební rozpočet'!K860</f>
        <v>0.00021</v>
      </c>
      <c r="L845" s="55">
        <f t="shared" si="863"/>
        <v>0</v>
      </c>
      <c r="M845" s="51" t="s">
        <v>622</v>
      </c>
      <c r="Z845" s="29">
        <f t="shared" si="864"/>
        <v>0</v>
      </c>
      <c r="AB845" s="29">
        <f t="shared" si="865"/>
        <v>0</v>
      </c>
      <c r="AC845" s="29">
        <f t="shared" si="866"/>
        <v>0</v>
      </c>
      <c r="AD845" s="29">
        <f t="shared" si="867"/>
        <v>0</v>
      </c>
      <c r="AE845" s="29">
        <f t="shared" si="868"/>
        <v>0</v>
      </c>
      <c r="AF845" s="29">
        <f t="shared" si="869"/>
        <v>0</v>
      </c>
      <c r="AG845" s="29">
        <f t="shared" si="870"/>
        <v>0</v>
      </c>
      <c r="AH845" s="29">
        <f t="shared" si="871"/>
        <v>0</v>
      </c>
      <c r="AI845" s="48" t="s">
        <v>61</v>
      </c>
      <c r="AJ845" s="55">
        <f t="shared" si="872"/>
        <v>0</v>
      </c>
      <c r="AK845" s="55">
        <f t="shared" si="873"/>
        <v>0</v>
      </c>
      <c r="AL845" s="55">
        <f t="shared" si="874"/>
        <v>0</v>
      </c>
      <c r="AN845" s="29">
        <v>15</v>
      </c>
      <c r="AO845" s="29">
        <f>G845*0.533419689119171</f>
        <v>20.590000000000003</v>
      </c>
      <c r="AP845" s="29">
        <f>G845*(1-0.533419689119171)</f>
        <v>18.009999999999998</v>
      </c>
      <c r="AQ845" s="51" t="s">
        <v>85</v>
      </c>
      <c r="AV845" s="29">
        <f t="shared" si="875"/>
        <v>0</v>
      </c>
      <c r="AW845" s="29">
        <f t="shared" si="876"/>
        <v>0</v>
      </c>
      <c r="AX845" s="29">
        <f t="shared" si="877"/>
        <v>0</v>
      </c>
      <c r="AY845" s="54" t="s">
        <v>647</v>
      </c>
      <c r="AZ845" s="54" t="s">
        <v>1647</v>
      </c>
      <c r="BA845" s="48" t="s">
        <v>1649</v>
      </c>
      <c r="BC845" s="29">
        <f t="shared" si="878"/>
        <v>0</v>
      </c>
      <c r="BD845" s="29">
        <f t="shared" si="879"/>
        <v>38.6</v>
      </c>
      <c r="BE845" s="29">
        <v>0</v>
      </c>
      <c r="BF845" s="29">
        <f t="shared" si="880"/>
        <v>0</v>
      </c>
      <c r="BH845" s="55">
        <f t="shared" si="881"/>
        <v>0</v>
      </c>
      <c r="BI845" s="55">
        <f t="shared" si="882"/>
        <v>0</v>
      </c>
      <c r="BJ845" s="55">
        <f t="shared" si="883"/>
        <v>0</v>
      </c>
    </row>
    <row r="846" spans="1:62" ht="12.75">
      <c r="A846" s="36" t="s">
        <v>2056</v>
      </c>
      <c r="B846" s="36" t="s">
        <v>61</v>
      </c>
      <c r="C846" s="36" t="s">
        <v>371</v>
      </c>
      <c r="D846" s="36" t="s">
        <v>556</v>
      </c>
      <c r="E846" s="36" t="s">
        <v>609</v>
      </c>
      <c r="F846" s="55">
        <f>'Stavební rozpočet'!F861</f>
        <v>0</v>
      </c>
      <c r="G846" s="55">
        <f>'Stavební rozpočet'!G861</f>
        <v>57.3</v>
      </c>
      <c r="H846" s="55">
        <f t="shared" si="860"/>
        <v>0</v>
      </c>
      <c r="I846" s="55">
        <f t="shared" si="861"/>
        <v>0</v>
      </c>
      <c r="J846" s="55">
        <f t="shared" si="862"/>
        <v>0</v>
      </c>
      <c r="K846" s="55">
        <f>'Stavební rozpočet'!K861</f>
        <v>0</v>
      </c>
      <c r="L846" s="55">
        <f t="shared" si="863"/>
        <v>0</v>
      </c>
      <c r="M846" s="51" t="s">
        <v>622</v>
      </c>
      <c r="Z846" s="29">
        <f t="shared" si="864"/>
        <v>0</v>
      </c>
      <c r="AB846" s="29">
        <f t="shared" si="865"/>
        <v>0</v>
      </c>
      <c r="AC846" s="29">
        <f t="shared" si="866"/>
        <v>0</v>
      </c>
      <c r="AD846" s="29">
        <f t="shared" si="867"/>
        <v>0</v>
      </c>
      <c r="AE846" s="29">
        <f t="shared" si="868"/>
        <v>0</v>
      </c>
      <c r="AF846" s="29">
        <f t="shared" si="869"/>
        <v>0</v>
      </c>
      <c r="AG846" s="29">
        <f t="shared" si="870"/>
        <v>0</v>
      </c>
      <c r="AH846" s="29">
        <f t="shared" si="871"/>
        <v>0</v>
      </c>
      <c r="AI846" s="48" t="s">
        <v>61</v>
      </c>
      <c r="AJ846" s="55">
        <f t="shared" si="872"/>
        <v>0</v>
      </c>
      <c r="AK846" s="55">
        <f t="shared" si="873"/>
        <v>0</v>
      </c>
      <c r="AL846" s="55">
        <f t="shared" si="874"/>
        <v>0</v>
      </c>
      <c r="AN846" s="29">
        <v>15</v>
      </c>
      <c r="AO846" s="29">
        <f>G846*0</f>
        <v>0</v>
      </c>
      <c r="AP846" s="29">
        <f>G846*(1-0)</f>
        <v>57.3</v>
      </c>
      <c r="AQ846" s="51" t="s">
        <v>85</v>
      </c>
      <c r="AV846" s="29">
        <f t="shared" si="875"/>
        <v>0</v>
      </c>
      <c r="AW846" s="29">
        <f t="shared" si="876"/>
        <v>0</v>
      </c>
      <c r="AX846" s="29">
        <f t="shared" si="877"/>
        <v>0</v>
      </c>
      <c r="AY846" s="54" t="s">
        <v>647</v>
      </c>
      <c r="AZ846" s="54" t="s">
        <v>1647</v>
      </c>
      <c r="BA846" s="48" t="s">
        <v>1649</v>
      </c>
      <c r="BC846" s="29">
        <f t="shared" si="878"/>
        <v>0</v>
      </c>
      <c r="BD846" s="29">
        <f t="shared" si="879"/>
        <v>57.3</v>
      </c>
      <c r="BE846" s="29">
        <v>0</v>
      </c>
      <c r="BF846" s="29">
        <f t="shared" si="880"/>
        <v>0</v>
      </c>
      <c r="BH846" s="55">
        <f t="shared" si="881"/>
        <v>0</v>
      </c>
      <c r="BI846" s="55">
        <f t="shared" si="882"/>
        <v>0</v>
      </c>
      <c r="BJ846" s="55">
        <f t="shared" si="883"/>
        <v>0</v>
      </c>
    </row>
    <row r="847" spans="1:62" ht="12.75">
      <c r="A847" s="36" t="s">
        <v>1111</v>
      </c>
      <c r="B847" s="36" t="s">
        <v>61</v>
      </c>
      <c r="C847" s="36" t="s">
        <v>373</v>
      </c>
      <c r="D847" s="36" t="s">
        <v>1637</v>
      </c>
      <c r="E847" s="36" t="s">
        <v>609</v>
      </c>
      <c r="F847" s="55">
        <f>'Stavební rozpočet'!F862</f>
        <v>0</v>
      </c>
      <c r="G847" s="55">
        <f>'Stavební rozpočet'!G862</f>
        <v>93</v>
      </c>
      <c r="H847" s="55">
        <f t="shared" si="860"/>
        <v>0</v>
      </c>
      <c r="I847" s="55">
        <f t="shared" si="861"/>
        <v>0</v>
      </c>
      <c r="J847" s="55">
        <f t="shared" si="862"/>
        <v>0</v>
      </c>
      <c r="K847" s="55">
        <f>'Stavební rozpočet'!K862</f>
        <v>0.00032</v>
      </c>
      <c r="L847" s="55">
        <f t="shared" si="863"/>
        <v>0</v>
      </c>
      <c r="M847" s="51" t="s">
        <v>622</v>
      </c>
      <c r="Z847" s="29">
        <f t="shared" si="864"/>
        <v>0</v>
      </c>
      <c r="AB847" s="29">
        <f t="shared" si="865"/>
        <v>0</v>
      </c>
      <c r="AC847" s="29">
        <f t="shared" si="866"/>
        <v>0</v>
      </c>
      <c r="AD847" s="29">
        <f t="shared" si="867"/>
        <v>0</v>
      </c>
      <c r="AE847" s="29">
        <f t="shared" si="868"/>
        <v>0</v>
      </c>
      <c r="AF847" s="29">
        <f t="shared" si="869"/>
        <v>0</v>
      </c>
      <c r="AG847" s="29">
        <f t="shared" si="870"/>
        <v>0</v>
      </c>
      <c r="AH847" s="29">
        <f t="shared" si="871"/>
        <v>0</v>
      </c>
      <c r="AI847" s="48" t="s">
        <v>61</v>
      </c>
      <c r="AJ847" s="55">
        <f t="shared" si="872"/>
        <v>0</v>
      </c>
      <c r="AK847" s="55">
        <f t="shared" si="873"/>
        <v>0</v>
      </c>
      <c r="AL847" s="55">
        <f t="shared" si="874"/>
        <v>0</v>
      </c>
      <c r="AN847" s="29">
        <v>15</v>
      </c>
      <c r="AO847" s="29">
        <f>G847*0.0855913978494624</f>
        <v>7.9600000000000035</v>
      </c>
      <c r="AP847" s="29">
        <f>G847*(1-0.0855913978494624)</f>
        <v>85.03999999999999</v>
      </c>
      <c r="AQ847" s="51" t="s">
        <v>85</v>
      </c>
      <c r="AV847" s="29">
        <f t="shared" si="875"/>
        <v>0</v>
      </c>
      <c r="AW847" s="29">
        <f t="shared" si="876"/>
        <v>0</v>
      </c>
      <c r="AX847" s="29">
        <f t="shared" si="877"/>
        <v>0</v>
      </c>
      <c r="AY847" s="54" t="s">
        <v>647</v>
      </c>
      <c r="AZ847" s="54" t="s">
        <v>1647</v>
      </c>
      <c r="BA847" s="48" t="s">
        <v>1649</v>
      </c>
      <c r="BC847" s="29">
        <f t="shared" si="878"/>
        <v>0</v>
      </c>
      <c r="BD847" s="29">
        <f t="shared" si="879"/>
        <v>93</v>
      </c>
      <c r="BE847" s="29">
        <v>0</v>
      </c>
      <c r="BF847" s="29">
        <f t="shared" si="880"/>
        <v>0</v>
      </c>
      <c r="BH847" s="55">
        <f t="shared" si="881"/>
        <v>0</v>
      </c>
      <c r="BI847" s="55">
        <f t="shared" si="882"/>
        <v>0</v>
      </c>
      <c r="BJ847" s="55">
        <f t="shared" si="883"/>
        <v>0</v>
      </c>
    </row>
    <row r="848" spans="1:62" ht="12.75">
      <c r="A848" s="36" t="s">
        <v>2057</v>
      </c>
      <c r="B848" s="36" t="s">
        <v>61</v>
      </c>
      <c r="C848" s="36" t="s">
        <v>375</v>
      </c>
      <c r="D848" s="36" t="s">
        <v>560</v>
      </c>
      <c r="E848" s="36" t="s">
        <v>609</v>
      </c>
      <c r="F848" s="55">
        <f>'Stavební rozpočet'!F864</f>
        <v>0</v>
      </c>
      <c r="G848" s="55">
        <f>'Stavební rozpočet'!G864</f>
        <v>72.9</v>
      </c>
      <c r="H848" s="55">
        <f t="shared" si="860"/>
        <v>0</v>
      </c>
      <c r="I848" s="55">
        <f t="shared" si="861"/>
        <v>0</v>
      </c>
      <c r="J848" s="55">
        <f t="shared" si="862"/>
        <v>0</v>
      </c>
      <c r="K848" s="55">
        <f>'Stavební rozpočet'!K864</f>
        <v>0</v>
      </c>
      <c r="L848" s="55">
        <f t="shared" si="863"/>
        <v>0</v>
      </c>
      <c r="M848" s="51" t="s">
        <v>622</v>
      </c>
      <c r="Z848" s="29">
        <f t="shared" si="864"/>
        <v>0</v>
      </c>
      <c r="AB848" s="29">
        <f t="shared" si="865"/>
        <v>0</v>
      </c>
      <c r="AC848" s="29">
        <f t="shared" si="866"/>
        <v>0</v>
      </c>
      <c r="AD848" s="29">
        <f t="shared" si="867"/>
        <v>0</v>
      </c>
      <c r="AE848" s="29">
        <f t="shared" si="868"/>
        <v>0</v>
      </c>
      <c r="AF848" s="29">
        <f t="shared" si="869"/>
        <v>0</v>
      </c>
      <c r="AG848" s="29">
        <f t="shared" si="870"/>
        <v>0</v>
      </c>
      <c r="AH848" s="29">
        <f t="shared" si="871"/>
        <v>0</v>
      </c>
      <c r="AI848" s="48" t="s">
        <v>61</v>
      </c>
      <c r="AJ848" s="55">
        <f t="shared" si="872"/>
        <v>0</v>
      </c>
      <c r="AK848" s="55">
        <f t="shared" si="873"/>
        <v>0</v>
      </c>
      <c r="AL848" s="55">
        <f t="shared" si="874"/>
        <v>0</v>
      </c>
      <c r="AN848" s="29">
        <v>15</v>
      </c>
      <c r="AO848" s="29">
        <f>G848*0.0743484633485307</f>
        <v>5.420002978107888</v>
      </c>
      <c r="AP848" s="29">
        <f>G848*(1-0.0743484633485307)</f>
        <v>67.47999702189212</v>
      </c>
      <c r="AQ848" s="51" t="s">
        <v>85</v>
      </c>
      <c r="AV848" s="29">
        <f t="shared" si="875"/>
        <v>0</v>
      </c>
      <c r="AW848" s="29">
        <f t="shared" si="876"/>
        <v>0</v>
      </c>
      <c r="AX848" s="29">
        <f t="shared" si="877"/>
        <v>0</v>
      </c>
      <c r="AY848" s="54" t="s">
        <v>647</v>
      </c>
      <c r="AZ848" s="54" t="s">
        <v>1647</v>
      </c>
      <c r="BA848" s="48" t="s">
        <v>1649</v>
      </c>
      <c r="BC848" s="29">
        <f t="shared" si="878"/>
        <v>0</v>
      </c>
      <c r="BD848" s="29">
        <f t="shared" si="879"/>
        <v>72.9</v>
      </c>
      <c r="BE848" s="29">
        <v>0</v>
      </c>
      <c r="BF848" s="29">
        <f t="shared" si="880"/>
        <v>0</v>
      </c>
      <c r="BH848" s="55">
        <f t="shared" si="881"/>
        <v>0</v>
      </c>
      <c r="BI848" s="55">
        <f t="shared" si="882"/>
        <v>0</v>
      </c>
      <c r="BJ848" s="55">
        <f t="shared" si="883"/>
        <v>0</v>
      </c>
    </row>
    <row r="849" spans="1:62" ht="12.75">
      <c r="A849" s="36" t="s">
        <v>2058</v>
      </c>
      <c r="B849" s="36" t="s">
        <v>61</v>
      </c>
      <c r="C849" s="36" t="s">
        <v>376</v>
      </c>
      <c r="D849" s="36" t="s">
        <v>1638</v>
      </c>
      <c r="E849" s="36" t="s">
        <v>608</v>
      </c>
      <c r="F849" s="55">
        <f>'Stavební rozpočet'!F865</f>
        <v>0</v>
      </c>
      <c r="G849" s="55">
        <f>'Stavební rozpočet'!G865</f>
        <v>437</v>
      </c>
      <c r="H849" s="55">
        <f t="shared" si="860"/>
        <v>0</v>
      </c>
      <c r="I849" s="55">
        <f t="shared" si="861"/>
        <v>0</v>
      </c>
      <c r="J849" s="55">
        <f t="shared" si="862"/>
        <v>0</v>
      </c>
      <c r="K849" s="55">
        <f>'Stavební rozpočet'!K865</f>
        <v>0.00504</v>
      </c>
      <c r="L849" s="55">
        <f t="shared" si="863"/>
        <v>0</v>
      </c>
      <c r="M849" s="51" t="s">
        <v>622</v>
      </c>
      <c r="Z849" s="29">
        <f t="shared" si="864"/>
        <v>0</v>
      </c>
      <c r="AB849" s="29">
        <f t="shared" si="865"/>
        <v>0</v>
      </c>
      <c r="AC849" s="29">
        <f t="shared" si="866"/>
        <v>0</v>
      </c>
      <c r="AD849" s="29">
        <f t="shared" si="867"/>
        <v>0</v>
      </c>
      <c r="AE849" s="29">
        <f t="shared" si="868"/>
        <v>0</v>
      </c>
      <c r="AF849" s="29">
        <f t="shared" si="869"/>
        <v>0</v>
      </c>
      <c r="AG849" s="29">
        <f t="shared" si="870"/>
        <v>0</v>
      </c>
      <c r="AH849" s="29">
        <f t="shared" si="871"/>
        <v>0</v>
      </c>
      <c r="AI849" s="48" t="s">
        <v>61</v>
      </c>
      <c r="AJ849" s="55">
        <f t="shared" si="872"/>
        <v>0</v>
      </c>
      <c r="AK849" s="55">
        <f t="shared" si="873"/>
        <v>0</v>
      </c>
      <c r="AL849" s="55">
        <f t="shared" si="874"/>
        <v>0</v>
      </c>
      <c r="AN849" s="29">
        <v>15</v>
      </c>
      <c r="AO849" s="29">
        <f>G849*0.1941647597254</f>
        <v>84.84999999999981</v>
      </c>
      <c r="AP849" s="29">
        <f>G849*(1-0.1941647597254)</f>
        <v>352.1500000000002</v>
      </c>
      <c r="AQ849" s="51" t="s">
        <v>85</v>
      </c>
      <c r="AV849" s="29">
        <f t="shared" si="875"/>
        <v>0</v>
      </c>
      <c r="AW849" s="29">
        <f t="shared" si="876"/>
        <v>0</v>
      </c>
      <c r="AX849" s="29">
        <f t="shared" si="877"/>
        <v>0</v>
      </c>
      <c r="AY849" s="54" t="s">
        <v>647</v>
      </c>
      <c r="AZ849" s="54" t="s">
        <v>1647</v>
      </c>
      <c r="BA849" s="48" t="s">
        <v>1649</v>
      </c>
      <c r="BC849" s="29">
        <f t="shared" si="878"/>
        <v>0</v>
      </c>
      <c r="BD849" s="29">
        <f t="shared" si="879"/>
        <v>437</v>
      </c>
      <c r="BE849" s="29">
        <v>0</v>
      </c>
      <c r="BF849" s="29">
        <f t="shared" si="880"/>
        <v>0</v>
      </c>
      <c r="BH849" s="55">
        <f t="shared" si="881"/>
        <v>0</v>
      </c>
      <c r="BI849" s="55">
        <f t="shared" si="882"/>
        <v>0</v>
      </c>
      <c r="BJ849" s="55">
        <f t="shared" si="883"/>
        <v>0</v>
      </c>
    </row>
    <row r="850" spans="1:62" ht="12.75">
      <c r="A850" s="36" t="s">
        <v>2059</v>
      </c>
      <c r="B850" s="36" t="s">
        <v>61</v>
      </c>
      <c r="C850" s="36" t="s">
        <v>377</v>
      </c>
      <c r="D850" s="36" t="s">
        <v>563</v>
      </c>
      <c r="E850" s="36" t="s">
        <v>612</v>
      </c>
      <c r="F850" s="55">
        <f>'Stavební rozpočet'!F867</f>
        <v>0</v>
      </c>
      <c r="G850" s="55">
        <f>'Stavební rozpočet'!G867</f>
        <v>455.01</v>
      </c>
      <c r="H850" s="55">
        <f t="shared" si="860"/>
        <v>0</v>
      </c>
      <c r="I850" s="55">
        <f t="shared" si="861"/>
        <v>0</v>
      </c>
      <c r="J850" s="55">
        <f t="shared" si="862"/>
        <v>0</v>
      </c>
      <c r="K850" s="55">
        <f>'Stavební rozpočet'!K867</f>
        <v>0</v>
      </c>
      <c r="L850" s="55">
        <f t="shared" si="863"/>
        <v>0</v>
      </c>
      <c r="M850" s="51" t="s">
        <v>622</v>
      </c>
      <c r="Z850" s="29">
        <f t="shared" si="864"/>
        <v>0</v>
      </c>
      <c r="AB850" s="29">
        <f t="shared" si="865"/>
        <v>0</v>
      </c>
      <c r="AC850" s="29">
        <f t="shared" si="866"/>
        <v>0</v>
      </c>
      <c r="AD850" s="29">
        <f t="shared" si="867"/>
        <v>0</v>
      </c>
      <c r="AE850" s="29">
        <f t="shared" si="868"/>
        <v>0</v>
      </c>
      <c r="AF850" s="29">
        <f t="shared" si="869"/>
        <v>0</v>
      </c>
      <c r="AG850" s="29">
        <f t="shared" si="870"/>
        <v>0</v>
      </c>
      <c r="AH850" s="29">
        <f t="shared" si="871"/>
        <v>0</v>
      </c>
      <c r="AI850" s="48" t="s">
        <v>61</v>
      </c>
      <c r="AJ850" s="55">
        <f t="shared" si="872"/>
        <v>0</v>
      </c>
      <c r="AK850" s="55">
        <f t="shared" si="873"/>
        <v>0</v>
      </c>
      <c r="AL850" s="55">
        <f t="shared" si="874"/>
        <v>0</v>
      </c>
      <c r="AN850" s="29">
        <v>15</v>
      </c>
      <c r="AO850" s="29">
        <f>G850*0</f>
        <v>0</v>
      </c>
      <c r="AP850" s="29">
        <f>G850*(1-0)</f>
        <v>455.01</v>
      </c>
      <c r="AQ850" s="51" t="s">
        <v>83</v>
      </c>
      <c r="AV850" s="29">
        <f t="shared" si="875"/>
        <v>0</v>
      </c>
      <c r="AW850" s="29">
        <f t="shared" si="876"/>
        <v>0</v>
      </c>
      <c r="AX850" s="29">
        <f t="shared" si="877"/>
        <v>0</v>
      </c>
      <c r="AY850" s="54" t="s">
        <v>647</v>
      </c>
      <c r="AZ850" s="54" t="s">
        <v>1647</v>
      </c>
      <c r="BA850" s="48" t="s">
        <v>1649</v>
      </c>
      <c r="BC850" s="29">
        <f t="shared" si="878"/>
        <v>0</v>
      </c>
      <c r="BD850" s="29">
        <f t="shared" si="879"/>
        <v>455.00999999999993</v>
      </c>
      <c r="BE850" s="29">
        <v>0</v>
      </c>
      <c r="BF850" s="29">
        <f t="shared" si="880"/>
        <v>0</v>
      </c>
      <c r="BH850" s="55">
        <f t="shared" si="881"/>
        <v>0</v>
      </c>
      <c r="BI850" s="55">
        <f t="shared" si="882"/>
        <v>0</v>
      </c>
      <c r="BJ850" s="55">
        <f t="shared" si="883"/>
        <v>0</v>
      </c>
    </row>
    <row r="851" spans="1:47" ht="12.75">
      <c r="A851" s="35"/>
      <c r="B851" s="42" t="s">
        <v>61</v>
      </c>
      <c r="C851" s="42" t="s">
        <v>1120</v>
      </c>
      <c r="D851" s="42" t="s">
        <v>1427</v>
      </c>
      <c r="E851" s="35" t="s">
        <v>57</v>
      </c>
      <c r="F851" s="35" t="s">
        <v>57</v>
      </c>
      <c r="G851" s="35" t="s">
        <v>57</v>
      </c>
      <c r="H851" s="59">
        <f>SUM(H852:H862)</f>
        <v>0</v>
      </c>
      <c r="I851" s="59">
        <f>SUM(I852:I862)</f>
        <v>0</v>
      </c>
      <c r="J851" s="59">
        <f>SUM(J852:J862)</f>
        <v>0</v>
      </c>
      <c r="K851" s="48"/>
      <c r="L851" s="59">
        <f>SUM(L852:L862)</f>
        <v>0</v>
      </c>
      <c r="M851" s="48"/>
      <c r="AI851" s="48" t="s">
        <v>61</v>
      </c>
      <c r="AS851" s="59">
        <f>SUM(AJ852:AJ862)</f>
        <v>0</v>
      </c>
      <c r="AT851" s="59">
        <f>SUM(AK852:AK862)</f>
        <v>0</v>
      </c>
      <c r="AU851" s="59">
        <f>SUM(AL852:AL862)</f>
        <v>0</v>
      </c>
    </row>
    <row r="852" spans="1:62" ht="12.75">
      <c r="A852" s="36" t="s">
        <v>2060</v>
      </c>
      <c r="B852" s="36" t="s">
        <v>61</v>
      </c>
      <c r="C852" s="36" t="s">
        <v>1121</v>
      </c>
      <c r="D852" s="36" t="s">
        <v>1428</v>
      </c>
      <c r="E852" s="36" t="s">
        <v>608</v>
      </c>
      <c r="F852" s="55">
        <f>'Stavební rozpočet'!F869</f>
        <v>0</v>
      </c>
      <c r="G852" s="55">
        <f>'Stavební rozpočet'!G869</f>
        <v>38.6</v>
      </c>
      <c r="H852" s="55">
        <f aca="true" t="shared" si="884" ref="H852:H862">F852*AO852</f>
        <v>0</v>
      </c>
      <c r="I852" s="55">
        <f aca="true" t="shared" si="885" ref="I852:I862">F852*AP852</f>
        <v>0</v>
      </c>
      <c r="J852" s="55">
        <f aca="true" t="shared" si="886" ref="J852:J862">F852*G852</f>
        <v>0</v>
      </c>
      <c r="K852" s="55">
        <f>'Stavební rozpočet'!K869</f>
        <v>0.00021</v>
      </c>
      <c r="L852" s="55">
        <f aca="true" t="shared" si="887" ref="L852:L862">F852*K852</f>
        <v>0</v>
      </c>
      <c r="M852" s="51" t="s">
        <v>622</v>
      </c>
      <c r="Z852" s="29">
        <f aca="true" t="shared" si="888" ref="Z852:Z862">IF(AQ852="5",BJ852,0)</f>
        <v>0</v>
      </c>
      <c r="AB852" s="29">
        <f aca="true" t="shared" si="889" ref="AB852:AB862">IF(AQ852="1",BH852,0)</f>
        <v>0</v>
      </c>
      <c r="AC852" s="29">
        <f aca="true" t="shared" si="890" ref="AC852:AC862">IF(AQ852="1",BI852,0)</f>
        <v>0</v>
      </c>
      <c r="AD852" s="29">
        <f aca="true" t="shared" si="891" ref="AD852:AD862">IF(AQ852="7",BH852,0)</f>
        <v>0</v>
      </c>
      <c r="AE852" s="29">
        <f aca="true" t="shared" si="892" ref="AE852:AE862">IF(AQ852="7",BI852,0)</f>
        <v>0</v>
      </c>
      <c r="AF852" s="29">
        <f aca="true" t="shared" si="893" ref="AF852:AF862">IF(AQ852="2",BH852,0)</f>
        <v>0</v>
      </c>
      <c r="AG852" s="29">
        <f aca="true" t="shared" si="894" ref="AG852:AG862">IF(AQ852="2",BI852,0)</f>
        <v>0</v>
      </c>
      <c r="AH852" s="29">
        <f aca="true" t="shared" si="895" ref="AH852:AH862">IF(AQ852="0",BJ852,0)</f>
        <v>0</v>
      </c>
      <c r="AI852" s="48" t="s">
        <v>61</v>
      </c>
      <c r="AJ852" s="55">
        <f aca="true" t="shared" si="896" ref="AJ852:AJ862">IF(AN852=0,J852,0)</f>
        <v>0</v>
      </c>
      <c r="AK852" s="55">
        <f aca="true" t="shared" si="897" ref="AK852:AK862">IF(AN852=15,J852,0)</f>
        <v>0</v>
      </c>
      <c r="AL852" s="55">
        <f aca="true" t="shared" si="898" ref="AL852:AL862">IF(AN852=21,J852,0)</f>
        <v>0</v>
      </c>
      <c r="AN852" s="29">
        <v>15</v>
      </c>
      <c r="AO852" s="29">
        <f>G852*0.533406240151276</f>
        <v>20.589480869839257</v>
      </c>
      <c r="AP852" s="29">
        <f>G852*(1-0.533406240151276)</f>
        <v>18.010519130160745</v>
      </c>
      <c r="AQ852" s="51" t="s">
        <v>85</v>
      </c>
      <c r="AV852" s="29">
        <f aca="true" t="shared" si="899" ref="AV852:AV862">AW852+AX852</f>
        <v>0</v>
      </c>
      <c r="AW852" s="29">
        <f aca="true" t="shared" si="900" ref="AW852:AW862">F852*AO852</f>
        <v>0</v>
      </c>
      <c r="AX852" s="29">
        <f aca="true" t="shared" si="901" ref="AX852:AX862">F852*AP852</f>
        <v>0</v>
      </c>
      <c r="AY852" s="54" t="s">
        <v>1532</v>
      </c>
      <c r="AZ852" s="54" t="s">
        <v>1648</v>
      </c>
      <c r="BA852" s="48" t="s">
        <v>1649</v>
      </c>
      <c r="BC852" s="29">
        <f aca="true" t="shared" si="902" ref="BC852:BC862">AW852+AX852</f>
        <v>0</v>
      </c>
      <c r="BD852" s="29">
        <f aca="true" t="shared" si="903" ref="BD852:BD862">G852/(100-BE852)*100</f>
        <v>38.6</v>
      </c>
      <c r="BE852" s="29">
        <v>0</v>
      </c>
      <c r="BF852" s="29">
        <f aca="true" t="shared" si="904" ref="BF852:BF862">L852</f>
        <v>0</v>
      </c>
      <c r="BH852" s="55">
        <f aca="true" t="shared" si="905" ref="BH852:BH862">F852*AO852</f>
        <v>0</v>
      </c>
      <c r="BI852" s="55">
        <f aca="true" t="shared" si="906" ref="BI852:BI862">F852*AP852</f>
        <v>0</v>
      </c>
      <c r="BJ852" s="55">
        <f aca="true" t="shared" si="907" ref="BJ852:BJ862">F852*G852</f>
        <v>0</v>
      </c>
    </row>
    <row r="853" spans="1:62" ht="12.75">
      <c r="A853" s="36" t="s">
        <v>1120</v>
      </c>
      <c r="B853" s="36" t="s">
        <v>61</v>
      </c>
      <c r="C853" s="36" t="s">
        <v>1122</v>
      </c>
      <c r="D853" s="36" t="s">
        <v>1429</v>
      </c>
      <c r="E853" s="36" t="s">
        <v>609</v>
      </c>
      <c r="F853" s="55">
        <f>'Stavební rozpočet'!F870</f>
        <v>0</v>
      </c>
      <c r="G853" s="55">
        <f>'Stavební rozpočet'!G870</f>
        <v>72.9</v>
      </c>
      <c r="H853" s="55">
        <f t="shared" si="884"/>
        <v>0</v>
      </c>
      <c r="I853" s="55">
        <f t="shared" si="885"/>
        <v>0</v>
      </c>
      <c r="J853" s="55">
        <f t="shared" si="886"/>
        <v>0</v>
      </c>
      <c r="K853" s="55">
        <f>'Stavební rozpočet'!K870</f>
        <v>0</v>
      </c>
      <c r="L853" s="55">
        <f t="shared" si="887"/>
        <v>0</v>
      </c>
      <c r="M853" s="51" t="s">
        <v>622</v>
      </c>
      <c r="Z853" s="29">
        <f t="shared" si="888"/>
        <v>0</v>
      </c>
      <c r="AB853" s="29">
        <f t="shared" si="889"/>
        <v>0</v>
      </c>
      <c r="AC853" s="29">
        <f t="shared" si="890"/>
        <v>0</v>
      </c>
      <c r="AD853" s="29">
        <f t="shared" si="891"/>
        <v>0</v>
      </c>
      <c r="AE853" s="29">
        <f t="shared" si="892"/>
        <v>0</v>
      </c>
      <c r="AF853" s="29">
        <f t="shared" si="893"/>
        <v>0</v>
      </c>
      <c r="AG853" s="29">
        <f t="shared" si="894"/>
        <v>0</v>
      </c>
      <c r="AH853" s="29">
        <f t="shared" si="895"/>
        <v>0</v>
      </c>
      <c r="AI853" s="48" t="s">
        <v>61</v>
      </c>
      <c r="AJ853" s="55">
        <f t="shared" si="896"/>
        <v>0</v>
      </c>
      <c r="AK853" s="55">
        <f t="shared" si="897"/>
        <v>0</v>
      </c>
      <c r="AL853" s="55">
        <f t="shared" si="898"/>
        <v>0</v>
      </c>
      <c r="AN853" s="29">
        <v>15</v>
      </c>
      <c r="AO853" s="29">
        <f>G853*0.0743484224965706</f>
        <v>5.419999999999997</v>
      </c>
      <c r="AP853" s="29">
        <f>G853*(1-0.0743484224965706)</f>
        <v>67.48</v>
      </c>
      <c r="AQ853" s="51" t="s">
        <v>85</v>
      </c>
      <c r="AV853" s="29">
        <f t="shared" si="899"/>
        <v>0</v>
      </c>
      <c r="AW853" s="29">
        <f t="shared" si="900"/>
        <v>0</v>
      </c>
      <c r="AX853" s="29">
        <f t="shared" si="901"/>
        <v>0</v>
      </c>
      <c r="AY853" s="54" t="s">
        <v>1532</v>
      </c>
      <c r="AZ853" s="54" t="s">
        <v>1648</v>
      </c>
      <c r="BA853" s="48" t="s">
        <v>1649</v>
      </c>
      <c r="BC853" s="29">
        <f t="shared" si="902"/>
        <v>0</v>
      </c>
      <c r="BD853" s="29">
        <f t="shared" si="903"/>
        <v>72.9</v>
      </c>
      <c r="BE853" s="29">
        <v>0</v>
      </c>
      <c r="BF853" s="29">
        <f t="shared" si="904"/>
        <v>0</v>
      </c>
      <c r="BH853" s="55">
        <f t="shared" si="905"/>
        <v>0</v>
      </c>
      <c r="BI853" s="55">
        <f t="shared" si="906"/>
        <v>0</v>
      </c>
      <c r="BJ853" s="55">
        <f t="shared" si="907"/>
        <v>0</v>
      </c>
    </row>
    <row r="854" spans="1:62" ht="12.75">
      <c r="A854" s="36" t="s">
        <v>2061</v>
      </c>
      <c r="B854" s="36" t="s">
        <v>61</v>
      </c>
      <c r="C854" s="36" t="s">
        <v>1123</v>
      </c>
      <c r="D854" s="36" t="s">
        <v>1430</v>
      </c>
      <c r="E854" s="36" t="s">
        <v>606</v>
      </c>
      <c r="F854" s="55">
        <f>'Stavební rozpočet'!F871</f>
        <v>0</v>
      </c>
      <c r="G854" s="55">
        <f>'Stavební rozpočet'!G871</f>
        <v>37</v>
      </c>
      <c r="H854" s="55">
        <f t="shared" si="884"/>
        <v>0</v>
      </c>
      <c r="I854" s="55">
        <f t="shared" si="885"/>
        <v>0</v>
      </c>
      <c r="J854" s="55">
        <f t="shared" si="886"/>
        <v>0</v>
      </c>
      <c r="K854" s="55">
        <f>'Stavební rozpočet'!K871</f>
        <v>0</v>
      </c>
      <c r="L854" s="55">
        <f t="shared" si="887"/>
        <v>0</v>
      </c>
      <c r="M854" s="51" t="s">
        <v>622</v>
      </c>
      <c r="Z854" s="29">
        <f t="shared" si="888"/>
        <v>0</v>
      </c>
      <c r="AB854" s="29">
        <f t="shared" si="889"/>
        <v>0</v>
      </c>
      <c r="AC854" s="29">
        <f t="shared" si="890"/>
        <v>0</v>
      </c>
      <c r="AD854" s="29">
        <f t="shared" si="891"/>
        <v>0</v>
      </c>
      <c r="AE854" s="29">
        <f t="shared" si="892"/>
        <v>0</v>
      </c>
      <c r="AF854" s="29">
        <f t="shared" si="893"/>
        <v>0</v>
      </c>
      <c r="AG854" s="29">
        <f t="shared" si="894"/>
        <v>0</v>
      </c>
      <c r="AH854" s="29">
        <f t="shared" si="895"/>
        <v>0</v>
      </c>
      <c r="AI854" s="48" t="s">
        <v>61</v>
      </c>
      <c r="AJ854" s="55">
        <f t="shared" si="896"/>
        <v>0</v>
      </c>
      <c r="AK854" s="55">
        <f t="shared" si="897"/>
        <v>0</v>
      </c>
      <c r="AL854" s="55">
        <f t="shared" si="898"/>
        <v>0</v>
      </c>
      <c r="AN854" s="29">
        <v>15</v>
      </c>
      <c r="AO854" s="29">
        <f>G854*0.0272972972972973</f>
        <v>1.01</v>
      </c>
      <c r="AP854" s="29">
        <f>G854*(1-0.0272972972972973)</f>
        <v>35.989999999999995</v>
      </c>
      <c r="AQ854" s="51" t="s">
        <v>85</v>
      </c>
      <c r="AV854" s="29">
        <f t="shared" si="899"/>
        <v>0</v>
      </c>
      <c r="AW854" s="29">
        <f t="shared" si="900"/>
        <v>0</v>
      </c>
      <c r="AX854" s="29">
        <f t="shared" si="901"/>
        <v>0</v>
      </c>
      <c r="AY854" s="54" t="s">
        <v>1532</v>
      </c>
      <c r="AZ854" s="54" t="s">
        <v>1648</v>
      </c>
      <c r="BA854" s="48" t="s">
        <v>1649</v>
      </c>
      <c r="BC854" s="29">
        <f t="shared" si="902"/>
        <v>0</v>
      </c>
      <c r="BD854" s="29">
        <f t="shared" si="903"/>
        <v>37</v>
      </c>
      <c r="BE854" s="29">
        <v>0</v>
      </c>
      <c r="BF854" s="29">
        <f t="shared" si="904"/>
        <v>0</v>
      </c>
      <c r="BH854" s="55">
        <f t="shared" si="905"/>
        <v>0</v>
      </c>
      <c r="BI854" s="55">
        <f t="shared" si="906"/>
        <v>0</v>
      </c>
      <c r="BJ854" s="55">
        <f t="shared" si="907"/>
        <v>0</v>
      </c>
    </row>
    <row r="855" spans="1:62" ht="12.75">
      <c r="A855" s="36" t="s">
        <v>2062</v>
      </c>
      <c r="B855" s="36" t="s">
        <v>61</v>
      </c>
      <c r="C855" s="36" t="s">
        <v>1124</v>
      </c>
      <c r="D855" s="36" t="s">
        <v>1431</v>
      </c>
      <c r="E855" s="36" t="s">
        <v>606</v>
      </c>
      <c r="F855" s="55">
        <f>'Stavební rozpočet'!F872</f>
        <v>0</v>
      </c>
      <c r="G855" s="55">
        <f>'Stavební rozpočet'!G872</f>
        <v>43.49</v>
      </c>
      <c r="H855" s="55">
        <f t="shared" si="884"/>
        <v>0</v>
      </c>
      <c r="I855" s="55">
        <f t="shared" si="885"/>
        <v>0</v>
      </c>
      <c r="J855" s="55">
        <f t="shared" si="886"/>
        <v>0</v>
      </c>
      <c r="K855" s="55">
        <f>'Stavební rozpočet'!K872</f>
        <v>0</v>
      </c>
      <c r="L855" s="55">
        <f t="shared" si="887"/>
        <v>0</v>
      </c>
      <c r="M855" s="51" t="s">
        <v>622</v>
      </c>
      <c r="Z855" s="29">
        <f t="shared" si="888"/>
        <v>0</v>
      </c>
      <c r="AB855" s="29">
        <f t="shared" si="889"/>
        <v>0</v>
      </c>
      <c r="AC855" s="29">
        <f t="shared" si="890"/>
        <v>0</v>
      </c>
      <c r="AD855" s="29">
        <f t="shared" si="891"/>
        <v>0</v>
      </c>
      <c r="AE855" s="29">
        <f t="shared" si="892"/>
        <v>0</v>
      </c>
      <c r="AF855" s="29">
        <f t="shared" si="893"/>
        <v>0</v>
      </c>
      <c r="AG855" s="29">
        <f t="shared" si="894"/>
        <v>0</v>
      </c>
      <c r="AH855" s="29">
        <f t="shared" si="895"/>
        <v>0</v>
      </c>
      <c r="AI855" s="48" t="s">
        <v>61</v>
      </c>
      <c r="AJ855" s="55">
        <f t="shared" si="896"/>
        <v>0</v>
      </c>
      <c r="AK855" s="55">
        <f t="shared" si="897"/>
        <v>0</v>
      </c>
      <c r="AL855" s="55">
        <f t="shared" si="898"/>
        <v>0</v>
      </c>
      <c r="AN855" s="29">
        <v>15</v>
      </c>
      <c r="AO855" s="29">
        <f>G855*0.0878362842032651</f>
        <v>3.8199999999999994</v>
      </c>
      <c r="AP855" s="29">
        <f>G855*(1-0.0878362842032651)</f>
        <v>39.67</v>
      </c>
      <c r="AQ855" s="51" t="s">
        <v>85</v>
      </c>
      <c r="AV855" s="29">
        <f t="shared" si="899"/>
        <v>0</v>
      </c>
      <c r="AW855" s="29">
        <f t="shared" si="900"/>
        <v>0</v>
      </c>
      <c r="AX855" s="29">
        <f t="shared" si="901"/>
        <v>0</v>
      </c>
      <c r="AY855" s="54" t="s">
        <v>1532</v>
      </c>
      <c r="AZ855" s="54" t="s">
        <v>1648</v>
      </c>
      <c r="BA855" s="48" t="s">
        <v>1649</v>
      </c>
      <c r="BC855" s="29">
        <f t="shared" si="902"/>
        <v>0</v>
      </c>
      <c r="BD855" s="29">
        <f t="shared" si="903"/>
        <v>43.49</v>
      </c>
      <c r="BE855" s="29">
        <v>0</v>
      </c>
      <c r="BF855" s="29">
        <f t="shared" si="904"/>
        <v>0</v>
      </c>
      <c r="BH855" s="55">
        <f t="shared" si="905"/>
        <v>0</v>
      </c>
      <c r="BI855" s="55">
        <f t="shared" si="906"/>
        <v>0</v>
      </c>
      <c r="BJ855" s="55">
        <f t="shared" si="907"/>
        <v>0</v>
      </c>
    </row>
    <row r="856" spans="1:62" ht="12.75">
      <c r="A856" s="36" t="s">
        <v>378</v>
      </c>
      <c r="B856" s="36" t="s">
        <v>61</v>
      </c>
      <c r="C856" s="36" t="s">
        <v>1125</v>
      </c>
      <c r="D856" s="36" t="s">
        <v>1432</v>
      </c>
      <c r="E856" s="36" t="s">
        <v>609</v>
      </c>
      <c r="F856" s="55">
        <f>'Stavební rozpočet'!F873</f>
        <v>0</v>
      </c>
      <c r="G856" s="55">
        <f>'Stavební rozpočet'!G873</f>
        <v>46.81</v>
      </c>
      <c r="H856" s="55">
        <f t="shared" si="884"/>
        <v>0</v>
      </c>
      <c r="I856" s="55">
        <f t="shared" si="885"/>
        <v>0</v>
      </c>
      <c r="J856" s="55">
        <f t="shared" si="886"/>
        <v>0</v>
      </c>
      <c r="K856" s="55">
        <f>'Stavební rozpočet'!K873</f>
        <v>0</v>
      </c>
      <c r="L856" s="55">
        <f t="shared" si="887"/>
        <v>0</v>
      </c>
      <c r="M856" s="51" t="s">
        <v>622</v>
      </c>
      <c r="Z856" s="29">
        <f t="shared" si="888"/>
        <v>0</v>
      </c>
      <c r="AB856" s="29">
        <f t="shared" si="889"/>
        <v>0</v>
      </c>
      <c r="AC856" s="29">
        <f t="shared" si="890"/>
        <v>0</v>
      </c>
      <c r="AD856" s="29">
        <f t="shared" si="891"/>
        <v>0</v>
      </c>
      <c r="AE856" s="29">
        <f t="shared" si="892"/>
        <v>0</v>
      </c>
      <c r="AF856" s="29">
        <f t="shared" si="893"/>
        <v>0</v>
      </c>
      <c r="AG856" s="29">
        <f t="shared" si="894"/>
        <v>0</v>
      </c>
      <c r="AH856" s="29">
        <f t="shared" si="895"/>
        <v>0</v>
      </c>
      <c r="AI856" s="48" t="s">
        <v>61</v>
      </c>
      <c r="AJ856" s="55">
        <f t="shared" si="896"/>
        <v>0</v>
      </c>
      <c r="AK856" s="55">
        <f t="shared" si="897"/>
        <v>0</v>
      </c>
      <c r="AL856" s="55">
        <f t="shared" si="898"/>
        <v>0</v>
      </c>
      <c r="AN856" s="29">
        <v>15</v>
      </c>
      <c r="AO856" s="29">
        <f>G856*0</f>
        <v>0</v>
      </c>
      <c r="AP856" s="29">
        <f>G856*(1-0)</f>
        <v>46.81</v>
      </c>
      <c r="AQ856" s="51" t="s">
        <v>85</v>
      </c>
      <c r="AV856" s="29">
        <f t="shared" si="899"/>
        <v>0</v>
      </c>
      <c r="AW856" s="29">
        <f t="shared" si="900"/>
        <v>0</v>
      </c>
      <c r="AX856" s="29">
        <f t="shared" si="901"/>
        <v>0</v>
      </c>
      <c r="AY856" s="54" t="s">
        <v>1532</v>
      </c>
      <c r="AZ856" s="54" t="s">
        <v>1648</v>
      </c>
      <c r="BA856" s="48" t="s">
        <v>1649</v>
      </c>
      <c r="BC856" s="29">
        <f t="shared" si="902"/>
        <v>0</v>
      </c>
      <c r="BD856" s="29">
        <f t="shared" si="903"/>
        <v>46.81</v>
      </c>
      <c r="BE856" s="29">
        <v>0</v>
      </c>
      <c r="BF856" s="29">
        <f t="shared" si="904"/>
        <v>0</v>
      </c>
      <c r="BH856" s="55">
        <f t="shared" si="905"/>
        <v>0</v>
      </c>
      <c r="BI856" s="55">
        <f t="shared" si="906"/>
        <v>0</v>
      </c>
      <c r="BJ856" s="55">
        <f t="shared" si="907"/>
        <v>0</v>
      </c>
    </row>
    <row r="857" spans="1:62" ht="12.75">
      <c r="A857" s="36" t="s">
        <v>2063</v>
      </c>
      <c r="B857" s="36" t="s">
        <v>61</v>
      </c>
      <c r="C857" s="36" t="s">
        <v>1127</v>
      </c>
      <c r="D857" s="36" t="s">
        <v>1639</v>
      </c>
      <c r="E857" s="36" t="s">
        <v>609</v>
      </c>
      <c r="F857" s="55">
        <f>'Stavební rozpočet'!F874</f>
        <v>0</v>
      </c>
      <c r="G857" s="55">
        <f>'Stavební rozpočet'!G874</f>
        <v>176.5</v>
      </c>
      <c r="H857" s="55">
        <f t="shared" si="884"/>
        <v>0</v>
      </c>
      <c r="I857" s="55">
        <f t="shared" si="885"/>
        <v>0</v>
      </c>
      <c r="J857" s="55">
        <f t="shared" si="886"/>
        <v>0</v>
      </c>
      <c r="K857" s="55">
        <f>'Stavební rozpočet'!K874</f>
        <v>0</v>
      </c>
      <c r="L857" s="55">
        <f t="shared" si="887"/>
        <v>0</v>
      </c>
      <c r="M857" s="51" t="s">
        <v>622</v>
      </c>
      <c r="Z857" s="29">
        <f t="shared" si="888"/>
        <v>0</v>
      </c>
      <c r="AB857" s="29">
        <f t="shared" si="889"/>
        <v>0</v>
      </c>
      <c r="AC857" s="29">
        <f t="shared" si="890"/>
        <v>0</v>
      </c>
      <c r="AD857" s="29">
        <f t="shared" si="891"/>
        <v>0</v>
      </c>
      <c r="AE857" s="29">
        <f t="shared" si="892"/>
        <v>0</v>
      </c>
      <c r="AF857" s="29">
        <f t="shared" si="893"/>
        <v>0</v>
      </c>
      <c r="AG857" s="29">
        <f t="shared" si="894"/>
        <v>0</v>
      </c>
      <c r="AH857" s="29">
        <f t="shared" si="895"/>
        <v>0</v>
      </c>
      <c r="AI857" s="48" t="s">
        <v>61</v>
      </c>
      <c r="AJ857" s="55">
        <f t="shared" si="896"/>
        <v>0</v>
      </c>
      <c r="AK857" s="55">
        <f t="shared" si="897"/>
        <v>0</v>
      </c>
      <c r="AL857" s="55">
        <f t="shared" si="898"/>
        <v>0</v>
      </c>
      <c r="AN857" s="29">
        <v>15</v>
      </c>
      <c r="AO857" s="29">
        <f>G857*0</f>
        <v>0</v>
      </c>
      <c r="AP857" s="29">
        <f>G857*(1-0)</f>
        <v>176.5</v>
      </c>
      <c r="AQ857" s="51" t="s">
        <v>85</v>
      </c>
      <c r="AV857" s="29">
        <f t="shared" si="899"/>
        <v>0</v>
      </c>
      <c r="AW857" s="29">
        <f t="shared" si="900"/>
        <v>0</v>
      </c>
      <c r="AX857" s="29">
        <f t="shared" si="901"/>
        <v>0</v>
      </c>
      <c r="AY857" s="54" t="s">
        <v>1532</v>
      </c>
      <c r="AZ857" s="54" t="s">
        <v>1648</v>
      </c>
      <c r="BA857" s="48" t="s">
        <v>1649</v>
      </c>
      <c r="BC857" s="29">
        <f t="shared" si="902"/>
        <v>0</v>
      </c>
      <c r="BD857" s="29">
        <f t="shared" si="903"/>
        <v>176.5</v>
      </c>
      <c r="BE857" s="29">
        <v>0</v>
      </c>
      <c r="BF857" s="29">
        <f t="shared" si="904"/>
        <v>0</v>
      </c>
      <c r="BH857" s="55">
        <f t="shared" si="905"/>
        <v>0</v>
      </c>
      <c r="BI857" s="55">
        <f t="shared" si="906"/>
        <v>0</v>
      </c>
      <c r="BJ857" s="55">
        <f t="shared" si="907"/>
        <v>0</v>
      </c>
    </row>
    <row r="858" spans="1:62" ht="12.75">
      <c r="A858" s="36" t="s">
        <v>2064</v>
      </c>
      <c r="B858" s="36" t="s">
        <v>61</v>
      </c>
      <c r="C858" s="36" t="s">
        <v>1130</v>
      </c>
      <c r="D858" s="36" t="s">
        <v>1437</v>
      </c>
      <c r="E858" s="36" t="s">
        <v>608</v>
      </c>
      <c r="F858" s="55">
        <f>'Stavební rozpočet'!F876</f>
        <v>0</v>
      </c>
      <c r="G858" s="55">
        <f>'Stavební rozpočet'!G876</f>
        <v>477.99</v>
      </c>
      <c r="H858" s="55">
        <f t="shared" si="884"/>
        <v>0</v>
      </c>
      <c r="I858" s="55">
        <f t="shared" si="885"/>
        <v>0</v>
      </c>
      <c r="J858" s="55">
        <f t="shared" si="886"/>
        <v>0</v>
      </c>
      <c r="K858" s="55">
        <f>'Stavební rozpočet'!K876</f>
        <v>0.00487</v>
      </c>
      <c r="L858" s="55">
        <f t="shared" si="887"/>
        <v>0</v>
      </c>
      <c r="M858" s="51" t="s">
        <v>622</v>
      </c>
      <c r="Z858" s="29">
        <f t="shared" si="888"/>
        <v>0</v>
      </c>
      <c r="AB858" s="29">
        <f t="shared" si="889"/>
        <v>0</v>
      </c>
      <c r="AC858" s="29">
        <f t="shared" si="890"/>
        <v>0</v>
      </c>
      <c r="AD858" s="29">
        <f t="shared" si="891"/>
        <v>0</v>
      </c>
      <c r="AE858" s="29">
        <f t="shared" si="892"/>
        <v>0</v>
      </c>
      <c r="AF858" s="29">
        <f t="shared" si="893"/>
        <v>0</v>
      </c>
      <c r="AG858" s="29">
        <f t="shared" si="894"/>
        <v>0</v>
      </c>
      <c r="AH858" s="29">
        <f t="shared" si="895"/>
        <v>0</v>
      </c>
      <c r="AI858" s="48" t="s">
        <v>61</v>
      </c>
      <c r="AJ858" s="55">
        <f t="shared" si="896"/>
        <v>0</v>
      </c>
      <c r="AK858" s="55">
        <f t="shared" si="897"/>
        <v>0</v>
      </c>
      <c r="AL858" s="55">
        <f t="shared" si="898"/>
        <v>0</v>
      </c>
      <c r="AN858" s="29">
        <v>15</v>
      </c>
      <c r="AO858" s="29">
        <f>G858*0.143831380374032</f>
        <v>68.74996150498356</v>
      </c>
      <c r="AP858" s="29">
        <f>G858*(1-0.143831380374032)</f>
        <v>409.24003849501645</v>
      </c>
      <c r="AQ858" s="51" t="s">
        <v>85</v>
      </c>
      <c r="AV858" s="29">
        <f t="shared" si="899"/>
        <v>0</v>
      </c>
      <c r="AW858" s="29">
        <f t="shared" si="900"/>
        <v>0</v>
      </c>
      <c r="AX858" s="29">
        <f t="shared" si="901"/>
        <v>0</v>
      </c>
      <c r="AY858" s="54" t="s">
        <v>1532</v>
      </c>
      <c r="AZ858" s="54" t="s">
        <v>1648</v>
      </c>
      <c r="BA858" s="48" t="s">
        <v>1649</v>
      </c>
      <c r="BC858" s="29">
        <f t="shared" si="902"/>
        <v>0</v>
      </c>
      <c r="BD858" s="29">
        <f t="shared" si="903"/>
        <v>477.99000000000007</v>
      </c>
      <c r="BE858" s="29">
        <v>0</v>
      </c>
      <c r="BF858" s="29">
        <f t="shared" si="904"/>
        <v>0</v>
      </c>
      <c r="BH858" s="55">
        <f t="shared" si="905"/>
        <v>0</v>
      </c>
      <c r="BI858" s="55">
        <f t="shared" si="906"/>
        <v>0</v>
      </c>
      <c r="BJ858" s="55">
        <f t="shared" si="907"/>
        <v>0</v>
      </c>
    </row>
    <row r="859" spans="1:62" ht="12.75">
      <c r="A859" s="36" t="s">
        <v>2065</v>
      </c>
      <c r="B859" s="36" t="s">
        <v>61</v>
      </c>
      <c r="C859" s="36" t="s">
        <v>1131</v>
      </c>
      <c r="D859" s="36" t="s">
        <v>1438</v>
      </c>
      <c r="E859" s="36" t="s">
        <v>608</v>
      </c>
      <c r="F859" s="55">
        <f>'Stavební rozpočet'!F878</f>
        <v>0</v>
      </c>
      <c r="G859" s="55">
        <f>'Stavební rozpočet'!G878</f>
        <v>28.6</v>
      </c>
      <c r="H859" s="55">
        <f t="shared" si="884"/>
        <v>0</v>
      </c>
      <c r="I859" s="55">
        <f t="shared" si="885"/>
        <v>0</v>
      </c>
      <c r="J859" s="55">
        <f t="shared" si="886"/>
        <v>0</v>
      </c>
      <c r="K859" s="55">
        <f>'Stavební rozpočet'!K878</f>
        <v>0.00011</v>
      </c>
      <c r="L859" s="55">
        <f t="shared" si="887"/>
        <v>0</v>
      </c>
      <c r="M859" s="51" t="s">
        <v>622</v>
      </c>
      <c r="Z859" s="29">
        <f t="shared" si="888"/>
        <v>0</v>
      </c>
      <c r="AB859" s="29">
        <f t="shared" si="889"/>
        <v>0</v>
      </c>
      <c r="AC859" s="29">
        <f t="shared" si="890"/>
        <v>0</v>
      </c>
      <c r="AD859" s="29">
        <f t="shared" si="891"/>
        <v>0</v>
      </c>
      <c r="AE859" s="29">
        <f t="shared" si="892"/>
        <v>0</v>
      </c>
      <c r="AF859" s="29">
        <f t="shared" si="893"/>
        <v>0</v>
      </c>
      <c r="AG859" s="29">
        <f t="shared" si="894"/>
        <v>0</v>
      </c>
      <c r="AH859" s="29">
        <f t="shared" si="895"/>
        <v>0</v>
      </c>
      <c r="AI859" s="48" t="s">
        <v>61</v>
      </c>
      <c r="AJ859" s="55">
        <f t="shared" si="896"/>
        <v>0</v>
      </c>
      <c r="AK859" s="55">
        <f t="shared" si="897"/>
        <v>0</v>
      </c>
      <c r="AL859" s="55">
        <f t="shared" si="898"/>
        <v>0</v>
      </c>
      <c r="AN859" s="29">
        <v>15</v>
      </c>
      <c r="AO859" s="29">
        <f>G859*0.99996597192684</f>
        <v>28.599026797107626</v>
      </c>
      <c r="AP859" s="29">
        <f>G859*(1-0.99996597192684)</f>
        <v>0.000973202892375924</v>
      </c>
      <c r="AQ859" s="51" t="s">
        <v>85</v>
      </c>
      <c r="AV859" s="29">
        <f t="shared" si="899"/>
        <v>0</v>
      </c>
      <c r="AW859" s="29">
        <f t="shared" si="900"/>
        <v>0</v>
      </c>
      <c r="AX859" s="29">
        <f t="shared" si="901"/>
        <v>0</v>
      </c>
      <c r="AY859" s="54" t="s">
        <v>1532</v>
      </c>
      <c r="AZ859" s="54" t="s">
        <v>1648</v>
      </c>
      <c r="BA859" s="48" t="s">
        <v>1649</v>
      </c>
      <c r="BC859" s="29">
        <f t="shared" si="902"/>
        <v>0</v>
      </c>
      <c r="BD859" s="29">
        <f t="shared" si="903"/>
        <v>28.6</v>
      </c>
      <c r="BE859" s="29">
        <v>0</v>
      </c>
      <c r="BF859" s="29">
        <f t="shared" si="904"/>
        <v>0</v>
      </c>
      <c r="BH859" s="55">
        <f t="shared" si="905"/>
        <v>0</v>
      </c>
      <c r="BI859" s="55">
        <f t="shared" si="906"/>
        <v>0</v>
      </c>
      <c r="BJ859" s="55">
        <f t="shared" si="907"/>
        <v>0</v>
      </c>
    </row>
    <row r="860" spans="1:62" ht="12.75">
      <c r="A860" s="36" t="s">
        <v>2066</v>
      </c>
      <c r="B860" s="36" t="s">
        <v>61</v>
      </c>
      <c r="C860" s="36" t="s">
        <v>1132</v>
      </c>
      <c r="D860" s="36" t="s">
        <v>1439</v>
      </c>
      <c r="E860" s="36" t="s">
        <v>608</v>
      </c>
      <c r="F860" s="55">
        <f>'Stavební rozpočet'!F879</f>
        <v>0</v>
      </c>
      <c r="G860" s="55">
        <f>'Stavební rozpočet'!G879</f>
        <v>36</v>
      </c>
      <c r="H860" s="55">
        <f t="shared" si="884"/>
        <v>0</v>
      </c>
      <c r="I860" s="55">
        <f t="shared" si="885"/>
        <v>0</v>
      </c>
      <c r="J860" s="55">
        <f t="shared" si="886"/>
        <v>0</v>
      </c>
      <c r="K860" s="55">
        <f>'Stavební rozpočet'!K879</f>
        <v>0</v>
      </c>
      <c r="L860" s="55">
        <f t="shared" si="887"/>
        <v>0</v>
      </c>
      <c r="M860" s="51" t="s">
        <v>622</v>
      </c>
      <c r="Z860" s="29">
        <f t="shared" si="888"/>
        <v>0</v>
      </c>
      <c r="AB860" s="29">
        <f t="shared" si="889"/>
        <v>0</v>
      </c>
      <c r="AC860" s="29">
        <f t="shared" si="890"/>
        <v>0</v>
      </c>
      <c r="AD860" s="29">
        <f t="shared" si="891"/>
        <v>0</v>
      </c>
      <c r="AE860" s="29">
        <f t="shared" si="892"/>
        <v>0</v>
      </c>
      <c r="AF860" s="29">
        <f t="shared" si="893"/>
        <v>0</v>
      </c>
      <c r="AG860" s="29">
        <f t="shared" si="894"/>
        <v>0</v>
      </c>
      <c r="AH860" s="29">
        <f t="shared" si="895"/>
        <v>0</v>
      </c>
      <c r="AI860" s="48" t="s">
        <v>61</v>
      </c>
      <c r="AJ860" s="55">
        <f t="shared" si="896"/>
        <v>0</v>
      </c>
      <c r="AK860" s="55">
        <f t="shared" si="897"/>
        <v>0</v>
      </c>
      <c r="AL860" s="55">
        <f t="shared" si="898"/>
        <v>0</v>
      </c>
      <c r="AN860" s="29">
        <v>15</v>
      </c>
      <c r="AO860" s="29">
        <f>G860*0</f>
        <v>0</v>
      </c>
      <c r="AP860" s="29">
        <f>G860*(1-0)</f>
        <v>36</v>
      </c>
      <c r="AQ860" s="51" t="s">
        <v>85</v>
      </c>
      <c r="AV860" s="29">
        <f t="shared" si="899"/>
        <v>0</v>
      </c>
      <c r="AW860" s="29">
        <f t="shared" si="900"/>
        <v>0</v>
      </c>
      <c r="AX860" s="29">
        <f t="shared" si="901"/>
        <v>0</v>
      </c>
      <c r="AY860" s="54" t="s">
        <v>1532</v>
      </c>
      <c r="AZ860" s="54" t="s">
        <v>1648</v>
      </c>
      <c r="BA860" s="48" t="s">
        <v>1649</v>
      </c>
      <c r="BC860" s="29">
        <f t="shared" si="902"/>
        <v>0</v>
      </c>
      <c r="BD860" s="29">
        <f t="shared" si="903"/>
        <v>36</v>
      </c>
      <c r="BE860" s="29">
        <v>0</v>
      </c>
      <c r="BF860" s="29">
        <f t="shared" si="904"/>
        <v>0</v>
      </c>
      <c r="BH860" s="55">
        <f t="shared" si="905"/>
        <v>0</v>
      </c>
      <c r="BI860" s="55">
        <f t="shared" si="906"/>
        <v>0</v>
      </c>
      <c r="BJ860" s="55">
        <f t="shared" si="907"/>
        <v>0</v>
      </c>
    </row>
    <row r="861" spans="1:62" ht="12.75">
      <c r="A861" s="36" t="s">
        <v>2067</v>
      </c>
      <c r="B861" s="36" t="s">
        <v>61</v>
      </c>
      <c r="C861" s="36" t="s">
        <v>1133</v>
      </c>
      <c r="D861" s="36" t="s">
        <v>1440</v>
      </c>
      <c r="E861" s="36" t="s">
        <v>609</v>
      </c>
      <c r="F861" s="55">
        <f>'Stavební rozpočet'!F880</f>
        <v>0</v>
      </c>
      <c r="G861" s="55">
        <f>'Stavební rozpočet'!G880</f>
        <v>43.2</v>
      </c>
      <c r="H861" s="55">
        <f t="shared" si="884"/>
        <v>0</v>
      </c>
      <c r="I861" s="55">
        <f t="shared" si="885"/>
        <v>0</v>
      </c>
      <c r="J861" s="55">
        <f t="shared" si="886"/>
        <v>0</v>
      </c>
      <c r="K861" s="55">
        <f>'Stavební rozpočet'!K880</f>
        <v>0</v>
      </c>
      <c r="L861" s="55">
        <f t="shared" si="887"/>
        <v>0</v>
      </c>
      <c r="M861" s="51" t="s">
        <v>622</v>
      </c>
      <c r="Z861" s="29">
        <f t="shared" si="888"/>
        <v>0</v>
      </c>
      <c r="AB861" s="29">
        <f t="shared" si="889"/>
        <v>0</v>
      </c>
      <c r="AC861" s="29">
        <f t="shared" si="890"/>
        <v>0</v>
      </c>
      <c r="AD861" s="29">
        <f t="shared" si="891"/>
        <v>0</v>
      </c>
      <c r="AE861" s="29">
        <f t="shared" si="892"/>
        <v>0</v>
      </c>
      <c r="AF861" s="29">
        <f t="shared" si="893"/>
        <v>0</v>
      </c>
      <c r="AG861" s="29">
        <f t="shared" si="894"/>
        <v>0</v>
      </c>
      <c r="AH861" s="29">
        <f t="shared" si="895"/>
        <v>0</v>
      </c>
      <c r="AI861" s="48" t="s">
        <v>61</v>
      </c>
      <c r="AJ861" s="55">
        <f t="shared" si="896"/>
        <v>0</v>
      </c>
      <c r="AK861" s="55">
        <f t="shared" si="897"/>
        <v>0</v>
      </c>
      <c r="AL861" s="55">
        <f t="shared" si="898"/>
        <v>0</v>
      </c>
      <c r="AN861" s="29">
        <v>15</v>
      </c>
      <c r="AO861" s="29">
        <f>G861*0</f>
        <v>0</v>
      </c>
      <c r="AP861" s="29">
        <f>G861*(1-0)</f>
        <v>43.2</v>
      </c>
      <c r="AQ861" s="51" t="s">
        <v>85</v>
      </c>
      <c r="AV861" s="29">
        <f t="shared" si="899"/>
        <v>0</v>
      </c>
      <c r="AW861" s="29">
        <f t="shared" si="900"/>
        <v>0</v>
      </c>
      <c r="AX861" s="29">
        <f t="shared" si="901"/>
        <v>0</v>
      </c>
      <c r="AY861" s="54" t="s">
        <v>1532</v>
      </c>
      <c r="AZ861" s="54" t="s">
        <v>1648</v>
      </c>
      <c r="BA861" s="48" t="s">
        <v>1649</v>
      </c>
      <c r="BC861" s="29">
        <f t="shared" si="902"/>
        <v>0</v>
      </c>
      <c r="BD861" s="29">
        <f t="shared" si="903"/>
        <v>43.2</v>
      </c>
      <c r="BE861" s="29">
        <v>0</v>
      </c>
      <c r="BF861" s="29">
        <f t="shared" si="904"/>
        <v>0</v>
      </c>
      <c r="BH861" s="55">
        <f t="shared" si="905"/>
        <v>0</v>
      </c>
      <c r="BI861" s="55">
        <f t="shared" si="906"/>
        <v>0</v>
      </c>
      <c r="BJ861" s="55">
        <f t="shared" si="907"/>
        <v>0</v>
      </c>
    </row>
    <row r="862" spans="1:62" ht="12.75">
      <c r="A862" s="36" t="s">
        <v>2068</v>
      </c>
      <c r="B862" s="36" t="s">
        <v>61</v>
      </c>
      <c r="C862" s="36" t="s">
        <v>1137</v>
      </c>
      <c r="D862" s="36" t="s">
        <v>1444</v>
      </c>
      <c r="E862" s="36" t="s">
        <v>612</v>
      </c>
      <c r="F862" s="55">
        <f>'Stavební rozpočet'!F884</f>
        <v>0</v>
      </c>
      <c r="G862" s="55">
        <f>'Stavební rozpočet'!G884</f>
        <v>455.01</v>
      </c>
      <c r="H862" s="55">
        <f t="shared" si="884"/>
        <v>0</v>
      </c>
      <c r="I862" s="55">
        <f t="shared" si="885"/>
        <v>0</v>
      </c>
      <c r="J862" s="55">
        <f t="shared" si="886"/>
        <v>0</v>
      </c>
      <c r="K862" s="55">
        <f>'Stavební rozpočet'!K884</f>
        <v>0</v>
      </c>
      <c r="L862" s="55">
        <f t="shared" si="887"/>
        <v>0</v>
      </c>
      <c r="M862" s="51" t="s">
        <v>622</v>
      </c>
      <c r="Z862" s="29">
        <f t="shared" si="888"/>
        <v>0</v>
      </c>
      <c r="AB862" s="29">
        <f t="shared" si="889"/>
        <v>0</v>
      </c>
      <c r="AC862" s="29">
        <f t="shared" si="890"/>
        <v>0</v>
      </c>
      <c r="AD862" s="29">
        <f t="shared" si="891"/>
        <v>0</v>
      </c>
      <c r="AE862" s="29">
        <f t="shared" si="892"/>
        <v>0</v>
      </c>
      <c r="AF862" s="29">
        <f t="shared" si="893"/>
        <v>0</v>
      </c>
      <c r="AG862" s="29">
        <f t="shared" si="894"/>
        <v>0</v>
      </c>
      <c r="AH862" s="29">
        <f t="shared" si="895"/>
        <v>0</v>
      </c>
      <c r="AI862" s="48" t="s">
        <v>61</v>
      </c>
      <c r="AJ862" s="55">
        <f t="shared" si="896"/>
        <v>0</v>
      </c>
      <c r="AK862" s="55">
        <f t="shared" si="897"/>
        <v>0</v>
      </c>
      <c r="AL862" s="55">
        <f t="shared" si="898"/>
        <v>0</v>
      </c>
      <c r="AN862" s="29">
        <v>15</v>
      </c>
      <c r="AO862" s="29">
        <f>G862*0</f>
        <v>0</v>
      </c>
      <c r="AP862" s="29">
        <f>G862*(1-0)</f>
        <v>455.01</v>
      </c>
      <c r="AQ862" s="51" t="s">
        <v>83</v>
      </c>
      <c r="AV862" s="29">
        <f t="shared" si="899"/>
        <v>0</v>
      </c>
      <c r="AW862" s="29">
        <f t="shared" si="900"/>
        <v>0</v>
      </c>
      <c r="AX862" s="29">
        <f t="shared" si="901"/>
        <v>0</v>
      </c>
      <c r="AY862" s="54" t="s">
        <v>1532</v>
      </c>
      <c r="AZ862" s="54" t="s">
        <v>1648</v>
      </c>
      <c r="BA862" s="48" t="s">
        <v>1649</v>
      </c>
      <c r="BC862" s="29">
        <f t="shared" si="902"/>
        <v>0</v>
      </c>
      <c r="BD862" s="29">
        <f t="shared" si="903"/>
        <v>455.00999999999993</v>
      </c>
      <c r="BE862" s="29">
        <v>0</v>
      </c>
      <c r="BF862" s="29">
        <f t="shared" si="904"/>
        <v>0</v>
      </c>
      <c r="BH862" s="55">
        <f t="shared" si="905"/>
        <v>0</v>
      </c>
      <c r="BI862" s="55">
        <f t="shared" si="906"/>
        <v>0</v>
      </c>
      <c r="BJ862" s="55">
        <f t="shared" si="907"/>
        <v>0</v>
      </c>
    </row>
    <row r="863" spans="1:47" ht="12.75">
      <c r="A863" s="35"/>
      <c r="B863" s="42" t="s">
        <v>61</v>
      </c>
      <c r="C863" s="42" t="s">
        <v>378</v>
      </c>
      <c r="D863" s="42" t="s">
        <v>564</v>
      </c>
      <c r="E863" s="35" t="s">
        <v>57</v>
      </c>
      <c r="F863" s="35" t="s">
        <v>57</v>
      </c>
      <c r="G863" s="35" t="s">
        <v>57</v>
      </c>
      <c r="H863" s="59">
        <f>SUM(H864:H867)</f>
        <v>0</v>
      </c>
      <c r="I863" s="59">
        <f>SUM(I864:I867)</f>
        <v>0</v>
      </c>
      <c r="J863" s="59">
        <f>SUM(J864:J867)</f>
        <v>0</v>
      </c>
      <c r="K863" s="48"/>
      <c r="L863" s="59">
        <f>SUM(L864:L867)</f>
        <v>0</v>
      </c>
      <c r="M863" s="48"/>
      <c r="AI863" s="48" t="s">
        <v>61</v>
      </c>
      <c r="AS863" s="59">
        <f>SUM(AJ864:AJ867)</f>
        <v>0</v>
      </c>
      <c r="AT863" s="59">
        <f>SUM(AK864:AK867)</f>
        <v>0</v>
      </c>
      <c r="AU863" s="59">
        <f>SUM(AL864:AL867)</f>
        <v>0</v>
      </c>
    </row>
    <row r="864" spans="1:62" ht="12.75">
      <c r="A864" s="36" t="s">
        <v>2069</v>
      </c>
      <c r="B864" s="36" t="s">
        <v>61</v>
      </c>
      <c r="C864" s="36" t="s">
        <v>379</v>
      </c>
      <c r="D864" s="36" t="s">
        <v>565</v>
      </c>
      <c r="E864" s="36" t="s">
        <v>608</v>
      </c>
      <c r="F864" s="55">
        <f>'Stavební rozpočet'!F886</f>
        <v>0</v>
      </c>
      <c r="G864" s="55">
        <f>'Stavební rozpočet'!G886</f>
        <v>20.7</v>
      </c>
      <c r="H864" s="55">
        <f>F864*AO864</f>
        <v>0</v>
      </c>
      <c r="I864" s="55">
        <f>F864*AP864</f>
        <v>0</v>
      </c>
      <c r="J864" s="55">
        <f>F864*G864</f>
        <v>0</v>
      </c>
      <c r="K864" s="55">
        <f>'Stavební rozpočet'!K886</f>
        <v>0.0002</v>
      </c>
      <c r="L864" s="55">
        <f>F864*K864</f>
        <v>0</v>
      </c>
      <c r="M864" s="51" t="s">
        <v>622</v>
      </c>
      <c r="Z864" s="29">
        <f>IF(AQ864="5",BJ864,0)</f>
        <v>0</v>
      </c>
      <c r="AB864" s="29">
        <f>IF(AQ864="1",BH864,0)</f>
        <v>0</v>
      </c>
      <c r="AC864" s="29">
        <f>IF(AQ864="1",BI864,0)</f>
        <v>0</v>
      </c>
      <c r="AD864" s="29">
        <f>IF(AQ864="7",BH864,0)</f>
        <v>0</v>
      </c>
      <c r="AE864" s="29">
        <f>IF(AQ864="7",BI864,0)</f>
        <v>0</v>
      </c>
      <c r="AF864" s="29">
        <f>IF(AQ864="2",BH864,0)</f>
        <v>0</v>
      </c>
      <c r="AG864" s="29">
        <f>IF(AQ864="2",BI864,0)</f>
        <v>0</v>
      </c>
      <c r="AH864" s="29">
        <f>IF(AQ864="0",BJ864,0)</f>
        <v>0</v>
      </c>
      <c r="AI864" s="48" t="s">
        <v>61</v>
      </c>
      <c r="AJ864" s="55">
        <f>IF(AN864=0,J864,0)</f>
        <v>0</v>
      </c>
      <c r="AK864" s="55">
        <f>IF(AN864=15,J864,0)</f>
        <v>0</v>
      </c>
      <c r="AL864" s="55">
        <f>IF(AN864=21,J864,0)</f>
        <v>0</v>
      </c>
      <c r="AN864" s="29">
        <v>15</v>
      </c>
      <c r="AO864" s="29">
        <f>G864*0.453623286007502</f>
        <v>9.390002020355292</v>
      </c>
      <c r="AP864" s="29">
        <f>G864*(1-0.453623286007502)</f>
        <v>11.309997979644708</v>
      </c>
      <c r="AQ864" s="51" t="s">
        <v>85</v>
      </c>
      <c r="AV864" s="29">
        <f>AW864+AX864</f>
        <v>0</v>
      </c>
      <c r="AW864" s="29">
        <f>F864*AO864</f>
        <v>0</v>
      </c>
      <c r="AX864" s="29">
        <f>F864*AP864</f>
        <v>0</v>
      </c>
      <c r="AY864" s="54" t="s">
        <v>648</v>
      </c>
      <c r="AZ864" s="54" t="s">
        <v>1648</v>
      </c>
      <c r="BA864" s="48" t="s">
        <v>1649</v>
      </c>
      <c r="BC864" s="29">
        <f>AW864+AX864</f>
        <v>0</v>
      </c>
      <c r="BD864" s="29">
        <f>G864/(100-BE864)*100</f>
        <v>20.7</v>
      </c>
      <c r="BE864" s="29">
        <v>0</v>
      </c>
      <c r="BF864" s="29">
        <f>L864</f>
        <v>0</v>
      </c>
      <c r="BH864" s="55">
        <f>F864*AO864</f>
        <v>0</v>
      </c>
      <c r="BI864" s="55">
        <f>F864*AP864</f>
        <v>0</v>
      </c>
      <c r="BJ864" s="55">
        <f>F864*G864</f>
        <v>0</v>
      </c>
    </row>
    <row r="865" spans="1:62" ht="12.75">
      <c r="A865" s="36" t="s">
        <v>2070</v>
      </c>
      <c r="B865" s="36" t="s">
        <v>61</v>
      </c>
      <c r="C865" s="36" t="s">
        <v>380</v>
      </c>
      <c r="D865" s="36" t="s">
        <v>566</v>
      </c>
      <c r="E865" s="36" t="s">
        <v>608</v>
      </c>
      <c r="F865" s="55">
        <f>'Stavební rozpočet'!F887</f>
        <v>0</v>
      </c>
      <c r="G865" s="55">
        <f>'Stavební rozpočet'!G887</f>
        <v>39</v>
      </c>
      <c r="H865" s="55">
        <f>F865*AO865</f>
        <v>0</v>
      </c>
      <c r="I865" s="55">
        <f>F865*AP865</f>
        <v>0</v>
      </c>
      <c r="J865" s="55">
        <f>F865*G865</f>
        <v>0</v>
      </c>
      <c r="K865" s="55">
        <f>'Stavební rozpočet'!K887</f>
        <v>0.0004</v>
      </c>
      <c r="L865" s="55">
        <f>F865*K865</f>
        <v>0</v>
      </c>
      <c r="M865" s="51" t="s">
        <v>622</v>
      </c>
      <c r="Z865" s="29">
        <f>IF(AQ865="5",BJ865,0)</f>
        <v>0</v>
      </c>
      <c r="AB865" s="29">
        <f>IF(AQ865="1",BH865,0)</f>
        <v>0</v>
      </c>
      <c r="AC865" s="29">
        <f>IF(AQ865="1",BI865,0)</f>
        <v>0</v>
      </c>
      <c r="AD865" s="29">
        <f>IF(AQ865="7",BH865,0)</f>
        <v>0</v>
      </c>
      <c r="AE865" s="29">
        <f>IF(AQ865="7",BI865,0)</f>
        <v>0</v>
      </c>
      <c r="AF865" s="29">
        <f>IF(AQ865="2",BH865,0)</f>
        <v>0</v>
      </c>
      <c r="AG865" s="29">
        <f>IF(AQ865="2",BI865,0)</f>
        <v>0</v>
      </c>
      <c r="AH865" s="29">
        <f>IF(AQ865="0",BJ865,0)</f>
        <v>0</v>
      </c>
      <c r="AI865" s="48" t="s">
        <v>61</v>
      </c>
      <c r="AJ865" s="55">
        <f>IF(AN865=0,J865,0)</f>
        <v>0</v>
      </c>
      <c r="AK865" s="55">
        <f>IF(AN865=15,J865,0)</f>
        <v>0</v>
      </c>
      <c r="AL865" s="55">
        <f>IF(AN865=21,J865,0)</f>
        <v>0</v>
      </c>
      <c r="AN865" s="29">
        <v>15</v>
      </c>
      <c r="AO865" s="29">
        <f>G865*0.476666666666667</f>
        <v>18.590000000000014</v>
      </c>
      <c r="AP865" s="29">
        <f>G865*(1-0.476666666666667)</f>
        <v>20.409999999999986</v>
      </c>
      <c r="AQ865" s="51" t="s">
        <v>85</v>
      </c>
      <c r="AV865" s="29">
        <f>AW865+AX865</f>
        <v>0</v>
      </c>
      <c r="AW865" s="29">
        <f>F865*AO865</f>
        <v>0</v>
      </c>
      <c r="AX865" s="29">
        <f>F865*AP865</f>
        <v>0</v>
      </c>
      <c r="AY865" s="54" t="s">
        <v>648</v>
      </c>
      <c r="AZ865" s="54" t="s">
        <v>1648</v>
      </c>
      <c r="BA865" s="48" t="s">
        <v>1649</v>
      </c>
      <c r="BC865" s="29">
        <f>AW865+AX865</f>
        <v>0</v>
      </c>
      <c r="BD865" s="29">
        <f>G865/(100-BE865)*100</f>
        <v>39</v>
      </c>
      <c r="BE865" s="29">
        <v>0</v>
      </c>
      <c r="BF865" s="29">
        <f>L865</f>
        <v>0</v>
      </c>
      <c r="BH865" s="55">
        <f>F865*AO865</f>
        <v>0</v>
      </c>
      <c r="BI865" s="55">
        <f>F865*AP865</f>
        <v>0</v>
      </c>
      <c r="BJ865" s="55">
        <f>F865*G865</f>
        <v>0</v>
      </c>
    </row>
    <row r="866" spans="1:62" ht="12.75">
      <c r="A866" s="36" t="s">
        <v>2071</v>
      </c>
      <c r="B866" s="36" t="s">
        <v>61</v>
      </c>
      <c r="C866" s="36" t="s">
        <v>381</v>
      </c>
      <c r="D866" s="36" t="s">
        <v>567</v>
      </c>
      <c r="E866" s="36" t="s">
        <v>608</v>
      </c>
      <c r="F866" s="55">
        <f>'Stavební rozpočet'!F888</f>
        <v>0</v>
      </c>
      <c r="G866" s="55">
        <f>'Stavební rozpočet'!G888</f>
        <v>47.5</v>
      </c>
      <c r="H866" s="55">
        <f>F866*AO866</f>
        <v>0</v>
      </c>
      <c r="I866" s="55">
        <f>F866*AP866</f>
        <v>0</v>
      </c>
      <c r="J866" s="55">
        <f>F866*G866</f>
        <v>0</v>
      </c>
      <c r="K866" s="55">
        <f>'Stavební rozpočet'!K888</f>
        <v>0.00024</v>
      </c>
      <c r="L866" s="55">
        <f>F866*K866</f>
        <v>0</v>
      </c>
      <c r="M866" s="51" t="s">
        <v>622</v>
      </c>
      <c r="Z866" s="29">
        <f>IF(AQ866="5",BJ866,0)</f>
        <v>0</v>
      </c>
      <c r="AB866" s="29">
        <f>IF(AQ866="1",BH866,0)</f>
        <v>0</v>
      </c>
      <c r="AC866" s="29">
        <f>IF(AQ866="1",BI866,0)</f>
        <v>0</v>
      </c>
      <c r="AD866" s="29">
        <f>IF(AQ866="7",BH866,0)</f>
        <v>0</v>
      </c>
      <c r="AE866" s="29">
        <f>IF(AQ866="7",BI866,0)</f>
        <v>0</v>
      </c>
      <c r="AF866" s="29">
        <f>IF(AQ866="2",BH866,0)</f>
        <v>0</v>
      </c>
      <c r="AG866" s="29">
        <f>IF(AQ866="2",BI866,0)</f>
        <v>0</v>
      </c>
      <c r="AH866" s="29">
        <f>IF(AQ866="0",BJ866,0)</f>
        <v>0</v>
      </c>
      <c r="AI866" s="48" t="s">
        <v>61</v>
      </c>
      <c r="AJ866" s="55">
        <f>IF(AN866=0,J866,0)</f>
        <v>0</v>
      </c>
      <c r="AK866" s="55">
        <f>IF(AN866=15,J866,0)</f>
        <v>0</v>
      </c>
      <c r="AL866" s="55">
        <f>IF(AN866=21,J866,0)</f>
        <v>0</v>
      </c>
      <c r="AN866" s="29">
        <v>15</v>
      </c>
      <c r="AO866" s="29">
        <f>G866*0.200631570696432</f>
        <v>9.52999960808052</v>
      </c>
      <c r="AP866" s="29">
        <f>G866*(1-0.200631570696432)</f>
        <v>37.97000039191948</v>
      </c>
      <c r="AQ866" s="51" t="s">
        <v>85</v>
      </c>
      <c r="AV866" s="29">
        <f>AW866+AX866</f>
        <v>0</v>
      </c>
      <c r="AW866" s="29">
        <f>F866*AO866</f>
        <v>0</v>
      </c>
      <c r="AX866" s="29">
        <f>F866*AP866</f>
        <v>0</v>
      </c>
      <c r="AY866" s="54" t="s">
        <v>648</v>
      </c>
      <c r="AZ866" s="54" t="s">
        <v>1648</v>
      </c>
      <c r="BA866" s="48" t="s">
        <v>1649</v>
      </c>
      <c r="BC866" s="29">
        <f>AW866+AX866</f>
        <v>0</v>
      </c>
      <c r="BD866" s="29">
        <f>G866/(100-BE866)*100</f>
        <v>47.5</v>
      </c>
      <c r="BE866" s="29">
        <v>0</v>
      </c>
      <c r="BF866" s="29">
        <f>L866</f>
        <v>0</v>
      </c>
      <c r="BH866" s="55">
        <f>F866*AO866</f>
        <v>0</v>
      </c>
      <c r="BI866" s="55">
        <f>F866*AP866</f>
        <v>0</v>
      </c>
      <c r="BJ866" s="55">
        <f>F866*G866</f>
        <v>0</v>
      </c>
    </row>
    <row r="867" spans="1:62" ht="12.75">
      <c r="A867" s="36" t="s">
        <v>2072</v>
      </c>
      <c r="B867" s="36" t="s">
        <v>61</v>
      </c>
      <c r="C867" s="36" t="s">
        <v>382</v>
      </c>
      <c r="D867" s="36" t="s">
        <v>568</v>
      </c>
      <c r="E867" s="36" t="s">
        <v>608</v>
      </c>
      <c r="F867" s="55">
        <f>'Stavební rozpočet'!F889</f>
        <v>0</v>
      </c>
      <c r="G867" s="55">
        <f>'Stavební rozpočet'!G889</f>
        <v>49.99</v>
      </c>
      <c r="H867" s="55">
        <f>F867*AO867</f>
        <v>0</v>
      </c>
      <c r="I867" s="55">
        <f>F867*AP867</f>
        <v>0</v>
      </c>
      <c r="J867" s="55">
        <f>F867*G867</f>
        <v>0</v>
      </c>
      <c r="K867" s="55">
        <f>'Stavební rozpočet'!K889</f>
        <v>0.0003</v>
      </c>
      <c r="L867" s="55">
        <f>F867*K867</f>
        <v>0</v>
      </c>
      <c r="M867" s="51" t="s">
        <v>622</v>
      </c>
      <c r="Z867" s="29">
        <f>IF(AQ867="5",BJ867,0)</f>
        <v>0</v>
      </c>
      <c r="AB867" s="29">
        <f>IF(AQ867="1",BH867,0)</f>
        <v>0</v>
      </c>
      <c r="AC867" s="29">
        <f>IF(AQ867="1",BI867,0)</f>
        <v>0</v>
      </c>
      <c r="AD867" s="29">
        <f>IF(AQ867="7",BH867,0)</f>
        <v>0</v>
      </c>
      <c r="AE867" s="29">
        <f>IF(AQ867="7",BI867,0)</f>
        <v>0</v>
      </c>
      <c r="AF867" s="29">
        <f>IF(AQ867="2",BH867,0)</f>
        <v>0</v>
      </c>
      <c r="AG867" s="29">
        <f>IF(AQ867="2",BI867,0)</f>
        <v>0</v>
      </c>
      <c r="AH867" s="29">
        <f>IF(AQ867="0",BJ867,0)</f>
        <v>0</v>
      </c>
      <c r="AI867" s="48" t="s">
        <v>61</v>
      </c>
      <c r="AJ867" s="55">
        <f>IF(AN867=0,J867,0)</f>
        <v>0</v>
      </c>
      <c r="AK867" s="55">
        <f>IF(AN867=15,J867,0)</f>
        <v>0</v>
      </c>
      <c r="AL867" s="55">
        <f>IF(AN867=21,J867,0)</f>
        <v>0</v>
      </c>
      <c r="AN867" s="29">
        <v>15</v>
      </c>
      <c r="AO867" s="29">
        <f>G867*0.290456582451127</f>
        <v>14.519924556731839</v>
      </c>
      <c r="AP867" s="29">
        <f>G867*(1-0.290456582451127)</f>
        <v>35.470075443268165</v>
      </c>
      <c r="AQ867" s="51" t="s">
        <v>85</v>
      </c>
      <c r="AV867" s="29">
        <f>AW867+AX867</f>
        <v>0</v>
      </c>
      <c r="AW867" s="29">
        <f>F867*AO867</f>
        <v>0</v>
      </c>
      <c r="AX867" s="29">
        <f>F867*AP867</f>
        <v>0</v>
      </c>
      <c r="AY867" s="54" t="s">
        <v>648</v>
      </c>
      <c r="AZ867" s="54" t="s">
        <v>1648</v>
      </c>
      <c r="BA867" s="48" t="s">
        <v>1649</v>
      </c>
      <c r="BC867" s="29">
        <f>AW867+AX867</f>
        <v>0</v>
      </c>
      <c r="BD867" s="29">
        <f>G867/(100-BE867)*100</f>
        <v>49.99</v>
      </c>
      <c r="BE867" s="29">
        <v>0</v>
      </c>
      <c r="BF867" s="29">
        <f>L867</f>
        <v>0</v>
      </c>
      <c r="BH867" s="55">
        <f>F867*AO867</f>
        <v>0</v>
      </c>
      <c r="BI867" s="55">
        <f>F867*AP867</f>
        <v>0</v>
      </c>
      <c r="BJ867" s="55">
        <f>F867*G867</f>
        <v>0</v>
      </c>
    </row>
    <row r="868" spans="1:47" ht="12.75">
      <c r="A868" s="35"/>
      <c r="B868" s="42" t="s">
        <v>61</v>
      </c>
      <c r="C868" s="42" t="s">
        <v>383</v>
      </c>
      <c r="D868" s="42" t="s">
        <v>569</v>
      </c>
      <c r="E868" s="35" t="s">
        <v>57</v>
      </c>
      <c r="F868" s="35" t="s">
        <v>57</v>
      </c>
      <c r="G868" s="35" t="s">
        <v>57</v>
      </c>
      <c r="H868" s="59">
        <f>SUM(H869:H909)</f>
        <v>0</v>
      </c>
      <c r="I868" s="59">
        <f>SUM(I869:I909)</f>
        <v>0</v>
      </c>
      <c r="J868" s="59">
        <f>SUM(J869:J909)</f>
        <v>0</v>
      </c>
      <c r="K868" s="48"/>
      <c r="L868" s="59">
        <f>SUM(L869:L909)</f>
        <v>0</v>
      </c>
      <c r="M868" s="48"/>
      <c r="AI868" s="48" t="s">
        <v>61</v>
      </c>
      <c r="AS868" s="59">
        <f>SUM(AJ869:AJ909)</f>
        <v>0</v>
      </c>
      <c r="AT868" s="59">
        <f>SUM(AK869:AK909)</f>
        <v>0</v>
      </c>
      <c r="AU868" s="59">
        <f>SUM(AL869:AL909)</f>
        <v>0</v>
      </c>
    </row>
    <row r="869" spans="1:62" ht="12.75">
      <c r="A869" s="36" t="s">
        <v>2073</v>
      </c>
      <c r="B869" s="36" t="s">
        <v>61</v>
      </c>
      <c r="C869" s="36" t="s">
        <v>384</v>
      </c>
      <c r="D869" s="36" t="s">
        <v>570</v>
      </c>
      <c r="E869" s="36" t="s">
        <v>606</v>
      </c>
      <c r="F869" s="55">
        <f>'Stavební rozpočet'!F891</f>
        <v>0</v>
      </c>
      <c r="G869" s="55">
        <f>'Stavební rozpočet'!G891</f>
        <v>39</v>
      </c>
      <c r="H869" s="55">
        <f aca="true" t="shared" si="908" ref="H869:H909">F869*AO869</f>
        <v>0</v>
      </c>
      <c r="I869" s="55">
        <f aca="true" t="shared" si="909" ref="I869:I909">F869*AP869</f>
        <v>0</v>
      </c>
      <c r="J869" s="55">
        <f aca="true" t="shared" si="910" ref="J869:J909">F869*G869</f>
        <v>0</v>
      </c>
      <c r="K869" s="55">
        <f>'Stavební rozpočet'!K891</f>
        <v>0</v>
      </c>
      <c r="L869" s="55">
        <f aca="true" t="shared" si="911" ref="L869:L909">F869*K869</f>
        <v>0</v>
      </c>
      <c r="M869" s="51" t="s">
        <v>622</v>
      </c>
      <c r="Z869" s="29">
        <f aca="true" t="shared" si="912" ref="Z869:Z909">IF(AQ869="5",BJ869,0)</f>
        <v>0</v>
      </c>
      <c r="AB869" s="29">
        <f aca="true" t="shared" si="913" ref="AB869:AB909">IF(AQ869="1",BH869,0)</f>
        <v>0</v>
      </c>
      <c r="AC869" s="29">
        <f aca="true" t="shared" si="914" ref="AC869:AC909">IF(AQ869="1",BI869,0)</f>
        <v>0</v>
      </c>
      <c r="AD869" s="29">
        <f aca="true" t="shared" si="915" ref="AD869:AD909">IF(AQ869="7",BH869,0)</f>
        <v>0</v>
      </c>
      <c r="AE869" s="29">
        <f aca="true" t="shared" si="916" ref="AE869:AE909">IF(AQ869="7",BI869,0)</f>
        <v>0</v>
      </c>
      <c r="AF869" s="29">
        <f aca="true" t="shared" si="917" ref="AF869:AF909">IF(AQ869="2",BH869,0)</f>
        <v>0</v>
      </c>
      <c r="AG869" s="29">
        <f aca="true" t="shared" si="918" ref="AG869:AG909">IF(AQ869="2",BI869,0)</f>
        <v>0</v>
      </c>
      <c r="AH869" s="29">
        <f aca="true" t="shared" si="919" ref="AH869:AH909">IF(AQ869="0",BJ869,0)</f>
        <v>0</v>
      </c>
      <c r="AI869" s="48" t="s">
        <v>61</v>
      </c>
      <c r="AJ869" s="55">
        <f aca="true" t="shared" si="920" ref="AJ869:AJ909">IF(AN869=0,J869,0)</f>
        <v>0</v>
      </c>
      <c r="AK869" s="55">
        <f aca="true" t="shared" si="921" ref="AK869:AK909">IF(AN869=15,J869,0)</f>
        <v>0</v>
      </c>
      <c r="AL869" s="55">
        <f aca="true" t="shared" si="922" ref="AL869:AL909">IF(AN869=21,J869,0)</f>
        <v>0</v>
      </c>
      <c r="AN869" s="29">
        <v>15</v>
      </c>
      <c r="AO869" s="29">
        <f aca="true" t="shared" si="923" ref="AO869:AO909">G869*0</f>
        <v>0</v>
      </c>
      <c r="AP869" s="29">
        <f aca="true" t="shared" si="924" ref="AP869:AP909">G869*(1-0)</f>
        <v>39</v>
      </c>
      <c r="AQ869" s="51" t="s">
        <v>79</v>
      </c>
      <c r="AV869" s="29">
        <f aca="true" t="shared" si="925" ref="AV869:AV909">AW869+AX869</f>
        <v>0</v>
      </c>
      <c r="AW869" s="29">
        <f aca="true" t="shared" si="926" ref="AW869:AW909">F869*AO869</f>
        <v>0</v>
      </c>
      <c r="AX869" s="29">
        <f aca="true" t="shared" si="927" ref="AX869:AX909">F869*AP869</f>
        <v>0</v>
      </c>
      <c r="AY869" s="54" t="s">
        <v>649</v>
      </c>
      <c r="AZ869" s="54" t="s">
        <v>1643</v>
      </c>
      <c r="BA869" s="48" t="s">
        <v>1649</v>
      </c>
      <c r="BC869" s="29">
        <f aca="true" t="shared" si="928" ref="BC869:BC909">AW869+AX869</f>
        <v>0</v>
      </c>
      <c r="BD869" s="29">
        <f aca="true" t="shared" si="929" ref="BD869:BD909">G869/(100-BE869)*100</f>
        <v>39</v>
      </c>
      <c r="BE869" s="29">
        <v>0</v>
      </c>
      <c r="BF869" s="29">
        <f aca="true" t="shared" si="930" ref="BF869:BF909">L869</f>
        <v>0</v>
      </c>
      <c r="BH869" s="55">
        <f aca="true" t="shared" si="931" ref="BH869:BH909">F869*AO869</f>
        <v>0</v>
      </c>
      <c r="BI869" s="55">
        <f aca="true" t="shared" si="932" ref="BI869:BI909">F869*AP869</f>
        <v>0</v>
      </c>
      <c r="BJ869" s="55">
        <f aca="true" t="shared" si="933" ref="BJ869:BJ909">F869*G869</f>
        <v>0</v>
      </c>
    </row>
    <row r="870" spans="1:62" ht="12.75">
      <c r="A870" s="36" t="s">
        <v>2074</v>
      </c>
      <c r="B870" s="36" t="s">
        <v>61</v>
      </c>
      <c r="C870" s="36" t="s">
        <v>385</v>
      </c>
      <c r="D870" s="36" t="s">
        <v>571</v>
      </c>
      <c r="E870" s="36" t="s">
        <v>606</v>
      </c>
      <c r="F870" s="55">
        <f>'Stavební rozpočet'!F892</f>
        <v>0</v>
      </c>
      <c r="G870" s="55">
        <f>'Stavební rozpočet'!G892</f>
        <v>32.1</v>
      </c>
      <c r="H870" s="55">
        <f t="shared" si="908"/>
        <v>0</v>
      </c>
      <c r="I870" s="55">
        <f t="shared" si="909"/>
        <v>0</v>
      </c>
      <c r="J870" s="55">
        <f t="shared" si="910"/>
        <v>0</v>
      </c>
      <c r="K870" s="55">
        <f>'Stavební rozpočet'!K892</f>
        <v>0</v>
      </c>
      <c r="L870" s="55">
        <f t="shared" si="911"/>
        <v>0</v>
      </c>
      <c r="M870" s="51" t="s">
        <v>622</v>
      </c>
      <c r="Z870" s="29">
        <f t="shared" si="912"/>
        <v>0</v>
      </c>
      <c r="AB870" s="29">
        <f t="shared" si="913"/>
        <v>0</v>
      </c>
      <c r="AC870" s="29">
        <f t="shared" si="914"/>
        <v>0</v>
      </c>
      <c r="AD870" s="29">
        <f t="shared" si="915"/>
        <v>0</v>
      </c>
      <c r="AE870" s="29">
        <f t="shared" si="916"/>
        <v>0</v>
      </c>
      <c r="AF870" s="29">
        <f t="shared" si="917"/>
        <v>0</v>
      </c>
      <c r="AG870" s="29">
        <f t="shared" si="918"/>
        <v>0</v>
      </c>
      <c r="AH870" s="29">
        <f t="shared" si="919"/>
        <v>0</v>
      </c>
      <c r="AI870" s="48" t="s">
        <v>61</v>
      </c>
      <c r="AJ870" s="55">
        <f t="shared" si="920"/>
        <v>0</v>
      </c>
      <c r="AK870" s="55">
        <f t="shared" si="921"/>
        <v>0</v>
      </c>
      <c r="AL870" s="55">
        <f t="shared" si="922"/>
        <v>0</v>
      </c>
      <c r="AN870" s="29">
        <v>15</v>
      </c>
      <c r="AO870" s="29">
        <f t="shared" si="923"/>
        <v>0</v>
      </c>
      <c r="AP870" s="29">
        <f t="shared" si="924"/>
        <v>32.1</v>
      </c>
      <c r="AQ870" s="51" t="s">
        <v>79</v>
      </c>
      <c r="AV870" s="29">
        <f t="shared" si="925"/>
        <v>0</v>
      </c>
      <c r="AW870" s="29">
        <f t="shared" si="926"/>
        <v>0</v>
      </c>
      <c r="AX870" s="29">
        <f t="shared" si="927"/>
        <v>0</v>
      </c>
      <c r="AY870" s="54" t="s">
        <v>649</v>
      </c>
      <c r="AZ870" s="54" t="s">
        <v>1643</v>
      </c>
      <c r="BA870" s="48" t="s">
        <v>1649</v>
      </c>
      <c r="BC870" s="29">
        <f t="shared" si="928"/>
        <v>0</v>
      </c>
      <c r="BD870" s="29">
        <f t="shared" si="929"/>
        <v>32.1</v>
      </c>
      <c r="BE870" s="29">
        <v>0</v>
      </c>
      <c r="BF870" s="29">
        <f t="shared" si="930"/>
        <v>0</v>
      </c>
      <c r="BH870" s="55">
        <f t="shared" si="931"/>
        <v>0</v>
      </c>
      <c r="BI870" s="55">
        <f t="shared" si="932"/>
        <v>0</v>
      </c>
      <c r="BJ870" s="55">
        <f t="shared" si="933"/>
        <v>0</v>
      </c>
    </row>
    <row r="871" spans="1:62" ht="12.75">
      <c r="A871" s="36" t="s">
        <v>2075</v>
      </c>
      <c r="B871" s="36" t="s">
        <v>61</v>
      </c>
      <c r="C871" s="36" t="s">
        <v>386</v>
      </c>
      <c r="D871" s="36" t="s">
        <v>572</v>
      </c>
      <c r="E871" s="36" t="s">
        <v>609</v>
      </c>
      <c r="F871" s="55">
        <f>'Stavební rozpočet'!F893</f>
        <v>0</v>
      </c>
      <c r="G871" s="55">
        <f>'Stavební rozpočet'!G893</f>
        <v>27.8</v>
      </c>
      <c r="H871" s="55">
        <f t="shared" si="908"/>
        <v>0</v>
      </c>
      <c r="I871" s="55">
        <f t="shared" si="909"/>
        <v>0</v>
      </c>
      <c r="J871" s="55">
        <f t="shared" si="910"/>
        <v>0</v>
      </c>
      <c r="K871" s="55">
        <f>'Stavební rozpočet'!K893</f>
        <v>0</v>
      </c>
      <c r="L871" s="55">
        <f t="shared" si="911"/>
        <v>0</v>
      </c>
      <c r="M871" s="51" t="s">
        <v>622</v>
      </c>
      <c r="Z871" s="29">
        <f t="shared" si="912"/>
        <v>0</v>
      </c>
      <c r="AB871" s="29">
        <f t="shared" si="913"/>
        <v>0</v>
      </c>
      <c r="AC871" s="29">
        <f t="shared" si="914"/>
        <v>0</v>
      </c>
      <c r="AD871" s="29">
        <f t="shared" si="915"/>
        <v>0</v>
      </c>
      <c r="AE871" s="29">
        <f t="shared" si="916"/>
        <v>0</v>
      </c>
      <c r="AF871" s="29">
        <f t="shared" si="917"/>
        <v>0</v>
      </c>
      <c r="AG871" s="29">
        <f t="shared" si="918"/>
        <v>0</v>
      </c>
      <c r="AH871" s="29">
        <f t="shared" si="919"/>
        <v>0</v>
      </c>
      <c r="AI871" s="48" t="s">
        <v>61</v>
      </c>
      <c r="AJ871" s="55">
        <f t="shared" si="920"/>
        <v>0</v>
      </c>
      <c r="AK871" s="55">
        <f t="shared" si="921"/>
        <v>0</v>
      </c>
      <c r="AL871" s="55">
        <f t="shared" si="922"/>
        <v>0</v>
      </c>
      <c r="AN871" s="29">
        <v>15</v>
      </c>
      <c r="AO871" s="29">
        <f t="shared" si="923"/>
        <v>0</v>
      </c>
      <c r="AP871" s="29">
        <f t="shared" si="924"/>
        <v>27.8</v>
      </c>
      <c r="AQ871" s="51" t="s">
        <v>79</v>
      </c>
      <c r="AV871" s="29">
        <f t="shared" si="925"/>
        <v>0</v>
      </c>
      <c r="AW871" s="29">
        <f t="shared" si="926"/>
        <v>0</v>
      </c>
      <c r="AX871" s="29">
        <f t="shared" si="927"/>
        <v>0</v>
      </c>
      <c r="AY871" s="54" t="s">
        <v>649</v>
      </c>
      <c r="AZ871" s="54" t="s">
        <v>1643</v>
      </c>
      <c r="BA871" s="48" t="s">
        <v>1649</v>
      </c>
      <c r="BC871" s="29">
        <f t="shared" si="928"/>
        <v>0</v>
      </c>
      <c r="BD871" s="29">
        <f t="shared" si="929"/>
        <v>27.800000000000004</v>
      </c>
      <c r="BE871" s="29">
        <v>0</v>
      </c>
      <c r="BF871" s="29">
        <f t="shared" si="930"/>
        <v>0</v>
      </c>
      <c r="BH871" s="55">
        <f t="shared" si="931"/>
        <v>0</v>
      </c>
      <c r="BI871" s="55">
        <f t="shared" si="932"/>
        <v>0</v>
      </c>
      <c r="BJ871" s="55">
        <f t="shared" si="933"/>
        <v>0</v>
      </c>
    </row>
    <row r="872" spans="1:62" ht="12.75">
      <c r="A872" s="36" t="s">
        <v>2076</v>
      </c>
      <c r="B872" s="36" t="s">
        <v>61</v>
      </c>
      <c r="C872" s="36" t="s">
        <v>387</v>
      </c>
      <c r="D872" s="36" t="s">
        <v>573</v>
      </c>
      <c r="E872" s="36" t="s">
        <v>609</v>
      </c>
      <c r="F872" s="55">
        <f>'Stavební rozpočet'!F894</f>
        <v>0</v>
      </c>
      <c r="G872" s="55">
        <f>'Stavební rozpočet'!G894</f>
        <v>49.1</v>
      </c>
      <c r="H872" s="55">
        <f t="shared" si="908"/>
        <v>0</v>
      </c>
      <c r="I872" s="55">
        <f t="shared" si="909"/>
        <v>0</v>
      </c>
      <c r="J872" s="55">
        <f t="shared" si="910"/>
        <v>0</v>
      </c>
      <c r="K872" s="55">
        <f>'Stavební rozpočet'!K894</f>
        <v>0</v>
      </c>
      <c r="L872" s="55">
        <f t="shared" si="911"/>
        <v>0</v>
      </c>
      <c r="M872" s="51" t="s">
        <v>622</v>
      </c>
      <c r="Z872" s="29">
        <f t="shared" si="912"/>
        <v>0</v>
      </c>
      <c r="AB872" s="29">
        <f t="shared" si="913"/>
        <v>0</v>
      </c>
      <c r="AC872" s="29">
        <f t="shared" si="914"/>
        <v>0</v>
      </c>
      <c r="AD872" s="29">
        <f t="shared" si="915"/>
        <v>0</v>
      </c>
      <c r="AE872" s="29">
        <f t="shared" si="916"/>
        <v>0</v>
      </c>
      <c r="AF872" s="29">
        <f t="shared" si="917"/>
        <v>0</v>
      </c>
      <c r="AG872" s="29">
        <f t="shared" si="918"/>
        <v>0</v>
      </c>
      <c r="AH872" s="29">
        <f t="shared" si="919"/>
        <v>0</v>
      </c>
      <c r="AI872" s="48" t="s">
        <v>61</v>
      </c>
      <c r="AJ872" s="55">
        <f t="shared" si="920"/>
        <v>0</v>
      </c>
      <c r="AK872" s="55">
        <f t="shared" si="921"/>
        <v>0</v>
      </c>
      <c r="AL872" s="55">
        <f t="shared" si="922"/>
        <v>0</v>
      </c>
      <c r="AN872" s="29">
        <v>15</v>
      </c>
      <c r="AO872" s="29">
        <f t="shared" si="923"/>
        <v>0</v>
      </c>
      <c r="AP872" s="29">
        <f t="shared" si="924"/>
        <v>49.1</v>
      </c>
      <c r="AQ872" s="51" t="s">
        <v>79</v>
      </c>
      <c r="AV872" s="29">
        <f t="shared" si="925"/>
        <v>0</v>
      </c>
      <c r="AW872" s="29">
        <f t="shared" si="926"/>
        <v>0</v>
      </c>
      <c r="AX872" s="29">
        <f t="shared" si="927"/>
        <v>0</v>
      </c>
      <c r="AY872" s="54" t="s">
        <v>649</v>
      </c>
      <c r="AZ872" s="54" t="s">
        <v>1643</v>
      </c>
      <c r="BA872" s="48" t="s">
        <v>1649</v>
      </c>
      <c r="BC872" s="29">
        <f t="shared" si="928"/>
        <v>0</v>
      </c>
      <c r="BD872" s="29">
        <f t="shared" si="929"/>
        <v>49.1</v>
      </c>
      <c r="BE872" s="29">
        <v>0</v>
      </c>
      <c r="BF872" s="29">
        <f t="shared" si="930"/>
        <v>0</v>
      </c>
      <c r="BH872" s="55">
        <f t="shared" si="931"/>
        <v>0</v>
      </c>
      <c r="BI872" s="55">
        <f t="shared" si="932"/>
        <v>0</v>
      </c>
      <c r="BJ872" s="55">
        <f t="shared" si="933"/>
        <v>0</v>
      </c>
    </row>
    <row r="873" spans="1:62" ht="12.75">
      <c r="A873" s="36" t="s">
        <v>2077</v>
      </c>
      <c r="B873" s="36" t="s">
        <v>61</v>
      </c>
      <c r="C873" s="36" t="s">
        <v>388</v>
      </c>
      <c r="D873" s="36" t="s">
        <v>574</v>
      </c>
      <c r="E873" s="36" t="s">
        <v>606</v>
      </c>
      <c r="F873" s="55">
        <f>'Stavební rozpočet'!F895</f>
        <v>0</v>
      </c>
      <c r="G873" s="55">
        <f>'Stavební rozpočet'!G895</f>
        <v>3110</v>
      </c>
      <c r="H873" s="55">
        <f t="shared" si="908"/>
        <v>0</v>
      </c>
      <c r="I873" s="55">
        <f t="shared" si="909"/>
        <v>0</v>
      </c>
      <c r="J873" s="55">
        <f t="shared" si="910"/>
        <v>0</v>
      </c>
      <c r="K873" s="55">
        <f>'Stavební rozpočet'!K895</f>
        <v>0</v>
      </c>
      <c r="L873" s="55">
        <f t="shared" si="911"/>
        <v>0</v>
      </c>
      <c r="M873" s="51" t="s">
        <v>622</v>
      </c>
      <c r="Z873" s="29">
        <f t="shared" si="912"/>
        <v>0</v>
      </c>
      <c r="AB873" s="29">
        <f t="shared" si="913"/>
        <v>0</v>
      </c>
      <c r="AC873" s="29">
        <f t="shared" si="914"/>
        <v>0</v>
      </c>
      <c r="AD873" s="29">
        <f t="shared" si="915"/>
        <v>0</v>
      </c>
      <c r="AE873" s="29">
        <f t="shared" si="916"/>
        <v>0</v>
      </c>
      <c r="AF873" s="29">
        <f t="shared" si="917"/>
        <v>0</v>
      </c>
      <c r="AG873" s="29">
        <f t="shared" si="918"/>
        <v>0</v>
      </c>
      <c r="AH873" s="29">
        <f t="shared" si="919"/>
        <v>0</v>
      </c>
      <c r="AI873" s="48" t="s">
        <v>61</v>
      </c>
      <c r="AJ873" s="55">
        <f t="shared" si="920"/>
        <v>0</v>
      </c>
      <c r="AK873" s="55">
        <f t="shared" si="921"/>
        <v>0</v>
      </c>
      <c r="AL873" s="55">
        <f t="shared" si="922"/>
        <v>0</v>
      </c>
      <c r="AN873" s="29">
        <v>15</v>
      </c>
      <c r="AO873" s="29">
        <f t="shared" si="923"/>
        <v>0</v>
      </c>
      <c r="AP873" s="29">
        <f t="shared" si="924"/>
        <v>3110</v>
      </c>
      <c r="AQ873" s="51" t="s">
        <v>79</v>
      </c>
      <c r="AV873" s="29">
        <f t="shared" si="925"/>
        <v>0</v>
      </c>
      <c r="AW873" s="29">
        <f t="shared" si="926"/>
        <v>0</v>
      </c>
      <c r="AX873" s="29">
        <f t="shared" si="927"/>
        <v>0</v>
      </c>
      <c r="AY873" s="54" t="s">
        <v>649</v>
      </c>
      <c r="AZ873" s="54" t="s">
        <v>1643</v>
      </c>
      <c r="BA873" s="48" t="s">
        <v>1649</v>
      </c>
      <c r="BC873" s="29">
        <f t="shared" si="928"/>
        <v>0</v>
      </c>
      <c r="BD873" s="29">
        <f t="shared" si="929"/>
        <v>3110</v>
      </c>
      <c r="BE873" s="29">
        <v>0</v>
      </c>
      <c r="BF873" s="29">
        <f t="shared" si="930"/>
        <v>0</v>
      </c>
      <c r="BH873" s="55">
        <f t="shared" si="931"/>
        <v>0</v>
      </c>
      <c r="BI873" s="55">
        <f t="shared" si="932"/>
        <v>0</v>
      </c>
      <c r="BJ873" s="55">
        <f t="shared" si="933"/>
        <v>0</v>
      </c>
    </row>
    <row r="874" spans="1:62" ht="12.75">
      <c r="A874" s="36" t="s">
        <v>2078</v>
      </c>
      <c r="B874" s="36" t="s">
        <v>61</v>
      </c>
      <c r="C874" s="36" t="s">
        <v>389</v>
      </c>
      <c r="D874" s="36" t="s">
        <v>575</v>
      </c>
      <c r="E874" s="36" t="s">
        <v>611</v>
      </c>
      <c r="F874" s="55">
        <f>'Stavební rozpočet'!F896</f>
        <v>0</v>
      </c>
      <c r="G874" s="55">
        <f>'Stavební rozpočet'!G896</f>
        <v>450</v>
      </c>
      <c r="H874" s="55">
        <f t="shared" si="908"/>
        <v>0</v>
      </c>
      <c r="I874" s="55">
        <f t="shared" si="909"/>
        <v>0</v>
      </c>
      <c r="J874" s="55">
        <f t="shared" si="910"/>
        <v>0</v>
      </c>
      <c r="K874" s="55">
        <f>'Stavební rozpočet'!K896</f>
        <v>0</v>
      </c>
      <c r="L874" s="55">
        <f t="shared" si="911"/>
        <v>0</v>
      </c>
      <c r="M874" s="51" t="s">
        <v>622</v>
      </c>
      <c r="Z874" s="29">
        <f t="shared" si="912"/>
        <v>0</v>
      </c>
      <c r="AB874" s="29">
        <f t="shared" si="913"/>
        <v>0</v>
      </c>
      <c r="AC874" s="29">
        <f t="shared" si="914"/>
        <v>0</v>
      </c>
      <c r="AD874" s="29">
        <f t="shared" si="915"/>
        <v>0</v>
      </c>
      <c r="AE874" s="29">
        <f t="shared" si="916"/>
        <v>0</v>
      </c>
      <c r="AF874" s="29">
        <f t="shared" si="917"/>
        <v>0</v>
      </c>
      <c r="AG874" s="29">
        <f t="shared" si="918"/>
        <v>0</v>
      </c>
      <c r="AH874" s="29">
        <f t="shared" si="919"/>
        <v>0</v>
      </c>
      <c r="AI874" s="48" t="s">
        <v>61</v>
      </c>
      <c r="AJ874" s="55">
        <f t="shared" si="920"/>
        <v>0</v>
      </c>
      <c r="AK874" s="55">
        <f t="shared" si="921"/>
        <v>0</v>
      </c>
      <c r="AL874" s="55">
        <f t="shared" si="922"/>
        <v>0</v>
      </c>
      <c r="AN874" s="29">
        <v>15</v>
      </c>
      <c r="AO874" s="29">
        <f t="shared" si="923"/>
        <v>0</v>
      </c>
      <c r="AP874" s="29">
        <f t="shared" si="924"/>
        <v>450</v>
      </c>
      <c r="AQ874" s="51" t="s">
        <v>79</v>
      </c>
      <c r="AV874" s="29">
        <f t="shared" si="925"/>
        <v>0</v>
      </c>
      <c r="AW874" s="29">
        <f t="shared" si="926"/>
        <v>0</v>
      </c>
      <c r="AX874" s="29">
        <f t="shared" si="927"/>
        <v>0</v>
      </c>
      <c r="AY874" s="54" t="s">
        <v>649</v>
      </c>
      <c r="AZ874" s="54" t="s">
        <v>1643</v>
      </c>
      <c r="BA874" s="48" t="s">
        <v>1649</v>
      </c>
      <c r="BC874" s="29">
        <f t="shared" si="928"/>
        <v>0</v>
      </c>
      <c r="BD874" s="29">
        <f t="shared" si="929"/>
        <v>450</v>
      </c>
      <c r="BE874" s="29">
        <v>0</v>
      </c>
      <c r="BF874" s="29">
        <f t="shared" si="930"/>
        <v>0</v>
      </c>
      <c r="BH874" s="55">
        <f t="shared" si="931"/>
        <v>0</v>
      </c>
      <c r="BI874" s="55">
        <f t="shared" si="932"/>
        <v>0</v>
      </c>
      <c r="BJ874" s="55">
        <f t="shared" si="933"/>
        <v>0</v>
      </c>
    </row>
    <row r="875" spans="1:62" ht="12.75">
      <c r="A875" s="36" t="s">
        <v>2079</v>
      </c>
      <c r="B875" s="36" t="s">
        <v>61</v>
      </c>
      <c r="C875" s="36" t="s">
        <v>390</v>
      </c>
      <c r="D875" s="36" t="s">
        <v>576</v>
      </c>
      <c r="E875" s="36" t="s">
        <v>606</v>
      </c>
      <c r="F875" s="55">
        <f>'Stavební rozpočet'!F897</f>
        <v>0</v>
      </c>
      <c r="G875" s="55">
        <f>'Stavební rozpočet'!G897</f>
        <v>740</v>
      </c>
      <c r="H875" s="55">
        <f t="shared" si="908"/>
        <v>0</v>
      </c>
      <c r="I875" s="55">
        <f t="shared" si="909"/>
        <v>0</v>
      </c>
      <c r="J875" s="55">
        <f t="shared" si="910"/>
        <v>0</v>
      </c>
      <c r="K875" s="55">
        <f>'Stavební rozpočet'!K897</f>
        <v>0</v>
      </c>
      <c r="L875" s="55">
        <f t="shared" si="911"/>
        <v>0</v>
      </c>
      <c r="M875" s="51" t="s">
        <v>622</v>
      </c>
      <c r="Z875" s="29">
        <f t="shared" si="912"/>
        <v>0</v>
      </c>
      <c r="AB875" s="29">
        <f t="shared" si="913"/>
        <v>0</v>
      </c>
      <c r="AC875" s="29">
        <f t="shared" si="914"/>
        <v>0</v>
      </c>
      <c r="AD875" s="29">
        <f t="shared" si="915"/>
        <v>0</v>
      </c>
      <c r="AE875" s="29">
        <f t="shared" si="916"/>
        <v>0</v>
      </c>
      <c r="AF875" s="29">
        <f t="shared" si="917"/>
        <v>0</v>
      </c>
      <c r="AG875" s="29">
        <f t="shared" si="918"/>
        <v>0</v>
      </c>
      <c r="AH875" s="29">
        <f t="shared" si="919"/>
        <v>0</v>
      </c>
      <c r="AI875" s="48" t="s">
        <v>61</v>
      </c>
      <c r="AJ875" s="55">
        <f t="shared" si="920"/>
        <v>0</v>
      </c>
      <c r="AK875" s="55">
        <f t="shared" si="921"/>
        <v>0</v>
      </c>
      <c r="AL875" s="55">
        <f t="shared" si="922"/>
        <v>0</v>
      </c>
      <c r="AN875" s="29">
        <v>15</v>
      </c>
      <c r="AO875" s="29">
        <f t="shared" si="923"/>
        <v>0</v>
      </c>
      <c r="AP875" s="29">
        <f t="shared" si="924"/>
        <v>740</v>
      </c>
      <c r="AQ875" s="51" t="s">
        <v>79</v>
      </c>
      <c r="AV875" s="29">
        <f t="shared" si="925"/>
        <v>0</v>
      </c>
      <c r="AW875" s="29">
        <f t="shared" si="926"/>
        <v>0</v>
      </c>
      <c r="AX875" s="29">
        <f t="shared" si="927"/>
        <v>0</v>
      </c>
      <c r="AY875" s="54" t="s">
        <v>649</v>
      </c>
      <c r="AZ875" s="54" t="s">
        <v>1643</v>
      </c>
      <c r="BA875" s="48" t="s">
        <v>1649</v>
      </c>
      <c r="BC875" s="29">
        <f t="shared" si="928"/>
        <v>0</v>
      </c>
      <c r="BD875" s="29">
        <f t="shared" si="929"/>
        <v>740</v>
      </c>
      <c r="BE875" s="29">
        <v>0</v>
      </c>
      <c r="BF875" s="29">
        <f t="shared" si="930"/>
        <v>0</v>
      </c>
      <c r="BH875" s="55">
        <f t="shared" si="931"/>
        <v>0</v>
      </c>
      <c r="BI875" s="55">
        <f t="shared" si="932"/>
        <v>0</v>
      </c>
      <c r="BJ875" s="55">
        <f t="shared" si="933"/>
        <v>0</v>
      </c>
    </row>
    <row r="876" spans="1:62" ht="12.75">
      <c r="A876" s="36" t="s">
        <v>2080</v>
      </c>
      <c r="B876" s="36" t="s">
        <v>61</v>
      </c>
      <c r="C876" s="36" t="s">
        <v>1142</v>
      </c>
      <c r="D876" s="36" t="s">
        <v>1640</v>
      </c>
      <c r="E876" s="36" t="s">
        <v>606</v>
      </c>
      <c r="F876" s="55">
        <f>'Stavební rozpočet'!F898</f>
        <v>0</v>
      </c>
      <c r="G876" s="55">
        <f>'Stavební rozpočet'!G898</f>
        <v>762</v>
      </c>
      <c r="H876" s="55">
        <f t="shared" si="908"/>
        <v>0</v>
      </c>
      <c r="I876" s="55">
        <f t="shared" si="909"/>
        <v>0</v>
      </c>
      <c r="J876" s="55">
        <f t="shared" si="910"/>
        <v>0</v>
      </c>
      <c r="K876" s="55">
        <f>'Stavební rozpočet'!K898</f>
        <v>0</v>
      </c>
      <c r="L876" s="55">
        <f t="shared" si="911"/>
        <v>0</v>
      </c>
      <c r="M876" s="51" t="s">
        <v>622</v>
      </c>
      <c r="Z876" s="29">
        <f t="shared" si="912"/>
        <v>0</v>
      </c>
      <c r="AB876" s="29">
        <f t="shared" si="913"/>
        <v>0</v>
      </c>
      <c r="AC876" s="29">
        <f t="shared" si="914"/>
        <v>0</v>
      </c>
      <c r="AD876" s="29">
        <f t="shared" si="915"/>
        <v>0</v>
      </c>
      <c r="AE876" s="29">
        <f t="shared" si="916"/>
        <v>0</v>
      </c>
      <c r="AF876" s="29">
        <f t="shared" si="917"/>
        <v>0</v>
      </c>
      <c r="AG876" s="29">
        <f t="shared" si="918"/>
        <v>0</v>
      </c>
      <c r="AH876" s="29">
        <f t="shared" si="919"/>
        <v>0</v>
      </c>
      <c r="AI876" s="48" t="s">
        <v>61</v>
      </c>
      <c r="AJ876" s="55">
        <f t="shared" si="920"/>
        <v>0</v>
      </c>
      <c r="AK876" s="55">
        <f t="shared" si="921"/>
        <v>0</v>
      </c>
      <c r="AL876" s="55">
        <f t="shared" si="922"/>
        <v>0</v>
      </c>
      <c r="AN876" s="29">
        <v>15</v>
      </c>
      <c r="AO876" s="29">
        <f t="shared" si="923"/>
        <v>0</v>
      </c>
      <c r="AP876" s="29">
        <f t="shared" si="924"/>
        <v>762</v>
      </c>
      <c r="AQ876" s="51" t="s">
        <v>79</v>
      </c>
      <c r="AV876" s="29">
        <f t="shared" si="925"/>
        <v>0</v>
      </c>
      <c r="AW876" s="29">
        <f t="shared" si="926"/>
        <v>0</v>
      </c>
      <c r="AX876" s="29">
        <f t="shared" si="927"/>
        <v>0</v>
      </c>
      <c r="AY876" s="54" t="s">
        <v>649</v>
      </c>
      <c r="AZ876" s="54" t="s">
        <v>1643</v>
      </c>
      <c r="BA876" s="48" t="s">
        <v>1649</v>
      </c>
      <c r="BC876" s="29">
        <f t="shared" si="928"/>
        <v>0</v>
      </c>
      <c r="BD876" s="29">
        <f t="shared" si="929"/>
        <v>762</v>
      </c>
      <c r="BE876" s="29">
        <v>0</v>
      </c>
      <c r="BF876" s="29">
        <f t="shared" si="930"/>
        <v>0</v>
      </c>
      <c r="BH876" s="55">
        <f t="shared" si="931"/>
        <v>0</v>
      </c>
      <c r="BI876" s="55">
        <f t="shared" si="932"/>
        <v>0</v>
      </c>
      <c r="BJ876" s="55">
        <f t="shared" si="933"/>
        <v>0</v>
      </c>
    </row>
    <row r="877" spans="1:62" ht="12.75">
      <c r="A877" s="36" t="s">
        <v>2081</v>
      </c>
      <c r="B877" s="36" t="s">
        <v>61</v>
      </c>
      <c r="C877" s="36" t="s">
        <v>391</v>
      </c>
      <c r="D877" s="36" t="s">
        <v>577</v>
      </c>
      <c r="E877" s="36" t="s">
        <v>614</v>
      </c>
      <c r="F877" s="55">
        <f>'Stavební rozpočet'!F899</f>
        <v>0</v>
      </c>
      <c r="G877" s="55">
        <f>'Stavební rozpočet'!G899</f>
        <v>400</v>
      </c>
      <c r="H877" s="55">
        <f t="shared" si="908"/>
        <v>0</v>
      </c>
      <c r="I877" s="55">
        <f t="shared" si="909"/>
        <v>0</v>
      </c>
      <c r="J877" s="55">
        <f t="shared" si="910"/>
        <v>0</v>
      </c>
      <c r="K877" s="55">
        <f>'Stavební rozpočet'!K899</f>
        <v>0</v>
      </c>
      <c r="L877" s="55">
        <f t="shared" si="911"/>
        <v>0</v>
      </c>
      <c r="M877" s="51" t="s">
        <v>622</v>
      </c>
      <c r="Z877" s="29">
        <f t="shared" si="912"/>
        <v>0</v>
      </c>
      <c r="AB877" s="29">
        <f t="shared" si="913"/>
        <v>0</v>
      </c>
      <c r="AC877" s="29">
        <f t="shared" si="914"/>
        <v>0</v>
      </c>
      <c r="AD877" s="29">
        <f t="shared" si="915"/>
        <v>0</v>
      </c>
      <c r="AE877" s="29">
        <f t="shared" si="916"/>
        <v>0</v>
      </c>
      <c r="AF877" s="29">
        <f t="shared" si="917"/>
        <v>0</v>
      </c>
      <c r="AG877" s="29">
        <f t="shared" si="918"/>
        <v>0</v>
      </c>
      <c r="AH877" s="29">
        <f t="shared" si="919"/>
        <v>0</v>
      </c>
      <c r="AI877" s="48" t="s">
        <v>61</v>
      </c>
      <c r="AJ877" s="55">
        <f t="shared" si="920"/>
        <v>0</v>
      </c>
      <c r="AK877" s="55">
        <f t="shared" si="921"/>
        <v>0</v>
      </c>
      <c r="AL877" s="55">
        <f t="shared" si="922"/>
        <v>0</v>
      </c>
      <c r="AN877" s="29">
        <v>15</v>
      </c>
      <c r="AO877" s="29">
        <f t="shared" si="923"/>
        <v>0</v>
      </c>
      <c r="AP877" s="29">
        <f t="shared" si="924"/>
        <v>400</v>
      </c>
      <c r="AQ877" s="51" t="s">
        <v>79</v>
      </c>
      <c r="AV877" s="29">
        <f t="shared" si="925"/>
        <v>0</v>
      </c>
      <c r="AW877" s="29">
        <f t="shared" si="926"/>
        <v>0</v>
      </c>
      <c r="AX877" s="29">
        <f t="shared" si="927"/>
        <v>0</v>
      </c>
      <c r="AY877" s="54" t="s">
        <v>649</v>
      </c>
      <c r="AZ877" s="54" t="s">
        <v>1643</v>
      </c>
      <c r="BA877" s="48" t="s">
        <v>1649</v>
      </c>
      <c r="BC877" s="29">
        <f t="shared" si="928"/>
        <v>0</v>
      </c>
      <c r="BD877" s="29">
        <f t="shared" si="929"/>
        <v>400</v>
      </c>
      <c r="BE877" s="29">
        <v>0</v>
      </c>
      <c r="BF877" s="29">
        <f t="shared" si="930"/>
        <v>0</v>
      </c>
      <c r="BH877" s="55">
        <f t="shared" si="931"/>
        <v>0</v>
      </c>
      <c r="BI877" s="55">
        <f t="shared" si="932"/>
        <v>0</v>
      </c>
      <c r="BJ877" s="55">
        <f t="shared" si="933"/>
        <v>0</v>
      </c>
    </row>
    <row r="878" spans="1:62" ht="12.75">
      <c r="A878" s="36" t="s">
        <v>2082</v>
      </c>
      <c r="B878" s="36" t="s">
        <v>61</v>
      </c>
      <c r="C878" s="36" t="s">
        <v>392</v>
      </c>
      <c r="D878" s="36" t="s">
        <v>578</v>
      </c>
      <c r="E878" s="36" t="s">
        <v>611</v>
      </c>
      <c r="F878" s="55">
        <f>'Stavební rozpočet'!F900</f>
        <v>0</v>
      </c>
      <c r="G878" s="55">
        <f>'Stavební rozpočet'!G900</f>
        <v>350</v>
      </c>
      <c r="H878" s="55">
        <f t="shared" si="908"/>
        <v>0</v>
      </c>
      <c r="I878" s="55">
        <f t="shared" si="909"/>
        <v>0</v>
      </c>
      <c r="J878" s="55">
        <f t="shared" si="910"/>
        <v>0</v>
      </c>
      <c r="K878" s="55">
        <f>'Stavební rozpočet'!K900</f>
        <v>0</v>
      </c>
      <c r="L878" s="55">
        <f t="shared" si="911"/>
        <v>0</v>
      </c>
      <c r="M878" s="51" t="s">
        <v>622</v>
      </c>
      <c r="Z878" s="29">
        <f t="shared" si="912"/>
        <v>0</v>
      </c>
      <c r="AB878" s="29">
        <f t="shared" si="913"/>
        <v>0</v>
      </c>
      <c r="AC878" s="29">
        <f t="shared" si="914"/>
        <v>0</v>
      </c>
      <c r="AD878" s="29">
        <f t="shared" si="915"/>
        <v>0</v>
      </c>
      <c r="AE878" s="29">
        <f t="shared" si="916"/>
        <v>0</v>
      </c>
      <c r="AF878" s="29">
        <f t="shared" si="917"/>
        <v>0</v>
      </c>
      <c r="AG878" s="29">
        <f t="shared" si="918"/>
        <v>0</v>
      </c>
      <c r="AH878" s="29">
        <f t="shared" si="919"/>
        <v>0</v>
      </c>
      <c r="AI878" s="48" t="s">
        <v>61</v>
      </c>
      <c r="AJ878" s="55">
        <f t="shared" si="920"/>
        <v>0</v>
      </c>
      <c r="AK878" s="55">
        <f t="shared" si="921"/>
        <v>0</v>
      </c>
      <c r="AL878" s="55">
        <f t="shared" si="922"/>
        <v>0</v>
      </c>
      <c r="AN878" s="29">
        <v>15</v>
      </c>
      <c r="AO878" s="29">
        <f t="shared" si="923"/>
        <v>0</v>
      </c>
      <c r="AP878" s="29">
        <f t="shared" si="924"/>
        <v>350</v>
      </c>
      <c r="AQ878" s="51" t="s">
        <v>79</v>
      </c>
      <c r="AV878" s="29">
        <f t="shared" si="925"/>
        <v>0</v>
      </c>
      <c r="AW878" s="29">
        <f t="shared" si="926"/>
        <v>0</v>
      </c>
      <c r="AX878" s="29">
        <f t="shared" si="927"/>
        <v>0</v>
      </c>
      <c r="AY878" s="54" t="s">
        <v>649</v>
      </c>
      <c r="AZ878" s="54" t="s">
        <v>1643</v>
      </c>
      <c r="BA878" s="48" t="s">
        <v>1649</v>
      </c>
      <c r="BC878" s="29">
        <f t="shared" si="928"/>
        <v>0</v>
      </c>
      <c r="BD878" s="29">
        <f t="shared" si="929"/>
        <v>350</v>
      </c>
      <c r="BE878" s="29">
        <v>0</v>
      </c>
      <c r="BF878" s="29">
        <f t="shared" si="930"/>
        <v>0</v>
      </c>
      <c r="BH878" s="55">
        <f t="shared" si="931"/>
        <v>0</v>
      </c>
      <c r="BI878" s="55">
        <f t="shared" si="932"/>
        <v>0</v>
      </c>
      <c r="BJ878" s="55">
        <f t="shared" si="933"/>
        <v>0</v>
      </c>
    </row>
    <row r="879" spans="1:62" ht="12.75">
      <c r="A879" s="36" t="s">
        <v>2083</v>
      </c>
      <c r="B879" s="36" t="s">
        <v>61</v>
      </c>
      <c r="C879" s="36" t="s">
        <v>393</v>
      </c>
      <c r="D879" s="36" t="s">
        <v>579</v>
      </c>
      <c r="E879" s="36" t="s">
        <v>609</v>
      </c>
      <c r="F879" s="55">
        <f>'Stavební rozpočet'!F901</f>
        <v>0</v>
      </c>
      <c r="G879" s="55">
        <f>'Stavební rozpočet'!G901</f>
        <v>10.2</v>
      </c>
      <c r="H879" s="55">
        <f t="shared" si="908"/>
        <v>0</v>
      </c>
      <c r="I879" s="55">
        <f t="shared" si="909"/>
        <v>0</v>
      </c>
      <c r="J879" s="55">
        <f t="shared" si="910"/>
        <v>0</v>
      </c>
      <c r="K879" s="55">
        <f>'Stavební rozpočet'!K901</f>
        <v>0</v>
      </c>
      <c r="L879" s="55">
        <f t="shared" si="911"/>
        <v>0</v>
      </c>
      <c r="M879" s="51" t="s">
        <v>622</v>
      </c>
      <c r="Z879" s="29">
        <f t="shared" si="912"/>
        <v>0</v>
      </c>
      <c r="AB879" s="29">
        <f t="shared" si="913"/>
        <v>0</v>
      </c>
      <c r="AC879" s="29">
        <f t="shared" si="914"/>
        <v>0</v>
      </c>
      <c r="AD879" s="29">
        <f t="shared" si="915"/>
        <v>0</v>
      </c>
      <c r="AE879" s="29">
        <f t="shared" si="916"/>
        <v>0</v>
      </c>
      <c r="AF879" s="29">
        <f t="shared" si="917"/>
        <v>0</v>
      </c>
      <c r="AG879" s="29">
        <f t="shared" si="918"/>
        <v>0</v>
      </c>
      <c r="AH879" s="29">
        <f t="shared" si="919"/>
        <v>0</v>
      </c>
      <c r="AI879" s="48" t="s">
        <v>61</v>
      </c>
      <c r="AJ879" s="55">
        <f t="shared" si="920"/>
        <v>0</v>
      </c>
      <c r="AK879" s="55">
        <f t="shared" si="921"/>
        <v>0</v>
      </c>
      <c r="AL879" s="55">
        <f t="shared" si="922"/>
        <v>0</v>
      </c>
      <c r="AN879" s="29">
        <v>15</v>
      </c>
      <c r="AO879" s="29">
        <f t="shared" si="923"/>
        <v>0</v>
      </c>
      <c r="AP879" s="29">
        <f t="shared" si="924"/>
        <v>10.2</v>
      </c>
      <c r="AQ879" s="51" t="s">
        <v>79</v>
      </c>
      <c r="AV879" s="29">
        <f t="shared" si="925"/>
        <v>0</v>
      </c>
      <c r="AW879" s="29">
        <f t="shared" si="926"/>
        <v>0</v>
      </c>
      <c r="AX879" s="29">
        <f t="shared" si="927"/>
        <v>0</v>
      </c>
      <c r="AY879" s="54" t="s">
        <v>649</v>
      </c>
      <c r="AZ879" s="54" t="s">
        <v>1643</v>
      </c>
      <c r="BA879" s="48" t="s">
        <v>1649</v>
      </c>
      <c r="BC879" s="29">
        <f t="shared" si="928"/>
        <v>0</v>
      </c>
      <c r="BD879" s="29">
        <f t="shared" si="929"/>
        <v>10.2</v>
      </c>
      <c r="BE879" s="29">
        <v>0</v>
      </c>
      <c r="BF879" s="29">
        <f t="shared" si="930"/>
        <v>0</v>
      </c>
      <c r="BH879" s="55">
        <f t="shared" si="931"/>
        <v>0</v>
      </c>
      <c r="BI879" s="55">
        <f t="shared" si="932"/>
        <v>0</v>
      </c>
      <c r="BJ879" s="55">
        <f t="shared" si="933"/>
        <v>0</v>
      </c>
    </row>
    <row r="880" spans="1:62" ht="12.75">
      <c r="A880" s="36" t="s">
        <v>2084</v>
      </c>
      <c r="B880" s="36" t="s">
        <v>61</v>
      </c>
      <c r="C880" s="36" t="s">
        <v>394</v>
      </c>
      <c r="D880" s="36" t="s">
        <v>580</v>
      </c>
      <c r="E880" s="36" t="s">
        <v>609</v>
      </c>
      <c r="F880" s="55">
        <f>'Stavební rozpočet'!F902</f>
        <v>0</v>
      </c>
      <c r="G880" s="55">
        <f>'Stavební rozpočet'!G902</f>
        <v>12.3</v>
      </c>
      <c r="H880" s="55">
        <f t="shared" si="908"/>
        <v>0</v>
      </c>
      <c r="I880" s="55">
        <f t="shared" si="909"/>
        <v>0</v>
      </c>
      <c r="J880" s="55">
        <f t="shared" si="910"/>
        <v>0</v>
      </c>
      <c r="K880" s="55">
        <f>'Stavební rozpočet'!K902</f>
        <v>0</v>
      </c>
      <c r="L880" s="55">
        <f t="shared" si="911"/>
        <v>0</v>
      </c>
      <c r="M880" s="51" t="s">
        <v>622</v>
      </c>
      <c r="Z880" s="29">
        <f t="shared" si="912"/>
        <v>0</v>
      </c>
      <c r="AB880" s="29">
        <f t="shared" si="913"/>
        <v>0</v>
      </c>
      <c r="AC880" s="29">
        <f t="shared" si="914"/>
        <v>0</v>
      </c>
      <c r="AD880" s="29">
        <f t="shared" si="915"/>
        <v>0</v>
      </c>
      <c r="AE880" s="29">
        <f t="shared" si="916"/>
        <v>0</v>
      </c>
      <c r="AF880" s="29">
        <f t="shared" si="917"/>
        <v>0</v>
      </c>
      <c r="AG880" s="29">
        <f t="shared" si="918"/>
        <v>0</v>
      </c>
      <c r="AH880" s="29">
        <f t="shared" si="919"/>
        <v>0</v>
      </c>
      <c r="AI880" s="48" t="s">
        <v>61</v>
      </c>
      <c r="AJ880" s="55">
        <f t="shared" si="920"/>
        <v>0</v>
      </c>
      <c r="AK880" s="55">
        <f t="shared" si="921"/>
        <v>0</v>
      </c>
      <c r="AL880" s="55">
        <f t="shared" si="922"/>
        <v>0</v>
      </c>
      <c r="AN880" s="29">
        <v>15</v>
      </c>
      <c r="AO880" s="29">
        <f t="shared" si="923"/>
        <v>0</v>
      </c>
      <c r="AP880" s="29">
        <f t="shared" si="924"/>
        <v>12.3</v>
      </c>
      <c r="AQ880" s="51" t="s">
        <v>79</v>
      </c>
      <c r="AV880" s="29">
        <f t="shared" si="925"/>
        <v>0</v>
      </c>
      <c r="AW880" s="29">
        <f t="shared" si="926"/>
        <v>0</v>
      </c>
      <c r="AX880" s="29">
        <f t="shared" si="927"/>
        <v>0</v>
      </c>
      <c r="AY880" s="54" t="s">
        <v>649</v>
      </c>
      <c r="AZ880" s="54" t="s">
        <v>1643</v>
      </c>
      <c r="BA880" s="48" t="s">
        <v>1649</v>
      </c>
      <c r="BC880" s="29">
        <f t="shared" si="928"/>
        <v>0</v>
      </c>
      <c r="BD880" s="29">
        <f t="shared" si="929"/>
        <v>12.3</v>
      </c>
      <c r="BE880" s="29">
        <v>0</v>
      </c>
      <c r="BF880" s="29">
        <f t="shared" si="930"/>
        <v>0</v>
      </c>
      <c r="BH880" s="55">
        <f t="shared" si="931"/>
        <v>0</v>
      </c>
      <c r="BI880" s="55">
        <f t="shared" si="932"/>
        <v>0</v>
      </c>
      <c r="BJ880" s="55">
        <f t="shared" si="933"/>
        <v>0</v>
      </c>
    </row>
    <row r="881" spans="1:62" ht="12.75">
      <c r="A881" s="36" t="s">
        <v>2085</v>
      </c>
      <c r="B881" s="36" t="s">
        <v>61</v>
      </c>
      <c r="C881" s="36" t="s">
        <v>395</v>
      </c>
      <c r="D881" s="36" t="s">
        <v>581</v>
      </c>
      <c r="E881" s="36" t="s">
        <v>606</v>
      </c>
      <c r="F881" s="55">
        <f>'Stavební rozpočet'!F903</f>
        <v>0</v>
      </c>
      <c r="G881" s="55">
        <f>'Stavební rozpočet'!G903</f>
        <v>55.9</v>
      </c>
      <c r="H881" s="55">
        <f t="shared" si="908"/>
        <v>0</v>
      </c>
      <c r="I881" s="55">
        <f t="shared" si="909"/>
        <v>0</v>
      </c>
      <c r="J881" s="55">
        <f t="shared" si="910"/>
        <v>0</v>
      </c>
      <c r="K881" s="55">
        <f>'Stavební rozpočet'!K903</f>
        <v>0</v>
      </c>
      <c r="L881" s="55">
        <f t="shared" si="911"/>
        <v>0</v>
      </c>
      <c r="M881" s="51" t="s">
        <v>622</v>
      </c>
      <c r="Z881" s="29">
        <f t="shared" si="912"/>
        <v>0</v>
      </c>
      <c r="AB881" s="29">
        <f t="shared" si="913"/>
        <v>0</v>
      </c>
      <c r="AC881" s="29">
        <f t="shared" si="914"/>
        <v>0</v>
      </c>
      <c r="AD881" s="29">
        <f t="shared" si="915"/>
        <v>0</v>
      </c>
      <c r="AE881" s="29">
        <f t="shared" si="916"/>
        <v>0</v>
      </c>
      <c r="AF881" s="29">
        <f t="shared" si="917"/>
        <v>0</v>
      </c>
      <c r="AG881" s="29">
        <f t="shared" si="918"/>
        <v>0</v>
      </c>
      <c r="AH881" s="29">
        <f t="shared" si="919"/>
        <v>0</v>
      </c>
      <c r="AI881" s="48" t="s">
        <v>61</v>
      </c>
      <c r="AJ881" s="55">
        <f t="shared" si="920"/>
        <v>0</v>
      </c>
      <c r="AK881" s="55">
        <f t="shared" si="921"/>
        <v>0</v>
      </c>
      <c r="AL881" s="55">
        <f t="shared" si="922"/>
        <v>0</v>
      </c>
      <c r="AN881" s="29">
        <v>15</v>
      </c>
      <c r="AO881" s="29">
        <f t="shared" si="923"/>
        <v>0</v>
      </c>
      <c r="AP881" s="29">
        <f t="shared" si="924"/>
        <v>55.9</v>
      </c>
      <c r="AQ881" s="51" t="s">
        <v>79</v>
      </c>
      <c r="AV881" s="29">
        <f t="shared" si="925"/>
        <v>0</v>
      </c>
      <c r="AW881" s="29">
        <f t="shared" si="926"/>
        <v>0</v>
      </c>
      <c r="AX881" s="29">
        <f t="shared" si="927"/>
        <v>0</v>
      </c>
      <c r="AY881" s="54" t="s">
        <v>649</v>
      </c>
      <c r="AZ881" s="54" t="s">
        <v>1643</v>
      </c>
      <c r="BA881" s="48" t="s">
        <v>1649</v>
      </c>
      <c r="BC881" s="29">
        <f t="shared" si="928"/>
        <v>0</v>
      </c>
      <c r="BD881" s="29">
        <f t="shared" si="929"/>
        <v>55.89999999999999</v>
      </c>
      <c r="BE881" s="29">
        <v>0</v>
      </c>
      <c r="BF881" s="29">
        <f t="shared" si="930"/>
        <v>0</v>
      </c>
      <c r="BH881" s="55">
        <f t="shared" si="931"/>
        <v>0</v>
      </c>
      <c r="BI881" s="55">
        <f t="shared" si="932"/>
        <v>0</v>
      </c>
      <c r="BJ881" s="55">
        <f t="shared" si="933"/>
        <v>0</v>
      </c>
    </row>
    <row r="882" spans="1:62" ht="12.75">
      <c r="A882" s="36" t="s">
        <v>2086</v>
      </c>
      <c r="B882" s="36" t="s">
        <v>61</v>
      </c>
      <c r="C882" s="36" t="s">
        <v>396</v>
      </c>
      <c r="D882" s="36" t="s">
        <v>582</v>
      </c>
      <c r="E882" s="36" t="s">
        <v>606</v>
      </c>
      <c r="F882" s="55">
        <f>'Stavební rozpočet'!F904</f>
        <v>0</v>
      </c>
      <c r="G882" s="55">
        <f>'Stavební rozpočet'!G904</f>
        <v>26.3</v>
      </c>
      <c r="H882" s="55">
        <f t="shared" si="908"/>
        <v>0</v>
      </c>
      <c r="I882" s="55">
        <f t="shared" si="909"/>
        <v>0</v>
      </c>
      <c r="J882" s="55">
        <f t="shared" si="910"/>
        <v>0</v>
      </c>
      <c r="K882" s="55">
        <f>'Stavební rozpočet'!K904</f>
        <v>0</v>
      </c>
      <c r="L882" s="55">
        <f t="shared" si="911"/>
        <v>0</v>
      </c>
      <c r="M882" s="51" t="s">
        <v>622</v>
      </c>
      <c r="Z882" s="29">
        <f t="shared" si="912"/>
        <v>0</v>
      </c>
      <c r="AB882" s="29">
        <f t="shared" si="913"/>
        <v>0</v>
      </c>
      <c r="AC882" s="29">
        <f t="shared" si="914"/>
        <v>0</v>
      </c>
      <c r="AD882" s="29">
        <f t="shared" si="915"/>
        <v>0</v>
      </c>
      <c r="AE882" s="29">
        <f t="shared" si="916"/>
        <v>0</v>
      </c>
      <c r="AF882" s="29">
        <f t="shared" si="917"/>
        <v>0</v>
      </c>
      <c r="AG882" s="29">
        <f t="shared" si="918"/>
        <v>0</v>
      </c>
      <c r="AH882" s="29">
        <f t="shared" si="919"/>
        <v>0</v>
      </c>
      <c r="AI882" s="48" t="s">
        <v>61</v>
      </c>
      <c r="AJ882" s="55">
        <f t="shared" si="920"/>
        <v>0</v>
      </c>
      <c r="AK882" s="55">
        <f t="shared" si="921"/>
        <v>0</v>
      </c>
      <c r="AL882" s="55">
        <f t="shared" si="922"/>
        <v>0</v>
      </c>
      <c r="AN882" s="29">
        <v>15</v>
      </c>
      <c r="AO882" s="29">
        <f t="shared" si="923"/>
        <v>0</v>
      </c>
      <c r="AP882" s="29">
        <f t="shared" si="924"/>
        <v>26.3</v>
      </c>
      <c r="AQ882" s="51" t="s">
        <v>79</v>
      </c>
      <c r="AV882" s="29">
        <f t="shared" si="925"/>
        <v>0</v>
      </c>
      <c r="AW882" s="29">
        <f t="shared" si="926"/>
        <v>0</v>
      </c>
      <c r="AX882" s="29">
        <f t="shared" si="927"/>
        <v>0</v>
      </c>
      <c r="AY882" s="54" t="s">
        <v>649</v>
      </c>
      <c r="AZ882" s="54" t="s">
        <v>1643</v>
      </c>
      <c r="BA882" s="48" t="s">
        <v>1649</v>
      </c>
      <c r="BC882" s="29">
        <f t="shared" si="928"/>
        <v>0</v>
      </c>
      <c r="BD882" s="29">
        <f t="shared" si="929"/>
        <v>26.3</v>
      </c>
      <c r="BE882" s="29">
        <v>0</v>
      </c>
      <c r="BF882" s="29">
        <f t="shared" si="930"/>
        <v>0</v>
      </c>
      <c r="BH882" s="55">
        <f t="shared" si="931"/>
        <v>0</v>
      </c>
      <c r="BI882" s="55">
        <f t="shared" si="932"/>
        <v>0</v>
      </c>
      <c r="BJ882" s="55">
        <f t="shared" si="933"/>
        <v>0</v>
      </c>
    </row>
    <row r="883" spans="1:62" ht="12.75">
      <c r="A883" s="36" t="s">
        <v>2087</v>
      </c>
      <c r="B883" s="36" t="s">
        <v>61</v>
      </c>
      <c r="C883" s="36" t="s">
        <v>397</v>
      </c>
      <c r="D883" s="36" t="s">
        <v>583</v>
      </c>
      <c r="E883" s="36" t="s">
        <v>609</v>
      </c>
      <c r="F883" s="55">
        <f>'Stavební rozpočet'!F905</f>
        <v>0</v>
      </c>
      <c r="G883" s="55">
        <f>'Stavební rozpočet'!G905</f>
        <v>17.9</v>
      </c>
      <c r="H883" s="55">
        <f t="shared" si="908"/>
        <v>0</v>
      </c>
      <c r="I883" s="55">
        <f t="shared" si="909"/>
        <v>0</v>
      </c>
      <c r="J883" s="55">
        <f t="shared" si="910"/>
        <v>0</v>
      </c>
      <c r="K883" s="55">
        <f>'Stavební rozpočet'!K905</f>
        <v>0</v>
      </c>
      <c r="L883" s="55">
        <f t="shared" si="911"/>
        <v>0</v>
      </c>
      <c r="M883" s="51" t="s">
        <v>622</v>
      </c>
      <c r="Z883" s="29">
        <f t="shared" si="912"/>
        <v>0</v>
      </c>
      <c r="AB883" s="29">
        <f t="shared" si="913"/>
        <v>0</v>
      </c>
      <c r="AC883" s="29">
        <f t="shared" si="914"/>
        <v>0</v>
      </c>
      <c r="AD883" s="29">
        <f t="shared" si="915"/>
        <v>0</v>
      </c>
      <c r="AE883" s="29">
        <f t="shared" si="916"/>
        <v>0</v>
      </c>
      <c r="AF883" s="29">
        <f t="shared" si="917"/>
        <v>0</v>
      </c>
      <c r="AG883" s="29">
        <f t="shared" si="918"/>
        <v>0</v>
      </c>
      <c r="AH883" s="29">
        <f t="shared" si="919"/>
        <v>0</v>
      </c>
      <c r="AI883" s="48" t="s">
        <v>61</v>
      </c>
      <c r="AJ883" s="55">
        <f t="shared" si="920"/>
        <v>0</v>
      </c>
      <c r="AK883" s="55">
        <f t="shared" si="921"/>
        <v>0</v>
      </c>
      <c r="AL883" s="55">
        <f t="shared" si="922"/>
        <v>0</v>
      </c>
      <c r="AN883" s="29">
        <v>15</v>
      </c>
      <c r="AO883" s="29">
        <f t="shared" si="923"/>
        <v>0</v>
      </c>
      <c r="AP883" s="29">
        <f t="shared" si="924"/>
        <v>17.9</v>
      </c>
      <c r="AQ883" s="51" t="s">
        <v>79</v>
      </c>
      <c r="AV883" s="29">
        <f t="shared" si="925"/>
        <v>0</v>
      </c>
      <c r="AW883" s="29">
        <f t="shared" si="926"/>
        <v>0</v>
      </c>
      <c r="AX883" s="29">
        <f t="shared" si="927"/>
        <v>0</v>
      </c>
      <c r="AY883" s="54" t="s">
        <v>649</v>
      </c>
      <c r="AZ883" s="54" t="s">
        <v>1643</v>
      </c>
      <c r="BA883" s="48" t="s">
        <v>1649</v>
      </c>
      <c r="BC883" s="29">
        <f t="shared" si="928"/>
        <v>0</v>
      </c>
      <c r="BD883" s="29">
        <f t="shared" si="929"/>
        <v>17.9</v>
      </c>
      <c r="BE883" s="29">
        <v>0</v>
      </c>
      <c r="BF883" s="29">
        <f t="shared" si="930"/>
        <v>0</v>
      </c>
      <c r="BH883" s="55">
        <f t="shared" si="931"/>
        <v>0</v>
      </c>
      <c r="BI883" s="55">
        <f t="shared" si="932"/>
        <v>0</v>
      </c>
      <c r="BJ883" s="55">
        <f t="shared" si="933"/>
        <v>0</v>
      </c>
    </row>
    <row r="884" spans="1:62" ht="12.75">
      <c r="A884" s="36" t="s">
        <v>2088</v>
      </c>
      <c r="B884" s="36" t="s">
        <v>61</v>
      </c>
      <c r="C884" s="36" t="s">
        <v>398</v>
      </c>
      <c r="D884" s="36" t="s">
        <v>584</v>
      </c>
      <c r="E884" s="36" t="s">
        <v>609</v>
      </c>
      <c r="F884" s="55">
        <f>'Stavební rozpočet'!F906</f>
        <v>0</v>
      </c>
      <c r="G884" s="55">
        <f>'Stavební rozpočet'!G906</f>
        <v>15.9</v>
      </c>
      <c r="H884" s="55">
        <f t="shared" si="908"/>
        <v>0</v>
      </c>
      <c r="I884" s="55">
        <f t="shared" si="909"/>
        <v>0</v>
      </c>
      <c r="J884" s="55">
        <f t="shared" si="910"/>
        <v>0</v>
      </c>
      <c r="K884" s="55">
        <f>'Stavební rozpočet'!K906</f>
        <v>0</v>
      </c>
      <c r="L884" s="55">
        <f t="shared" si="911"/>
        <v>0</v>
      </c>
      <c r="M884" s="51" t="s">
        <v>622</v>
      </c>
      <c r="Z884" s="29">
        <f t="shared" si="912"/>
        <v>0</v>
      </c>
      <c r="AB884" s="29">
        <f t="shared" si="913"/>
        <v>0</v>
      </c>
      <c r="AC884" s="29">
        <f t="shared" si="914"/>
        <v>0</v>
      </c>
      <c r="AD884" s="29">
        <f t="shared" si="915"/>
        <v>0</v>
      </c>
      <c r="AE884" s="29">
        <f t="shared" si="916"/>
        <v>0</v>
      </c>
      <c r="AF884" s="29">
        <f t="shared" si="917"/>
        <v>0</v>
      </c>
      <c r="AG884" s="29">
        <f t="shared" si="918"/>
        <v>0</v>
      </c>
      <c r="AH884" s="29">
        <f t="shared" si="919"/>
        <v>0</v>
      </c>
      <c r="AI884" s="48" t="s">
        <v>61</v>
      </c>
      <c r="AJ884" s="55">
        <f t="shared" si="920"/>
        <v>0</v>
      </c>
      <c r="AK884" s="55">
        <f t="shared" si="921"/>
        <v>0</v>
      </c>
      <c r="AL884" s="55">
        <f t="shared" si="922"/>
        <v>0</v>
      </c>
      <c r="AN884" s="29">
        <v>15</v>
      </c>
      <c r="AO884" s="29">
        <f t="shared" si="923"/>
        <v>0</v>
      </c>
      <c r="AP884" s="29">
        <f t="shared" si="924"/>
        <v>15.9</v>
      </c>
      <c r="AQ884" s="51" t="s">
        <v>79</v>
      </c>
      <c r="AV884" s="29">
        <f t="shared" si="925"/>
        <v>0</v>
      </c>
      <c r="AW884" s="29">
        <f t="shared" si="926"/>
        <v>0</v>
      </c>
      <c r="AX884" s="29">
        <f t="shared" si="927"/>
        <v>0</v>
      </c>
      <c r="AY884" s="54" t="s">
        <v>649</v>
      </c>
      <c r="AZ884" s="54" t="s">
        <v>1643</v>
      </c>
      <c r="BA884" s="48" t="s">
        <v>1649</v>
      </c>
      <c r="BC884" s="29">
        <f t="shared" si="928"/>
        <v>0</v>
      </c>
      <c r="BD884" s="29">
        <f t="shared" si="929"/>
        <v>15.9</v>
      </c>
      <c r="BE884" s="29">
        <v>0</v>
      </c>
      <c r="BF884" s="29">
        <f t="shared" si="930"/>
        <v>0</v>
      </c>
      <c r="BH884" s="55">
        <f t="shared" si="931"/>
        <v>0</v>
      </c>
      <c r="BI884" s="55">
        <f t="shared" si="932"/>
        <v>0</v>
      </c>
      <c r="BJ884" s="55">
        <f t="shared" si="933"/>
        <v>0</v>
      </c>
    </row>
    <row r="885" spans="1:62" ht="12.75">
      <c r="A885" s="36" t="s">
        <v>2089</v>
      </c>
      <c r="B885" s="36" t="s">
        <v>61</v>
      </c>
      <c r="C885" s="36" t="s">
        <v>1159</v>
      </c>
      <c r="D885" s="36" t="s">
        <v>1468</v>
      </c>
      <c r="E885" s="36" t="s">
        <v>609</v>
      </c>
      <c r="F885" s="55">
        <f>'Stavební rozpočet'!F907</f>
        <v>0</v>
      </c>
      <c r="G885" s="55">
        <f>'Stavební rozpočet'!G907</f>
        <v>19.6</v>
      </c>
      <c r="H885" s="55">
        <f t="shared" si="908"/>
        <v>0</v>
      </c>
      <c r="I885" s="55">
        <f t="shared" si="909"/>
        <v>0</v>
      </c>
      <c r="J885" s="55">
        <f t="shared" si="910"/>
        <v>0</v>
      </c>
      <c r="K885" s="55">
        <f>'Stavební rozpočet'!K907</f>
        <v>0</v>
      </c>
      <c r="L885" s="55">
        <f t="shared" si="911"/>
        <v>0</v>
      </c>
      <c r="M885" s="51" t="s">
        <v>622</v>
      </c>
      <c r="Z885" s="29">
        <f t="shared" si="912"/>
        <v>0</v>
      </c>
      <c r="AB885" s="29">
        <f t="shared" si="913"/>
        <v>0</v>
      </c>
      <c r="AC885" s="29">
        <f t="shared" si="914"/>
        <v>0</v>
      </c>
      <c r="AD885" s="29">
        <f t="shared" si="915"/>
        <v>0</v>
      </c>
      <c r="AE885" s="29">
        <f t="shared" si="916"/>
        <v>0</v>
      </c>
      <c r="AF885" s="29">
        <f t="shared" si="917"/>
        <v>0</v>
      </c>
      <c r="AG885" s="29">
        <f t="shared" si="918"/>
        <v>0</v>
      </c>
      <c r="AH885" s="29">
        <f t="shared" si="919"/>
        <v>0</v>
      </c>
      <c r="AI885" s="48" t="s">
        <v>61</v>
      </c>
      <c r="AJ885" s="55">
        <f t="shared" si="920"/>
        <v>0</v>
      </c>
      <c r="AK885" s="55">
        <f t="shared" si="921"/>
        <v>0</v>
      </c>
      <c r="AL885" s="55">
        <f t="shared" si="922"/>
        <v>0</v>
      </c>
      <c r="AN885" s="29">
        <v>15</v>
      </c>
      <c r="AO885" s="29">
        <f t="shared" si="923"/>
        <v>0</v>
      </c>
      <c r="AP885" s="29">
        <f t="shared" si="924"/>
        <v>19.6</v>
      </c>
      <c r="AQ885" s="51" t="s">
        <v>79</v>
      </c>
      <c r="AV885" s="29">
        <f t="shared" si="925"/>
        <v>0</v>
      </c>
      <c r="AW885" s="29">
        <f t="shared" si="926"/>
        <v>0</v>
      </c>
      <c r="AX885" s="29">
        <f t="shared" si="927"/>
        <v>0</v>
      </c>
      <c r="AY885" s="54" t="s">
        <v>649</v>
      </c>
      <c r="AZ885" s="54" t="s">
        <v>1643</v>
      </c>
      <c r="BA885" s="48" t="s">
        <v>1649</v>
      </c>
      <c r="BC885" s="29">
        <f t="shared" si="928"/>
        <v>0</v>
      </c>
      <c r="BD885" s="29">
        <f t="shared" si="929"/>
        <v>19.6</v>
      </c>
      <c r="BE885" s="29">
        <v>0</v>
      </c>
      <c r="BF885" s="29">
        <f t="shared" si="930"/>
        <v>0</v>
      </c>
      <c r="BH885" s="55">
        <f t="shared" si="931"/>
        <v>0</v>
      </c>
      <c r="BI885" s="55">
        <f t="shared" si="932"/>
        <v>0</v>
      </c>
      <c r="BJ885" s="55">
        <f t="shared" si="933"/>
        <v>0</v>
      </c>
    </row>
    <row r="886" spans="1:62" ht="12.75">
      <c r="A886" s="36" t="s">
        <v>2090</v>
      </c>
      <c r="B886" s="36" t="s">
        <v>61</v>
      </c>
      <c r="C886" s="36" t="s">
        <v>1161</v>
      </c>
      <c r="D886" s="36" t="s">
        <v>1470</v>
      </c>
      <c r="E886" s="36" t="s">
        <v>609</v>
      </c>
      <c r="F886" s="55">
        <f>'Stavební rozpočet'!F908</f>
        <v>0</v>
      </c>
      <c r="G886" s="55">
        <f>'Stavební rozpočet'!G908</f>
        <v>18.6</v>
      </c>
      <c r="H886" s="55">
        <f t="shared" si="908"/>
        <v>0</v>
      </c>
      <c r="I886" s="55">
        <f t="shared" si="909"/>
        <v>0</v>
      </c>
      <c r="J886" s="55">
        <f t="shared" si="910"/>
        <v>0</v>
      </c>
      <c r="K886" s="55">
        <f>'Stavební rozpočet'!K908</f>
        <v>0</v>
      </c>
      <c r="L886" s="55">
        <f t="shared" si="911"/>
        <v>0</v>
      </c>
      <c r="M886" s="51" t="s">
        <v>622</v>
      </c>
      <c r="Z886" s="29">
        <f t="shared" si="912"/>
        <v>0</v>
      </c>
      <c r="AB886" s="29">
        <f t="shared" si="913"/>
        <v>0</v>
      </c>
      <c r="AC886" s="29">
        <f t="shared" si="914"/>
        <v>0</v>
      </c>
      <c r="AD886" s="29">
        <f t="shared" si="915"/>
        <v>0</v>
      </c>
      <c r="AE886" s="29">
        <f t="shared" si="916"/>
        <v>0</v>
      </c>
      <c r="AF886" s="29">
        <f t="shared" si="917"/>
        <v>0</v>
      </c>
      <c r="AG886" s="29">
        <f t="shared" si="918"/>
        <v>0</v>
      </c>
      <c r="AH886" s="29">
        <f t="shared" si="919"/>
        <v>0</v>
      </c>
      <c r="AI886" s="48" t="s">
        <v>61</v>
      </c>
      <c r="AJ886" s="55">
        <f t="shared" si="920"/>
        <v>0</v>
      </c>
      <c r="AK886" s="55">
        <f t="shared" si="921"/>
        <v>0</v>
      </c>
      <c r="AL886" s="55">
        <f t="shared" si="922"/>
        <v>0</v>
      </c>
      <c r="AN886" s="29">
        <v>15</v>
      </c>
      <c r="AO886" s="29">
        <f t="shared" si="923"/>
        <v>0</v>
      </c>
      <c r="AP886" s="29">
        <f t="shared" si="924"/>
        <v>18.6</v>
      </c>
      <c r="AQ886" s="51" t="s">
        <v>79</v>
      </c>
      <c r="AV886" s="29">
        <f t="shared" si="925"/>
        <v>0</v>
      </c>
      <c r="AW886" s="29">
        <f t="shared" si="926"/>
        <v>0</v>
      </c>
      <c r="AX886" s="29">
        <f t="shared" si="927"/>
        <v>0</v>
      </c>
      <c r="AY886" s="54" t="s">
        <v>649</v>
      </c>
      <c r="AZ886" s="54" t="s">
        <v>1643</v>
      </c>
      <c r="BA886" s="48" t="s">
        <v>1649</v>
      </c>
      <c r="BC886" s="29">
        <f t="shared" si="928"/>
        <v>0</v>
      </c>
      <c r="BD886" s="29">
        <f t="shared" si="929"/>
        <v>18.6</v>
      </c>
      <c r="BE886" s="29">
        <v>0</v>
      </c>
      <c r="BF886" s="29">
        <f t="shared" si="930"/>
        <v>0</v>
      </c>
      <c r="BH886" s="55">
        <f t="shared" si="931"/>
        <v>0</v>
      </c>
      <c r="BI886" s="55">
        <f t="shared" si="932"/>
        <v>0</v>
      </c>
      <c r="BJ886" s="55">
        <f t="shared" si="933"/>
        <v>0</v>
      </c>
    </row>
    <row r="887" spans="1:62" ht="12.75">
      <c r="A887" s="36" t="s">
        <v>2091</v>
      </c>
      <c r="B887" s="36" t="s">
        <v>61</v>
      </c>
      <c r="C887" s="36" t="s">
        <v>399</v>
      </c>
      <c r="D887" s="36" t="s">
        <v>585</v>
      </c>
      <c r="E887" s="36" t="s">
        <v>606</v>
      </c>
      <c r="F887" s="55">
        <f>'Stavební rozpočet'!F909</f>
        <v>0</v>
      </c>
      <c r="G887" s="55">
        <f>'Stavební rozpočet'!G909</f>
        <v>16</v>
      </c>
      <c r="H887" s="55">
        <f t="shared" si="908"/>
        <v>0</v>
      </c>
      <c r="I887" s="55">
        <f t="shared" si="909"/>
        <v>0</v>
      </c>
      <c r="J887" s="55">
        <f t="shared" si="910"/>
        <v>0</v>
      </c>
      <c r="K887" s="55">
        <f>'Stavební rozpočet'!K909</f>
        <v>0</v>
      </c>
      <c r="L887" s="55">
        <f t="shared" si="911"/>
        <v>0</v>
      </c>
      <c r="M887" s="51" t="s">
        <v>622</v>
      </c>
      <c r="Z887" s="29">
        <f t="shared" si="912"/>
        <v>0</v>
      </c>
      <c r="AB887" s="29">
        <f t="shared" si="913"/>
        <v>0</v>
      </c>
      <c r="AC887" s="29">
        <f t="shared" si="914"/>
        <v>0</v>
      </c>
      <c r="AD887" s="29">
        <f t="shared" si="915"/>
        <v>0</v>
      </c>
      <c r="AE887" s="29">
        <f t="shared" si="916"/>
        <v>0</v>
      </c>
      <c r="AF887" s="29">
        <f t="shared" si="917"/>
        <v>0</v>
      </c>
      <c r="AG887" s="29">
        <f t="shared" si="918"/>
        <v>0</v>
      </c>
      <c r="AH887" s="29">
        <f t="shared" si="919"/>
        <v>0</v>
      </c>
      <c r="AI887" s="48" t="s">
        <v>61</v>
      </c>
      <c r="AJ887" s="55">
        <f t="shared" si="920"/>
        <v>0</v>
      </c>
      <c r="AK887" s="55">
        <f t="shared" si="921"/>
        <v>0</v>
      </c>
      <c r="AL887" s="55">
        <f t="shared" si="922"/>
        <v>0</v>
      </c>
      <c r="AN887" s="29">
        <v>15</v>
      </c>
      <c r="AO887" s="29">
        <f t="shared" si="923"/>
        <v>0</v>
      </c>
      <c r="AP887" s="29">
        <f t="shared" si="924"/>
        <v>16</v>
      </c>
      <c r="AQ887" s="51" t="s">
        <v>79</v>
      </c>
      <c r="AV887" s="29">
        <f t="shared" si="925"/>
        <v>0</v>
      </c>
      <c r="AW887" s="29">
        <f t="shared" si="926"/>
        <v>0</v>
      </c>
      <c r="AX887" s="29">
        <f t="shared" si="927"/>
        <v>0</v>
      </c>
      <c r="AY887" s="54" t="s">
        <v>649</v>
      </c>
      <c r="AZ887" s="54" t="s">
        <v>1643</v>
      </c>
      <c r="BA887" s="48" t="s">
        <v>1649</v>
      </c>
      <c r="BC887" s="29">
        <f t="shared" si="928"/>
        <v>0</v>
      </c>
      <c r="BD887" s="29">
        <f t="shared" si="929"/>
        <v>16</v>
      </c>
      <c r="BE887" s="29">
        <v>0</v>
      </c>
      <c r="BF887" s="29">
        <f t="shared" si="930"/>
        <v>0</v>
      </c>
      <c r="BH887" s="55">
        <f t="shared" si="931"/>
        <v>0</v>
      </c>
      <c r="BI887" s="55">
        <f t="shared" si="932"/>
        <v>0</v>
      </c>
      <c r="BJ887" s="55">
        <f t="shared" si="933"/>
        <v>0</v>
      </c>
    </row>
    <row r="888" spans="1:62" ht="12.75">
      <c r="A888" s="36" t="s">
        <v>2092</v>
      </c>
      <c r="B888" s="36" t="s">
        <v>61</v>
      </c>
      <c r="C888" s="36" t="s">
        <v>400</v>
      </c>
      <c r="D888" s="36" t="s">
        <v>586</v>
      </c>
      <c r="E888" s="36" t="s">
        <v>606</v>
      </c>
      <c r="F888" s="55">
        <f>'Stavební rozpočet'!F910</f>
        <v>0</v>
      </c>
      <c r="G888" s="55">
        <f>'Stavební rozpočet'!G910</f>
        <v>9.5</v>
      </c>
      <c r="H888" s="55">
        <f t="shared" si="908"/>
        <v>0</v>
      </c>
      <c r="I888" s="55">
        <f t="shared" si="909"/>
        <v>0</v>
      </c>
      <c r="J888" s="55">
        <f t="shared" si="910"/>
        <v>0</v>
      </c>
      <c r="K888" s="55">
        <f>'Stavební rozpočet'!K910</f>
        <v>0</v>
      </c>
      <c r="L888" s="55">
        <f t="shared" si="911"/>
        <v>0</v>
      </c>
      <c r="M888" s="51" t="s">
        <v>622</v>
      </c>
      <c r="Z888" s="29">
        <f t="shared" si="912"/>
        <v>0</v>
      </c>
      <c r="AB888" s="29">
        <f t="shared" si="913"/>
        <v>0</v>
      </c>
      <c r="AC888" s="29">
        <f t="shared" si="914"/>
        <v>0</v>
      </c>
      <c r="AD888" s="29">
        <f t="shared" si="915"/>
        <v>0</v>
      </c>
      <c r="AE888" s="29">
        <f t="shared" si="916"/>
        <v>0</v>
      </c>
      <c r="AF888" s="29">
        <f t="shared" si="917"/>
        <v>0</v>
      </c>
      <c r="AG888" s="29">
        <f t="shared" si="918"/>
        <v>0</v>
      </c>
      <c r="AH888" s="29">
        <f t="shared" si="919"/>
        <v>0</v>
      </c>
      <c r="AI888" s="48" t="s">
        <v>61</v>
      </c>
      <c r="AJ888" s="55">
        <f t="shared" si="920"/>
        <v>0</v>
      </c>
      <c r="AK888" s="55">
        <f t="shared" si="921"/>
        <v>0</v>
      </c>
      <c r="AL888" s="55">
        <f t="shared" si="922"/>
        <v>0</v>
      </c>
      <c r="AN888" s="29">
        <v>15</v>
      </c>
      <c r="AO888" s="29">
        <f t="shared" si="923"/>
        <v>0</v>
      </c>
      <c r="AP888" s="29">
        <f t="shared" si="924"/>
        <v>9.5</v>
      </c>
      <c r="AQ888" s="51" t="s">
        <v>79</v>
      </c>
      <c r="AV888" s="29">
        <f t="shared" si="925"/>
        <v>0</v>
      </c>
      <c r="AW888" s="29">
        <f t="shared" si="926"/>
        <v>0</v>
      </c>
      <c r="AX888" s="29">
        <f t="shared" si="927"/>
        <v>0</v>
      </c>
      <c r="AY888" s="54" t="s">
        <v>649</v>
      </c>
      <c r="AZ888" s="54" t="s">
        <v>1643</v>
      </c>
      <c r="BA888" s="48" t="s">
        <v>1649</v>
      </c>
      <c r="BC888" s="29">
        <f t="shared" si="928"/>
        <v>0</v>
      </c>
      <c r="BD888" s="29">
        <f t="shared" si="929"/>
        <v>9.5</v>
      </c>
      <c r="BE888" s="29">
        <v>0</v>
      </c>
      <c r="BF888" s="29">
        <f t="shared" si="930"/>
        <v>0</v>
      </c>
      <c r="BH888" s="55">
        <f t="shared" si="931"/>
        <v>0</v>
      </c>
      <c r="BI888" s="55">
        <f t="shared" si="932"/>
        <v>0</v>
      </c>
      <c r="BJ888" s="55">
        <f t="shared" si="933"/>
        <v>0</v>
      </c>
    </row>
    <row r="889" spans="1:62" ht="12.75">
      <c r="A889" s="36" t="s">
        <v>2093</v>
      </c>
      <c r="B889" s="36" t="s">
        <v>61</v>
      </c>
      <c r="C889" s="36" t="s">
        <v>401</v>
      </c>
      <c r="D889" s="36" t="s">
        <v>587</v>
      </c>
      <c r="E889" s="36" t="s">
        <v>606</v>
      </c>
      <c r="F889" s="55">
        <f>'Stavební rozpočet'!F911</f>
        <v>0</v>
      </c>
      <c r="G889" s="55">
        <f>'Stavební rozpočet'!G911</f>
        <v>6.5</v>
      </c>
      <c r="H889" s="55">
        <f t="shared" si="908"/>
        <v>0</v>
      </c>
      <c r="I889" s="55">
        <f t="shared" si="909"/>
        <v>0</v>
      </c>
      <c r="J889" s="55">
        <f t="shared" si="910"/>
        <v>0</v>
      </c>
      <c r="K889" s="55">
        <f>'Stavební rozpočet'!K911</f>
        <v>0</v>
      </c>
      <c r="L889" s="55">
        <f t="shared" si="911"/>
        <v>0</v>
      </c>
      <c r="M889" s="51" t="s">
        <v>622</v>
      </c>
      <c r="Z889" s="29">
        <f t="shared" si="912"/>
        <v>0</v>
      </c>
      <c r="AB889" s="29">
        <f t="shared" si="913"/>
        <v>0</v>
      </c>
      <c r="AC889" s="29">
        <f t="shared" si="914"/>
        <v>0</v>
      </c>
      <c r="AD889" s="29">
        <f t="shared" si="915"/>
        <v>0</v>
      </c>
      <c r="AE889" s="29">
        <f t="shared" si="916"/>
        <v>0</v>
      </c>
      <c r="AF889" s="29">
        <f t="shared" si="917"/>
        <v>0</v>
      </c>
      <c r="AG889" s="29">
        <f t="shared" si="918"/>
        <v>0</v>
      </c>
      <c r="AH889" s="29">
        <f t="shared" si="919"/>
        <v>0</v>
      </c>
      <c r="AI889" s="48" t="s">
        <v>61</v>
      </c>
      <c r="AJ889" s="55">
        <f t="shared" si="920"/>
        <v>0</v>
      </c>
      <c r="AK889" s="55">
        <f t="shared" si="921"/>
        <v>0</v>
      </c>
      <c r="AL889" s="55">
        <f t="shared" si="922"/>
        <v>0</v>
      </c>
      <c r="AN889" s="29">
        <v>15</v>
      </c>
      <c r="AO889" s="29">
        <f t="shared" si="923"/>
        <v>0</v>
      </c>
      <c r="AP889" s="29">
        <f t="shared" si="924"/>
        <v>6.5</v>
      </c>
      <c r="AQ889" s="51" t="s">
        <v>79</v>
      </c>
      <c r="AV889" s="29">
        <f t="shared" si="925"/>
        <v>0</v>
      </c>
      <c r="AW889" s="29">
        <f t="shared" si="926"/>
        <v>0</v>
      </c>
      <c r="AX889" s="29">
        <f t="shared" si="927"/>
        <v>0</v>
      </c>
      <c r="AY889" s="54" t="s">
        <v>649</v>
      </c>
      <c r="AZ889" s="54" t="s">
        <v>1643</v>
      </c>
      <c r="BA889" s="48" t="s">
        <v>1649</v>
      </c>
      <c r="BC889" s="29">
        <f t="shared" si="928"/>
        <v>0</v>
      </c>
      <c r="BD889" s="29">
        <f t="shared" si="929"/>
        <v>6.5</v>
      </c>
      <c r="BE889" s="29">
        <v>0</v>
      </c>
      <c r="BF889" s="29">
        <f t="shared" si="930"/>
        <v>0</v>
      </c>
      <c r="BH889" s="55">
        <f t="shared" si="931"/>
        <v>0</v>
      </c>
      <c r="BI889" s="55">
        <f t="shared" si="932"/>
        <v>0</v>
      </c>
      <c r="BJ889" s="55">
        <f t="shared" si="933"/>
        <v>0</v>
      </c>
    </row>
    <row r="890" spans="1:62" ht="12.75">
      <c r="A890" s="36" t="s">
        <v>2094</v>
      </c>
      <c r="B890" s="36" t="s">
        <v>61</v>
      </c>
      <c r="C890" s="36" t="s">
        <v>402</v>
      </c>
      <c r="D890" s="36" t="s">
        <v>588</v>
      </c>
      <c r="E890" s="36" t="s">
        <v>615</v>
      </c>
      <c r="F890" s="55">
        <f>'Stavební rozpočet'!F912</f>
        <v>0</v>
      </c>
      <c r="G890" s="55">
        <f>'Stavební rozpočet'!G912</f>
        <v>52</v>
      </c>
      <c r="H890" s="55">
        <f t="shared" si="908"/>
        <v>0</v>
      </c>
      <c r="I890" s="55">
        <f t="shared" si="909"/>
        <v>0</v>
      </c>
      <c r="J890" s="55">
        <f t="shared" si="910"/>
        <v>0</v>
      </c>
      <c r="K890" s="55">
        <f>'Stavební rozpočet'!K912</f>
        <v>0</v>
      </c>
      <c r="L890" s="55">
        <f t="shared" si="911"/>
        <v>0</v>
      </c>
      <c r="M890" s="51" t="s">
        <v>622</v>
      </c>
      <c r="Z890" s="29">
        <f t="shared" si="912"/>
        <v>0</v>
      </c>
      <c r="AB890" s="29">
        <f t="shared" si="913"/>
        <v>0</v>
      </c>
      <c r="AC890" s="29">
        <f t="shared" si="914"/>
        <v>0</v>
      </c>
      <c r="AD890" s="29">
        <f t="shared" si="915"/>
        <v>0</v>
      </c>
      <c r="AE890" s="29">
        <f t="shared" si="916"/>
        <v>0</v>
      </c>
      <c r="AF890" s="29">
        <f t="shared" si="917"/>
        <v>0</v>
      </c>
      <c r="AG890" s="29">
        <f t="shared" si="918"/>
        <v>0</v>
      </c>
      <c r="AH890" s="29">
        <f t="shared" si="919"/>
        <v>0</v>
      </c>
      <c r="AI890" s="48" t="s">
        <v>61</v>
      </c>
      <c r="AJ890" s="55">
        <f t="shared" si="920"/>
        <v>0</v>
      </c>
      <c r="AK890" s="55">
        <f t="shared" si="921"/>
        <v>0</v>
      </c>
      <c r="AL890" s="55">
        <f t="shared" si="922"/>
        <v>0</v>
      </c>
      <c r="AN890" s="29">
        <v>15</v>
      </c>
      <c r="AO890" s="29">
        <f t="shared" si="923"/>
        <v>0</v>
      </c>
      <c r="AP890" s="29">
        <f t="shared" si="924"/>
        <v>52</v>
      </c>
      <c r="AQ890" s="51" t="s">
        <v>79</v>
      </c>
      <c r="AV890" s="29">
        <f t="shared" si="925"/>
        <v>0</v>
      </c>
      <c r="AW890" s="29">
        <f t="shared" si="926"/>
        <v>0</v>
      </c>
      <c r="AX890" s="29">
        <f t="shared" si="927"/>
        <v>0</v>
      </c>
      <c r="AY890" s="54" t="s">
        <v>649</v>
      </c>
      <c r="AZ890" s="54" t="s">
        <v>1643</v>
      </c>
      <c r="BA890" s="48" t="s">
        <v>1649</v>
      </c>
      <c r="BC890" s="29">
        <f t="shared" si="928"/>
        <v>0</v>
      </c>
      <c r="BD890" s="29">
        <f t="shared" si="929"/>
        <v>52</v>
      </c>
      <c r="BE890" s="29">
        <v>0</v>
      </c>
      <c r="BF890" s="29">
        <f t="shared" si="930"/>
        <v>0</v>
      </c>
      <c r="BH890" s="55">
        <f t="shared" si="931"/>
        <v>0</v>
      </c>
      <c r="BI890" s="55">
        <f t="shared" si="932"/>
        <v>0</v>
      </c>
      <c r="BJ890" s="55">
        <f t="shared" si="933"/>
        <v>0</v>
      </c>
    </row>
    <row r="891" spans="1:62" ht="12.75">
      <c r="A891" s="36" t="s">
        <v>2095</v>
      </c>
      <c r="B891" s="36" t="s">
        <v>61</v>
      </c>
      <c r="C891" s="36" t="s">
        <v>403</v>
      </c>
      <c r="D891" s="36" t="s">
        <v>589</v>
      </c>
      <c r="E891" s="36" t="s">
        <v>606</v>
      </c>
      <c r="F891" s="55">
        <f>'Stavební rozpočet'!F913</f>
        <v>0</v>
      </c>
      <c r="G891" s="55">
        <f>'Stavební rozpočet'!G913</f>
        <v>200</v>
      </c>
      <c r="H891" s="55">
        <f t="shared" si="908"/>
        <v>0</v>
      </c>
      <c r="I891" s="55">
        <f t="shared" si="909"/>
        <v>0</v>
      </c>
      <c r="J891" s="55">
        <f t="shared" si="910"/>
        <v>0</v>
      </c>
      <c r="K891" s="55">
        <f>'Stavební rozpočet'!K913</f>
        <v>0</v>
      </c>
      <c r="L891" s="55">
        <f t="shared" si="911"/>
        <v>0</v>
      </c>
      <c r="M891" s="51" t="s">
        <v>622</v>
      </c>
      <c r="Z891" s="29">
        <f t="shared" si="912"/>
        <v>0</v>
      </c>
      <c r="AB891" s="29">
        <f t="shared" si="913"/>
        <v>0</v>
      </c>
      <c r="AC891" s="29">
        <f t="shared" si="914"/>
        <v>0</v>
      </c>
      <c r="AD891" s="29">
        <f t="shared" si="915"/>
        <v>0</v>
      </c>
      <c r="AE891" s="29">
        <f t="shared" si="916"/>
        <v>0</v>
      </c>
      <c r="AF891" s="29">
        <f t="shared" si="917"/>
        <v>0</v>
      </c>
      <c r="AG891" s="29">
        <f t="shared" si="918"/>
        <v>0</v>
      </c>
      <c r="AH891" s="29">
        <f t="shared" si="919"/>
        <v>0</v>
      </c>
      <c r="AI891" s="48" t="s">
        <v>61</v>
      </c>
      <c r="AJ891" s="55">
        <f t="shared" si="920"/>
        <v>0</v>
      </c>
      <c r="AK891" s="55">
        <f t="shared" si="921"/>
        <v>0</v>
      </c>
      <c r="AL891" s="55">
        <f t="shared" si="922"/>
        <v>0</v>
      </c>
      <c r="AN891" s="29">
        <v>15</v>
      </c>
      <c r="AO891" s="29">
        <f t="shared" si="923"/>
        <v>0</v>
      </c>
      <c r="AP891" s="29">
        <f t="shared" si="924"/>
        <v>200</v>
      </c>
      <c r="AQ891" s="51" t="s">
        <v>79</v>
      </c>
      <c r="AV891" s="29">
        <f t="shared" si="925"/>
        <v>0</v>
      </c>
      <c r="AW891" s="29">
        <f t="shared" si="926"/>
        <v>0</v>
      </c>
      <c r="AX891" s="29">
        <f t="shared" si="927"/>
        <v>0</v>
      </c>
      <c r="AY891" s="54" t="s">
        <v>649</v>
      </c>
      <c r="AZ891" s="54" t="s">
        <v>1643</v>
      </c>
      <c r="BA891" s="48" t="s">
        <v>1649</v>
      </c>
      <c r="BC891" s="29">
        <f t="shared" si="928"/>
        <v>0</v>
      </c>
      <c r="BD891" s="29">
        <f t="shared" si="929"/>
        <v>200</v>
      </c>
      <c r="BE891" s="29">
        <v>0</v>
      </c>
      <c r="BF891" s="29">
        <f t="shared" si="930"/>
        <v>0</v>
      </c>
      <c r="BH891" s="55">
        <f t="shared" si="931"/>
        <v>0</v>
      </c>
      <c r="BI891" s="55">
        <f t="shared" si="932"/>
        <v>0</v>
      </c>
      <c r="BJ891" s="55">
        <f t="shared" si="933"/>
        <v>0</v>
      </c>
    </row>
    <row r="892" spans="1:62" ht="12.75">
      <c r="A892" s="36" t="s">
        <v>2096</v>
      </c>
      <c r="B892" s="36" t="s">
        <v>61</v>
      </c>
      <c r="C892" s="36" t="s">
        <v>404</v>
      </c>
      <c r="D892" s="36" t="s">
        <v>590</v>
      </c>
      <c r="E892" s="36" t="s">
        <v>606</v>
      </c>
      <c r="F892" s="55">
        <f>'Stavební rozpočet'!F914</f>
        <v>0</v>
      </c>
      <c r="G892" s="55">
        <f>'Stavební rozpočet'!G914</f>
        <v>274</v>
      </c>
      <c r="H892" s="55">
        <f t="shared" si="908"/>
        <v>0</v>
      </c>
      <c r="I892" s="55">
        <f t="shared" si="909"/>
        <v>0</v>
      </c>
      <c r="J892" s="55">
        <f t="shared" si="910"/>
        <v>0</v>
      </c>
      <c r="K892" s="55">
        <f>'Stavební rozpočet'!K914</f>
        <v>0</v>
      </c>
      <c r="L892" s="55">
        <f t="shared" si="911"/>
        <v>0</v>
      </c>
      <c r="M892" s="51" t="s">
        <v>622</v>
      </c>
      <c r="Z892" s="29">
        <f t="shared" si="912"/>
        <v>0</v>
      </c>
      <c r="AB892" s="29">
        <f t="shared" si="913"/>
        <v>0</v>
      </c>
      <c r="AC892" s="29">
        <f t="shared" si="914"/>
        <v>0</v>
      </c>
      <c r="AD892" s="29">
        <f t="shared" si="915"/>
        <v>0</v>
      </c>
      <c r="AE892" s="29">
        <f t="shared" si="916"/>
        <v>0</v>
      </c>
      <c r="AF892" s="29">
        <f t="shared" si="917"/>
        <v>0</v>
      </c>
      <c r="AG892" s="29">
        <f t="shared" si="918"/>
        <v>0</v>
      </c>
      <c r="AH892" s="29">
        <f t="shared" si="919"/>
        <v>0</v>
      </c>
      <c r="AI892" s="48" t="s">
        <v>61</v>
      </c>
      <c r="AJ892" s="55">
        <f t="shared" si="920"/>
        <v>0</v>
      </c>
      <c r="AK892" s="55">
        <f t="shared" si="921"/>
        <v>0</v>
      </c>
      <c r="AL892" s="55">
        <f t="shared" si="922"/>
        <v>0</v>
      </c>
      <c r="AN892" s="29">
        <v>15</v>
      </c>
      <c r="AO892" s="29">
        <f t="shared" si="923"/>
        <v>0</v>
      </c>
      <c r="AP892" s="29">
        <f t="shared" si="924"/>
        <v>274</v>
      </c>
      <c r="AQ892" s="51" t="s">
        <v>79</v>
      </c>
      <c r="AV892" s="29">
        <f t="shared" si="925"/>
        <v>0</v>
      </c>
      <c r="AW892" s="29">
        <f t="shared" si="926"/>
        <v>0</v>
      </c>
      <c r="AX892" s="29">
        <f t="shared" si="927"/>
        <v>0</v>
      </c>
      <c r="AY892" s="54" t="s">
        <v>649</v>
      </c>
      <c r="AZ892" s="54" t="s">
        <v>1643</v>
      </c>
      <c r="BA892" s="48" t="s">
        <v>1649</v>
      </c>
      <c r="BC892" s="29">
        <f t="shared" si="928"/>
        <v>0</v>
      </c>
      <c r="BD892" s="29">
        <f t="shared" si="929"/>
        <v>274</v>
      </c>
      <c r="BE892" s="29">
        <v>0</v>
      </c>
      <c r="BF892" s="29">
        <f t="shared" si="930"/>
        <v>0</v>
      </c>
      <c r="BH892" s="55">
        <f t="shared" si="931"/>
        <v>0</v>
      </c>
      <c r="BI892" s="55">
        <f t="shared" si="932"/>
        <v>0</v>
      </c>
      <c r="BJ892" s="55">
        <f t="shared" si="933"/>
        <v>0</v>
      </c>
    </row>
    <row r="893" spans="1:62" ht="12.75">
      <c r="A893" s="36" t="s">
        <v>2097</v>
      </c>
      <c r="B893" s="36" t="s">
        <v>61</v>
      </c>
      <c r="C893" s="36" t="s">
        <v>1220</v>
      </c>
      <c r="D893" s="36" t="s">
        <v>1520</v>
      </c>
      <c r="E893" s="36" t="s">
        <v>606</v>
      </c>
      <c r="F893" s="55">
        <f>'Stavební rozpočet'!F915</f>
        <v>0</v>
      </c>
      <c r="G893" s="55">
        <f>'Stavební rozpočet'!G915</f>
        <v>1180</v>
      </c>
      <c r="H893" s="55">
        <f t="shared" si="908"/>
        <v>0</v>
      </c>
      <c r="I893" s="55">
        <f t="shared" si="909"/>
        <v>0</v>
      </c>
      <c r="J893" s="55">
        <f t="shared" si="910"/>
        <v>0</v>
      </c>
      <c r="K893" s="55">
        <f>'Stavební rozpočet'!K915</f>
        <v>0</v>
      </c>
      <c r="L893" s="55">
        <f t="shared" si="911"/>
        <v>0</v>
      </c>
      <c r="M893" s="51" t="s">
        <v>622</v>
      </c>
      <c r="Z893" s="29">
        <f t="shared" si="912"/>
        <v>0</v>
      </c>
      <c r="AB893" s="29">
        <f t="shared" si="913"/>
        <v>0</v>
      </c>
      <c r="AC893" s="29">
        <f t="shared" si="914"/>
        <v>0</v>
      </c>
      <c r="AD893" s="29">
        <f t="shared" si="915"/>
        <v>0</v>
      </c>
      <c r="AE893" s="29">
        <f t="shared" si="916"/>
        <v>0</v>
      </c>
      <c r="AF893" s="29">
        <f t="shared" si="917"/>
        <v>0</v>
      </c>
      <c r="AG893" s="29">
        <f t="shared" si="918"/>
        <v>0</v>
      </c>
      <c r="AH893" s="29">
        <f t="shared" si="919"/>
        <v>0</v>
      </c>
      <c r="AI893" s="48" t="s">
        <v>61</v>
      </c>
      <c r="AJ893" s="55">
        <f t="shared" si="920"/>
        <v>0</v>
      </c>
      <c r="AK893" s="55">
        <f t="shared" si="921"/>
        <v>0</v>
      </c>
      <c r="AL893" s="55">
        <f t="shared" si="922"/>
        <v>0</v>
      </c>
      <c r="AN893" s="29">
        <v>15</v>
      </c>
      <c r="AO893" s="29">
        <f t="shared" si="923"/>
        <v>0</v>
      </c>
      <c r="AP893" s="29">
        <f t="shared" si="924"/>
        <v>1180</v>
      </c>
      <c r="AQ893" s="51" t="s">
        <v>79</v>
      </c>
      <c r="AV893" s="29">
        <f t="shared" si="925"/>
        <v>0</v>
      </c>
      <c r="AW893" s="29">
        <f t="shared" si="926"/>
        <v>0</v>
      </c>
      <c r="AX893" s="29">
        <f t="shared" si="927"/>
        <v>0</v>
      </c>
      <c r="AY893" s="54" t="s">
        <v>649</v>
      </c>
      <c r="AZ893" s="54" t="s">
        <v>1643</v>
      </c>
      <c r="BA893" s="48" t="s">
        <v>1649</v>
      </c>
      <c r="BC893" s="29">
        <f t="shared" si="928"/>
        <v>0</v>
      </c>
      <c r="BD893" s="29">
        <f t="shared" si="929"/>
        <v>1180</v>
      </c>
      <c r="BE893" s="29">
        <v>0</v>
      </c>
      <c r="BF893" s="29">
        <f t="shared" si="930"/>
        <v>0</v>
      </c>
      <c r="BH893" s="55">
        <f t="shared" si="931"/>
        <v>0</v>
      </c>
      <c r="BI893" s="55">
        <f t="shared" si="932"/>
        <v>0</v>
      </c>
      <c r="BJ893" s="55">
        <f t="shared" si="933"/>
        <v>0</v>
      </c>
    </row>
    <row r="894" spans="1:62" ht="12.75">
      <c r="A894" s="36" t="s">
        <v>2098</v>
      </c>
      <c r="B894" s="36" t="s">
        <v>61</v>
      </c>
      <c r="C894" s="36" t="s">
        <v>405</v>
      </c>
      <c r="D894" s="36" t="s">
        <v>591</v>
      </c>
      <c r="E894" s="36" t="s">
        <v>606</v>
      </c>
      <c r="F894" s="55">
        <f>'Stavební rozpočet'!F916</f>
        <v>0</v>
      </c>
      <c r="G894" s="55">
        <f>'Stavební rozpočet'!G916</f>
        <v>1652</v>
      </c>
      <c r="H894" s="55">
        <f t="shared" si="908"/>
        <v>0</v>
      </c>
      <c r="I894" s="55">
        <f t="shared" si="909"/>
        <v>0</v>
      </c>
      <c r="J894" s="55">
        <f t="shared" si="910"/>
        <v>0</v>
      </c>
      <c r="K894" s="55">
        <f>'Stavební rozpočet'!K916</f>
        <v>0</v>
      </c>
      <c r="L894" s="55">
        <f t="shared" si="911"/>
        <v>0</v>
      </c>
      <c r="M894" s="51" t="s">
        <v>622</v>
      </c>
      <c r="Z894" s="29">
        <f t="shared" si="912"/>
        <v>0</v>
      </c>
      <c r="AB894" s="29">
        <f t="shared" si="913"/>
        <v>0</v>
      </c>
      <c r="AC894" s="29">
        <f t="shared" si="914"/>
        <v>0</v>
      </c>
      <c r="AD894" s="29">
        <f t="shared" si="915"/>
        <v>0</v>
      </c>
      <c r="AE894" s="29">
        <f t="shared" si="916"/>
        <v>0</v>
      </c>
      <c r="AF894" s="29">
        <f t="shared" si="917"/>
        <v>0</v>
      </c>
      <c r="AG894" s="29">
        <f t="shared" si="918"/>
        <v>0</v>
      </c>
      <c r="AH894" s="29">
        <f t="shared" si="919"/>
        <v>0</v>
      </c>
      <c r="AI894" s="48" t="s">
        <v>61</v>
      </c>
      <c r="AJ894" s="55">
        <f t="shared" si="920"/>
        <v>0</v>
      </c>
      <c r="AK894" s="55">
        <f t="shared" si="921"/>
        <v>0</v>
      </c>
      <c r="AL894" s="55">
        <f t="shared" si="922"/>
        <v>0</v>
      </c>
      <c r="AN894" s="29">
        <v>15</v>
      </c>
      <c r="AO894" s="29">
        <f t="shared" si="923"/>
        <v>0</v>
      </c>
      <c r="AP894" s="29">
        <f t="shared" si="924"/>
        <v>1652</v>
      </c>
      <c r="AQ894" s="51" t="s">
        <v>79</v>
      </c>
      <c r="AV894" s="29">
        <f t="shared" si="925"/>
        <v>0</v>
      </c>
      <c r="AW894" s="29">
        <f t="shared" si="926"/>
        <v>0</v>
      </c>
      <c r="AX894" s="29">
        <f t="shared" si="927"/>
        <v>0</v>
      </c>
      <c r="AY894" s="54" t="s">
        <v>649</v>
      </c>
      <c r="AZ894" s="54" t="s">
        <v>1643</v>
      </c>
      <c r="BA894" s="48" t="s">
        <v>1649</v>
      </c>
      <c r="BC894" s="29">
        <f t="shared" si="928"/>
        <v>0</v>
      </c>
      <c r="BD894" s="29">
        <f t="shared" si="929"/>
        <v>1652</v>
      </c>
      <c r="BE894" s="29">
        <v>0</v>
      </c>
      <c r="BF894" s="29">
        <f t="shared" si="930"/>
        <v>0</v>
      </c>
      <c r="BH894" s="55">
        <f t="shared" si="931"/>
        <v>0</v>
      </c>
      <c r="BI894" s="55">
        <f t="shared" si="932"/>
        <v>0</v>
      </c>
      <c r="BJ894" s="55">
        <f t="shared" si="933"/>
        <v>0</v>
      </c>
    </row>
    <row r="895" spans="1:62" ht="12.75">
      <c r="A895" s="36" t="s">
        <v>2099</v>
      </c>
      <c r="B895" s="36" t="s">
        <v>61</v>
      </c>
      <c r="C895" s="36" t="s">
        <v>406</v>
      </c>
      <c r="D895" s="36" t="s">
        <v>592</v>
      </c>
      <c r="E895" s="36" t="s">
        <v>606</v>
      </c>
      <c r="F895" s="55">
        <f>'Stavební rozpočet'!F917</f>
        <v>0</v>
      </c>
      <c r="G895" s="55">
        <f>'Stavební rozpočet'!G917</f>
        <v>1760</v>
      </c>
      <c r="H895" s="55">
        <f t="shared" si="908"/>
        <v>0</v>
      </c>
      <c r="I895" s="55">
        <f t="shared" si="909"/>
        <v>0</v>
      </c>
      <c r="J895" s="55">
        <f t="shared" si="910"/>
        <v>0</v>
      </c>
      <c r="K895" s="55">
        <f>'Stavební rozpočet'!K917</f>
        <v>0</v>
      </c>
      <c r="L895" s="55">
        <f t="shared" si="911"/>
        <v>0</v>
      </c>
      <c r="M895" s="51" t="s">
        <v>622</v>
      </c>
      <c r="Z895" s="29">
        <f t="shared" si="912"/>
        <v>0</v>
      </c>
      <c r="AB895" s="29">
        <f t="shared" si="913"/>
        <v>0</v>
      </c>
      <c r="AC895" s="29">
        <f t="shared" si="914"/>
        <v>0</v>
      </c>
      <c r="AD895" s="29">
        <f t="shared" si="915"/>
        <v>0</v>
      </c>
      <c r="AE895" s="29">
        <f t="shared" si="916"/>
        <v>0</v>
      </c>
      <c r="AF895" s="29">
        <f t="shared" si="917"/>
        <v>0</v>
      </c>
      <c r="AG895" s="29">
        <f t="shared" si="918"/>
        <v>0</v>
      </c>
      <c r="AH895" s="29">
        <f t="shared" si="919"/>
        <v>0</v>
      </c>
      <c r="AI895" s="48" t="s">
        <v>61</v>
      </c>
      <c r="AJ895" s="55">
        <f t="shared" si="920"/>
        <v>0</v>
      </c>
      <c r="AK895" s="55">
        <f t="shared" si="921"/>
        <v>0</v>
      </c>
      <c r="AL895" s="55">
        <f t="shared" si="922"/>
        <v>0</v>
      </c>
      <c r="AN895" s="29">
        <v>15</v>
      </c>
      <c r="AO895" s="29">
        <f t="shared" si="923"/>
        <v>0</v>
      </c>
      <c r="AP895" s="29">
        <f t="shared" si="924"/>
        <v>1760</v>
      </c>
      <c r="AQ895" s="51" t="s">
        <v>79</v>
      </c>
      <c r="AV895" s="29">
        <f t="shared" si="925"/>
        <v>0</v>
      </c>
      <c r="AW895" s="29">
        <f t="shared" si="926"/>
        <v>0</v>
      </c>
      <c r="AX895" s="29">
        <f t="shared" si="927"/>
        <v>0</v>
      </c>
      <c r="AY895" s="54" t="s">
        <v>649</v>
      </c>
      <c r="AZ895" s="54" t="s">
        <v>1643</v>
      </c>
      <c r="BA895" s="48" t="s">
        <v>1649</v>
      </c>
      <c r="BC895" s="29">
        <f t="shared" si="928"/>
        <v>0</v>
      </c>
      <c r="BD895" s="29">
        <f t="shared" si="929"/>
        <v>1760.0000000000002</v>
      </c>
      <c r="BE895" s="29">
        <v>0</v>
      </c>
      <c r="BF895" s="29">
        <f t="shared" si="930"/>
        <v>0</v>
      </c>
      <c r="BH895" s="55">
        <f t="shared" si="931"/>
        <v>0</v>
      </c>
      <c r="BI895" s="55">
        <f t="shared" si="932"/>
        <v>0</v>
      </c>
      <c r="BJ895" s="55">
        <f t="shared" si="933"/>
        <v>0</v>
      </c>
    </row>
    <row r="896" spans="1:62" ht="12.75">
      <c r="A896" s="36" t="s">
        <v>2100</v>
      </c>
      <c r="B896" s="36" t="s">
        <v>61</v>
      </c>
      <c r="C896" s="36" t="s">
        <v>407</v>
      </c>
      <c r="D896" s="36" t="s">
        <v>593</v>
      </c>
      <c r="E896" s="36" t="s">
        <v>606</v>
      </c>
      <c r="F896" s="55">
        <f>'Stavební rozpočet'!F918</f>
        <v>0</v>
      </c>
      <c r="G896" s="55">
        <f>'Stavební rozpočet'!G918</f>
        <v>1412</v>
      </c>
      <c r="H896" s="55">
        <f t="shared" si="908"/>
        <v>0</v>
      </c>
      <c r="I896" s="55">
        <f t="shared" si="909"/>
        <v>0</v>
      </c>
      <c r="J896" s="55">
        <f t="shared" si="910"/>
        <v>0</v>
      </c>
      <c r="K896" s="55">
        <f>'Stavební rozpočet'!K918</f>
        <v>0</v>
      </c>
      <c r="L896" s="55">
        <f t="shared" si="911"/>
        <v>0</v>
      </c>
      <c r="M896" s="51" t="s">
        <v>622</v>
      </c>
      <c r="Z896" s="29">
        <f t="shared" si="912"/>
        <v>0</v>
      </c>
      <c r="AB896" s="29">
        <f t="shared" si="913"/>
        <v>0</v>
      </c>
      <c r="AC896" s="29">
        <f t="shared" si="914"/>
        <v>0</v>
      </c>
      <c r="AD896" s="29">
        <f t="shared" si="915"/>
        <v>0</v>
      </c>
      <c r="AE896" s="29">
        <f t="shared" si="916"/>
        <v>0</v>
      </c>
      <c r="AF896" s="29">
        <f t="shared" si="917"/>
        <v>0</v>
      </c>
      <c r="AG896" s="29">
        <f t="shared" si="918"/>
        <v>0</v>
      </c>
      <c r="AH896" s="29">
        <f t="shared" si="919"/>
        <v>0</v>
      </c>
      <c r="AI896" s="48" t="s">
        <v>61</v>
      </c>
      <c r="AJ896" s="55">
        <f t="shared" si="920"/>
        <v>0</v>
      </c>
      <c r="AK896" s="55">
        <f t="shared" si="921"/>
        <v>0</v>
      </c>
      <c r="AL896" s="55">
        <f t="shared" si="922"/>
        <v>0</v>
      </c>
      <c r="AN896" s="29">
        <v>15</v>
      </c>
      <c r="AO896" s="29">
        <f t="shared" si="923"/>
        <v>0</v>
      </c>
      <c r="AP896" s="29">
        <f t="shared" si="924"/>
        <v>1412</v>
      </c>
      <c r="AQ896" s="51" t="s">
        <v>79</v>
      </c>
      <c r="AV896" s="29">
        <f t="shared" si="925"/>
        <v>0</v>
      </c>
      <c r="AW896" s="29">
        <f t="shared" si="926"/>
        <v>0</v>
      </c>
      <c r="AX896" s="29">
        <f t="shared" si="927"/>
        <v>0</v>
      </c>
      <c r="AY896" s="54" t="s">
        <v>649</v>
      </c>
      <c r="AZ896" s="54" t="s">
        <v>1643</v>
      </c>
      <c r="BA896" s="48" t="s">
        <v>1649</v>
      </c>
      <c r="BC896" s="29">
        <f t="shared" si="928"/>
        <v>0</v>
      </c>
      <c r="BD896" s="29">
        <f t="shared" si="929"/>
        <v>1412</v>
      </c>
      <c r="BE896" s="29">
        <v>0</v>
      </c>
      <c r="BF896" s="29">
        <f t="shared" si="930"/>
        <v>0</v>
      </c>
      <c r="BH896" s="55">
        <f t="shared" si="931"/>
        <v>0</v>
      </c>
      <c r="BI896" s="55">
        <f t="shared" si="932"/>
        <v>0</v>
      </c>
      <c r="BJ896" s="55">
        <f t="shared" si="933"/>
        <v>0</v>
      </c>
    </row>
    <row r="897" spans="1:62" ht="12.75">
      <c r="A897" s="36" t="s">
        <v>2101</v>
      </c>
      <c r="B897" s="36" t="s">
        <v>61</v>
      </c>
      <c r="C897" s="36" t="s">
        <v>408</v>
      </c>
      <c r="D897" s="36" t="s">
        <v>594</v>
      </c>
      <c r="E897" s="36" t="s">
        <v>606</v>
      </c>
      <c r="F897" s="55">
        <f>'Stavební rozpočet'!F919</f>
        <v>0</v>
      </c>
      <c r="G897" s="55">
        <f>'Stavební rozpočet'!G919</f>
        <v>215</v>
      </c>
      <c r="H897" s="55">
        <f t="shared" si="908"/>
        <v>0</v>
      </c>
      <c r="I897" s="55">
        <f t="shared" si="909"/>
        <v>0</v>
      </c>
      <c r="J897" s="55">
        <f t="shared" si="910"/>
        <v>0</v>
      </c>
      <c r="K897" s="55">
        <f>'Stavební rozpočet'!K919</f>
        <v>0</v>
      </c>
      <c r="L897" s="55">
        <f t="shared" si="911"/>
        <v>0</v>
      </c>
      <c r="M897" s="51" t="s">
        <v>622</v>
      </c>
      <c r="Z897" s="29">
        <f t="shared" si="912"/>
        <v>0</v>
      </c>
      <c r="AB897" s="29">
        <f t="shared" si="913"/>
        <v>0</v>
      </c>
      <c r="AC897" s="29">
        <f t="shared" si="914"/>
        <v>0</v>
      </c>
      <c r="AD897" s="29">
        <f t="shared" si="915"/>
        <v>0</v>
      </c>
      <c r="AE897" s="29">
        <f t="shared" si="916"/>
        <v>0</v>
      </c>
      <c r="AF897" s="29">
        <f t="shared" si="917"/>
        <v>0</v>
      </c>
      <c r="AG897" s="29">
        <f t="shared" si="918"/>
        <v>0</v>
      </c>
      <c r="AH897" s="29">
        <f t="shared" si="919"/>
        <v>0</v>
      </c>
      <c r="AI897" s="48" t="s">
        <v>61</v>
      </c>
      <c r="AJ897" s="55">
        <f t="shared" si="920"/>
        <v>0</v>
      </c>
      <c r="AK897" s="55">
        <f t="shared" si="921"/>
        <v>0</v>
      </c>
      <c r="AL897" s="55">
        <f t="shared" si="922"/>
        <v>0</v>
      </c>
      <c r="AN897" s="29">
        <v>15</v>
      </c>
      <c r="AO897" s="29">
        <f t="shared" si="923"/>
        <v>0</v>
      </c>
      <c r="AP897" s="29">
        <f t="shared" si="924"/>
        <v>215</v>
      </c>
      <c r="AQ897" s="51" t="s">
        <v>79</v>
      </c>
      <c r="AV897" s="29">
        <f t="shared" si="925"/>
        <v>0</v>
      </c>
      <c r="AW897" s="29">
        <f t="shared" si="926"/>
        <v>0</v>
      </c>
      <c r="AX897" s="29">
        <f t="shared" si="927"/>
        <v>0</v>
      </c>
      <c r="AY897" s="54" t="s">
        <v>649</v>
      </c>
      <c r="AZ897" s="54" t="s">
        <v>1643</v>
      </c>
      <c r="BA897" s="48" t="s">
        <v>1649</v>
      </c>
      <c r="BC897" s="29">
        <f t="shared" si="928"/>
        <v>0</v>
      </c>
      <c r="BD897" s="29">
        <f t="shared" si="929"/>
        <v>215</v>
      </c>
      <c r="BE897" s="29">
        <v>0</v>
      </c>
      <c r="BF897" s="29">
        <f t="shared" si="930"/>
        <v>0</v>
      </c>
      <c r="BH897" s="55">
        <f t="shared" si="931"/>
        <v>0</v>
      </c>
      <c r="BI897" s="55">
        <f t="shared" si="932"/>
        <v>0</v>
      </c>
      <c r="BJ897" s="55">
        <f t="shared" si="933"/>
        <v>0</v>
      </c>
    </row>
    <row r="898" spans="1:62" ht="12.75">
      <c r="A898" s="36" t="s">
        <v>2102</v>
      </c>
      <c r="B898" s="36" t="s">
        <v>61</v>
      </c>
      <c r="C898" s="36" t="s">
        <v>409</v>
      </c>
      <c r="D898" s="36" t="s">
        <v>595</v>
      </c>
      <c r="E898" s="36" t="s">
        <v>606</v>
      </c>
      <c r="F898" s="55">
        <f>'Stavební rozpočet'!F920</f>
        <v>0</v>
      </c>
      <c r="G898" s="55">
        <f>'Stavební rozpočet'!G920</f>
        <v>2110</v>
      </c>
      <c r="H898" s="55">
        <f t="shared" si="908"/>
        <v>0</v>
      </c>
      <c r="I898" s="55">
        <f t="shared" si="909"/>
        <v>0</v>
      </c>
      <c r="J898" s="55">
        <f t="shared" si="910"/>
        <v>0</v>
      </c>
      <c r="K898" s="55">
        <f>'Stavební rozpočet'!K920</f>
        <v>0</v>
      </c>
      <c r="L898" s="55">
        <f t="shared" si="911"/>
        <v>0</v>
      </c>
      <c r="M898" s="51" t="s">
        <v>622</v>
      </c>
      <c r="Z898" s="29">
        <f t="shared" si="912"/>
        <v>0</v>
      </c>
      <c r="AB898" s="29">
        <f t="shared" si="913"/>
        <v>0</v>
      </c>
      <c r="AC898" s="29">
        <f t="shared" si="914"/>
        <v>0</v>
      </c>
      <c r="AD898" s="29">
        <f t="shared" si="915"/>
        <v>0</v>
      </c>
      <c r="AE898" s="29">
        <f t="shared" si="916"/>
        <v>0</v>
      </c>
      <c r="AF898" s="29">
        <f t="shared" si="917"/>
        <v>0</v>
      </c>
      <c r="AG898" s="29">
        <f t="shared" si="918"/>
        <v>0</v>
      </c>
      <c r="AH898" s="29">
        <f t="shared" si="919"/>
        <v>0</v>
      </c>
      <c r="AI898" s="48" t="s">
        <v>61</v>
      </c>
      <c r="AJ898" s="55">
        <f t="shared" si="920"/>
        <v>0</v>
      </c>
      <c r="AK898" s="55">
        <f t="shared" si="921"/>
        <v>0</v>
      </c>
      <c r="AL898" s="55">
        <f t="shared" si="922"/>
        <v>0</v>
      </c>
      <c r="AN898" s="29">
        <v>15</v>
      </c>
      <c r="AO898" s="29">
        <f t="shared" si="923"/>
        <v>0</v>
      </c>
      <c r="AP898" s="29">
        <f t="shared" si="924"/>
        <v>2110</v>
      </c>
      <c r="AQ898" s="51" t="s">
        <v>79</v>
      </c>
      <c r="AV898" s="29">
        <f t="shared" si="925"/>
        <v>0</v>
      </c>
      <c r="AW898" s="29">
        <f t="shared" si="926"/>
        <v>0</v>
      </c>
      <c r="AX898" s="29">
        <f t="shared" si="927"/>
        <v>0</v>
      </c>
      <c r="AY898" s="54" t="s">
        <v>649</v>
      </c>
      <c r="AZ898" s="54" t="s">
        <v>1643</v>
      </c>
      <c r="BA898" s="48" t="s">
        <v>1649</v>
      </c>
      <c r="BC898" s="29">
        <f t="shared" si="928"/>
        <v>0</v>
      </c>
      <c r="BD898" s="29">
        <f t="shared" si="929"/>
        <v>2110</v>
      </c>
      <c r="BE898" s="29">
        <v>0</v>
      </c>
      <c r="BF898" s="29">
        <f t="shared" si="930"/>
        <v>0</v>
      </c>
      <c r="BH898" s="55">
        <f t="shared" si="931"/>
        <v>0</v>
      </c>
      <c r="BI898" s="55">
        <f t="shared" si="932"/>
        <v>0</v>
      </c>
      <c r="BJ898" s="55">
        <f t="shared" si="933"/>
        <v>0</v>
      </c>
    </row>
    <row r="899" spans="1:62" ht="12.75">
      <c r="A899" s="36" t="s">
        <v>2103</v>
      </c>
      <c r="B899" s="36" t="s">
        <v>61</v>
      </c>
      <c r="C899" s="36" t="s">
        <v>410</v>
      </c>
      <c r="D899" s="36" t="s">
        <v>596</v>
      </c>
      <c r="E899" s="36" t="s">
        <v>611</v>
      </c>
      <c r="F899" s="55">
        <f>'Stavební rozpočet'!F921</f>
        <v>0</v>
      </c>
      <c r="G899" s="55">
        <f>'Stavební rozpočet'!G921</f>
        <v>400</v>
      </c>
      <c r="H899" s="55">
        <f t="shared" si="908"/>
        <v>0</v>
      </c>
      <c r="I899" s="55">
        <f t="shared" si="909"/>
        <v>0</v>
      </c>
      <c r="J899" s="55">
        <f t="shared" si="910"/>
        <v>0</v>
      </c>
      <c r="K899" s="55">
        <f>'Stavební rozpočet'!K921</f>
        <v>0</v>
      </c>
      <c r="L899" s="55">
        <f t="shared" si="911"/>
        <v>0</v>
      </c>
      <c r="M899" s="51" t="s">
        <v>622</v>
      </c>
      <c r="Z899" s="29">
        <f t="shared" si="912"/>
        <v>0</v>
      </c>
      <c r="AB899" s="29">
        <f t="shared" si="913"/>
        <v>0</v>
      </c>
      <c r="AC899" s="29">
        <f t="shared" si="914"/>
        <v>0</v>
      </c>
      <c r="AD899" s="29">
        <f t="shared" si="915"/>
        <v>0</v>
      </c>
      <c r="AE899" s="29">
        <f t="shared" si="916"/>
        <v>0</v>
      </c>
      <c r="AF899" s="29">
        <f t="shared" si="917"/>
        <v>0</v>
      </c>
      <c r="AG899" s="29">
        <f t="shared" si="918"/>
        <v>0</v>
      </c>
      <c r="AH899" s="29">
        <f t="shared" si="919"/>
        <v>0</v>
      </c>
      <c r="AI899" s="48" t="s">
        <v>61</v>
      </c>
      <c r="AJ899" s="55">
        <f t="shared" si="920"/>
        <v>0</v>
      </c>
      <c r="AK899" s="55">
        <f t="shared" si="921"/>
        <v>0</v>
      </c>
      <c r="AL899" s="55">
        <f t="shared" si="922"/>
        <v>0</v>
      </c>
      <c r="AN899" s="29">
        <v>15</v>
      </c>
      <c r="AO899" s="29">
        <f t="shared" si="923"/>
        <v>0</v>
      </c>
      <c r="AP899" s="29">
        <f t="shared" si="924"/>
        <v>400</v>
      </c>
      <c r="AQ899" s="51" t="s">
        <v>79</v>
      </c>
      <c r="AV899" s="29">
        <f t="shared" si="925"/>
        <v>0</v>
      </c>
      <c r="AW899" s="29">
        <f t="shared" si="926"/>
        <v>0</v>
      </c>
      <c r="AX899" s="29">
        <f t="shared" si="927"/>
        <v>0</v>
      </c>
      <c r="AY899" s="54" t="s">
        <v>649</v>
      </c>
      <c r="AZ899" s="54" t="s">
        <v>1643</v>
      </c>
      <c r="BA899" s="48" t="s">
        <v>1649</v>
      </c>
      <c r="BC899" s="29">
        <f t="shared" si="928"/>
        <v>0</v>
      </c>
      <c r="BD899" s="29">
        <f t="shared" si="929"/>
        <v>400</v>
      </c>
      <c r="BE899" s="29">
        <v>0</v>
      </c>
      <c r="BF899" s="29">
        <f t="shared" si="930"/>
        <v>0</v>
      </c>
      <c r="BH899" s="55">
        <f t="shared" si="931"/>
        <v>0</v>
      </c>
      <c r="BI899" s="55">
        <f t="shared" si="932"/>
        <v>0</v>
      </c>
      <c r="BJ899" s="55">
        <f t="shared" si="933"/>
        <v>0</v>
      </c>
    </row>
    <row r="900" spans="1:62" ht="12.75">
      <c r="A900" s="36" t="s">
        <v>2104</v>
      </c>
      <c r="B900" s="36" t="s">
        <v>61</v>
      </c>
      <c r="C900" s="36" t="s">
        <v>411</v>
      </c>
      <c r="D900" s="36" t="s">
        <v>597</v>
      </c>
      <c r="E900" s="36" t="s">
        <v>614</v>
      </c>
      <c r="F900" s="55">
        <f>'Stavební rozpočet'!F922</f>
        <v>0</v>
      </c>
      <c r="G900" s="55">
        <f>'Stavební rozpočet'!G922</f>
        <v>1050</v>
      </c>
      <c r="H900" s="55">
        <f t="shared" si="908"/>
        <v>0</v>
      </c>
      <c r="I900" s="55">
        <f t="shared" si="909"/>
        <v>0</v>
      </c>
      <c r="J900" s="55">
        <f t="shared" si="910"/>
        <v>0</v>
      </c>
      <c r="K900" s="55">
        <f>'Stavební rozpočet'!K922</f>
        <v>0</v>
      </c>
      <c r="L900" s="55">
        <f t="shared" si="911"/>
        <v>0</v>
      </c>
      <c r="M900" s="51" t="s">
        <v>622</v>
      </c>
      <c r="Z900" s="29">
        <f t="shared" si="912"/>
        <v>0</v>
      </c>
      <c r="AB900" s="29">
        <f t="shared" si="913"/>
        <v>0</v>
      </c>
      <c r="AC900" s="29">
        <f t="shared" si="914"/>
        <v>0</v>
      </c>
      <c r="AD900" s="29">
        <f t="shared" si="915"/>
        <v>0</v>
      </c>
      <c r="AE900" s="29">
        <f t="shared" si="916"/>
        <v>0</v>
      </c>
      <c r="AF900" s="29">
        <f t="shared" si="917"/>
        <v>0</v>
      </c>
      <c r="AG900" s="29">
        <f t="shared" si="918"/>
        <v>0</v>
      </c>
      <c r="AH900" s="29">
        <f t="shared" si="919"/>
        <v>0</v>
      </c>
      <c r="AI900" s="48" t="s">
        <v>61</v>
      </c>
      <c r="AJ900" s="55">
        <f t="shared" si="920"/>
        <v>0</v>
      </c>
      <c r="AK900" s="55">
        <f t="shared" si="921"/>
        <v>0</v>
      </c>
      <c r="AL900" s="55">
        <f t="shared" si="922"/>
        <v>0</v>
      </c>
      <c r="AN900" s="29">
        <v>15</v>
      </c>
      <c r="AO900" s="29">
        <f t="shared" si="923"/>
        <v>0</v>
      </c>
      <c r="AP900" s="29">
        <f t="shared" si="924"/>
        <v>1050</v>
      </c>
      <c r="AQ900" s="51" t="s">
        <v>79</v>
      </c>
      <c r="AV900" s="29">
        <f t="shared" si="925"/>
        <v>0</v>
      </c>
      <c r="AW900" s="29">
        <f t="shared" si="926"/>
        <v>0</v>
      </c>
      <c r="AX900" s="29">
        <f t="shared" si="927"/>
        <v>0</v>
      </c>
      <c r="AY900" s="54" t="s">
        <v>649</v>
      </c>
      <c r="AZ900" s="54" t="s">
        <v>1643</v>
      </c>
      <c r="BA900" s="48" t="s">
        <v>1649</v>
      </c>
      <c r="BC900" s="29">
        <f t="shared" si="928"/>
        <v>0</v>
      </c>
      <c r="BD900" s="29">
        <f t="shared" si="929"/>
        <v>1050</v>
      </c>
      <c r="BE900" s="29">
        <v>0</v>
      </c>
      <c r="BF900" s="29">
        <f t="shared" si="930"/>
        <v>0</v>
      </c>
      <c r="BH900" s="55">
        <f t="shared" si="931"/>
        <v>0</v>
      </c>
      <c r="BI900" s="55">
        <f t="shared" si="932"/>
        <v>0</v>
      </c>
      <c r="BJ900" s="55">
        <f t="shared" si="933"/>
        <v>0</v>
      </c>
    </row>
    <row r="901" spans="1:62" ht="12.75">
      <c r="A901" s="36" t="s">
        <v>2105</v>
      </c>
      <c r="B901" s="36" t="s">
        <v>61</v>
      </c>
      <c r="C901" s="36" t="s">
        <v>412</v>
      </c>
      <c r="D901" s="36" t="s">
        <v>598</v>
      </c>
      <c r="E901" s="36" t="s">
        <v>606</v>
      </c>
      <c r="F901" s="55">
        <f>'Stavební rozpočet'!F923</f>
        <v>0</v>
      </c>
      <c r="G901" s="55">
        <f>'Stavební rozpočet'!G923</f>
        <v>400</v>
      </c>
      <c r="H901" s="55">
        <f t="shared" si="908"/>
        <v>0</v>
      </c>
      <c r="I901" s="55">
        <f t="shared" si="909"/>
        <v>0</v>
      </c>
      <c r="J901" s="55">
        <f t="shared" si="910"/>
        <v>0</v>
      </c>
      <c r="K901" s="55">
        <f>'Stavební rozpočet'!K923</f>
        <v>0</v>
      </c>
      <c r="L901" s="55">
        <f t="shared" si="911"/>
        <v>0</v>
      </c>
      <c r="M901" s="51" t="s">
        <v>622</v>
      </c>
      <c r="Z901" s="29">
        <f t="shared" si="912"/>
        <v>0</v>
      </c>
      <c r="AB901" s="29">
        <f t="shared" si="913"/>
        <v>0</v>
      </c>
      <c r="AC901" s="29">
        <f t="shared" si="914"/>
        <v>0</v>
      </c>
      <c r="AD901" s="29">
        <f t="shared" si="915"/>
        <v>0</v>
      </c>
      <c r="AE901" s="29">
        <f t="shared" si="916"/>
        <v>0</v>
      </c>
      <c r="AF901" s="29">
        <f t="shared" si="917"/>
        <v>0</v>
      </c>
      <c r="AG901" s="29">
        <f t="shared" si="918"/>
        <v>0</v>
      </c>
      <c r="AH901" s="29">
        <f t="shared" si="919"/>
        <v>0</v>
      </c>
      <c r="AI901" s="48" t="s">
        <v>61</v>
      </c>
      <c r="AJ901" s="55">
        <f t="shared" si="920"/>
        <v>0</v>
      </c>
      <c r="AK901" s="55">
        <f t="shared" si="921"/>
        <v>0</v>
      </c>
      <c r="AL901" s="55">
        <f t="shared" si="922"/>
        <v>0</v>
      </c>
      <c r="AN901" s="29">
        <v>15</v>
      </c>
      <c r="AO901" s="29">
        <f t="shared" si="923"/>
        <v>0</v>
      </c>
      <c r="AP901" s="29">
        <f t="shared" si="924"/>
        <v>400</v>
      </c>
      <c r="AQ901" s="51" t="s">
        <v>79</v>
      </c>
      <c r="AV901" s="29">
        <f t="shared" si="925"/>
        <v>0</v>
      </c>
      <c r="AW901" s="29">
        <f t="shared" si="926"/>
        <v>0</v>
      </c>
      <c r="AX901" s="29">
        <f t="shared" si="927"/>
        <v>0</v>
      </c>
      <c r="AY901" s="54" t="s">
        <v>649</v>
      </c>
      <c r="AZ901" s="54" t="s">
        <v>1643</v>
      </c>
      <c r="BA901" s="48" t="s">
        <v>1649</v>
      </c>
      <c r="BC901" s="29">
        <f t="shared" si="928"/>
        <v>0</v>
      </c>
      <c r="BD901" s="29">
        <f t="shared" si="929"/>
        <v>400</v>
      </c>
      <c r="BE901" s="29">
        <v>0</v>
      </c>
      <c r="BF901" s="29">
        <f t="shared" si="930"/>
        <v>0</v>
      </c>
      <c r="BH901" s="55">
        <f t="shared" si="931"/>
        <v>0</v>
      </c>
      <c r="BI901" s="55">
        <f t="shared" si="932"/>
        <v>0</v>
      </c>
      <c r="BJ901" s="55">
        <f t="shared" si="933"/>
        <v>0</v>
      </c>
    </row>
    <row r="902" spans="1:62" ht="12.75">
      <c r="A902" s="36" t="s">
        <v>2106</v>
      </c>
      <c r="B902" s="36" t="s">
        <v>61</v>
      </c>
      <c r="C902" s="36" t="s">
        <v>413</v>
      </c>
      <c r="D902" s="36" t="s">
        <v>599</v>
      </c>
      <c r="E902" s="36" t="s">
        <v>606</v>
      </c>
      <c r="F902" s="55">
        <f>'Stavební rozpočet'!F924</f>
        <v>0</v>
      </c>
      <c r="G902" s="55">
        <f>'Stavební rozpočet'!G924</f>
        <v>1200</v>
      </c>
      <c r="H902" s="55">
        <f t="shared" si="908"/>
        <v>0</v>
      </c>
      <c r="I902" s="55">
        <f t="shared" si="909"/>
        <v>0</v>
      </c>
      <c r="J902" s="55">
        <f t="shared" si="910"/>
        <v>0</v>
      </c>
      <c r="K902" s="55">
        <f>'Stavební rozpočet'!K924</f>
        <v>0</v>
      </c>
      <c r="L902" s="55">
        <f t="shared" si="911"/>
        <v>0</v>
      </c>
      <c r="M902" s="51" t="s">
        <v>622</v>
      </c>
      <c r="Z902" s="29">
        <f t="shared" si="912"/>
        <v>0</v>
      </c>
      <c r="AB902" s="29">
        <f t="shared" si="913"/>
        <v>0</v>
      </c>
      <c r="AC902" s="29">
        <f t="shared" si="914"/>
        <v>0</v>
      </c>
      <c r="AD902" s="29">
        <f t="shared" si="915"/>
        <v>0</v>
      </c>
      <c r="AE902" s="29">
        <f t="shared" si="916"/>
        <v>0</v>
      </c>
      <c r="AF902" s="29">
        <f t="shared" si="917"/>
        <v>0</v>
      </c>
      <c r="AG902" s="29">
        <f t="shared" si="918"/>
        <v>0</v>
      </c>
      <c r="AH902" s="29">
        <f t="shared" si="919"/>
        <v>0</v>
      </c>
      <c r="AI902" s="48" t="s">
        <v>61</v>
      </c>
      <c r="AJ902" s="55">
        <f t="shared" si="920"/>
        <v>0</v>
      </c>
      <c r="AK902" s="55">
        <f t="shared" si="921"/>
        <v>0</v>
      </c>
      <c r="AL902" s="55">
        <f t="shared" si="922"/>
        <v>0</v>
      </c>
      <c r="AN902" s="29">
        <v>15</v>
      </c>
      <c r="AO902" s="29">
        <f t="shared" si="923"/>
        <v>0</v>
      </c>
      <c r="AP902" s="29">
        <f t="shared" si="924"/>
        <v>1200</v>
      </c>
      <c r="AQ902" s="51" t="s">
        <v>79</v>
      </c>
      <c r="AV902" s="29">
        <f t="shared" si="925"/>
        <v>0</v>
      </c>
      <c r="AW902" s="29">
        <f t="shared" si="926"/>
        <v>0</v>
      </c>
      <c r="AX902" s="29">
        <f t="shared" si="927"/>
        <v>0</v>
      </c>
      <c r="AY902" s="54" t="s">
        <v>649</v>
      </c>
      <c r="AZ902" s="54" t="s">
        <v>1643</v>
      </c>
      <c r="BA902" s="48" t="s">
        <v>1649</v>
      </c>
      <c r="BC902" s="29">
        <f t="shared" si="928"/>
        <v>0</v>
      </c>
      <c r="BD902" s="29">
        <f t="shared" si="929"/>
        <v>1200</v>
      </c>
      <c r="BE902" s="29">
        <v>0</v>
      </c>
      <c r="BF902" s="29">
        <f t="shared" si="930"/>
        <v>0</v>
      </c>
      <c r="BH902" s="55">
        <f t="shared" si="931"/>
        <v>0</v>
      </c>
      <c r="BI902" s="55">
        <f t="shared" si="932"/>
        <v>0</v>
      </c>
      <c r="BJ902" s="55">
        <f t="shared" si="933"/>
        <v>0</v>
      </c>
    </row>
    <row r="903" spans="1:62" ht="12.75">
      <c r="A903" s="36" t="s">
        <v>2107</v>
      </c>
      <c r="B903" s="36" t="s">
        <v>61</v>
      </c>
      <c r="C903" s="36" t="s">
        <v>414</v>
      </c>
      <c r="D903" s="36" t="s">
        <v>600</v>
      </c>
      <c r="E903" s="36" t="s">
        <v>611</v>
      </c>
      <c r="F903" s="55">
        <f>'Stavební rozpočet'!F925</f>
        <v>0</v>
      </c>
      <c r="G903" s="55">
        <f>'Stavební rozpočet'!G925</f>
        <v>410</v>
      </c>
      <c r="H903" s="55">
        <f t="shared" si="908"/>
        <v>0</v>
      </c>
      <c r="I903" s="55">
        <f t="shared" si="909"/>
        <v>0</v>
      </c>
      <c r="J903" s="55">
        <f t="shared" si="910"/>
        <v>0</v>
      </c>
      <c r="K903" s="55">
        <f>'Stavební rozpočet'!K925</f>
        <v>0</v>
      </c>
      <c r="L903" s="55">
        <f t="shared" si="911"/>
        <v>0</v>
      </c>
      <c r="M903" s="51" t="s">
        <v>622</v>
      </c>
      <c r="Z903" s="29">
        <f t="shared" si="912"/>
        <v>0</v>
      </c>
      <c r="AB903" s="29">
        <f t="shared" si="913"/>
        <v>0</v>
      </c>
      <c r="AC903" s="29">
        <f t="shared" si="914"/>
        <v>0</v>
      </c>
      <c r="AD903" s="29">
        <f t="shared" si="915"/>
        <v>0</v>
      </c>
      <c r="AE903" s="29">
        <f t="shared" si="916"/>
        <v>0</v>
      </c>
      <c r="AF903" s="29">
        <f t="shared" si="917"/>
        <v>0</v>
      </c>
      <c r="AG903" s="29">
        <f t="shared" si="918"/>
        <v>0</v>
      </c>
      <c r="AH903" s="29">
        <f t="shared" si="919"/>
        <v>0</v>
      </c>
      <c r="AI903" s="48" t="s">
        <v>61</v>
      </c>
      <c r="AJ903" s="55">
        <f t="shared" si="920"/>
        <v>0</v>
      </c>
      <c r="AK903" s="55">
        <f t="shared" si="921"/>
        <v>0</v>
      </c>
      <c r="AL903" s="55">
        <f t="shared" si="922"/>
        <v>0</v>
      </c>
      <c r="AN903" s="29">
        <v>15</v>
      </c>
      <c r="AO903" s="29">
        <f t="shared" si="923"/>
        <v>0</v>
      </c>
      <c r="AP903" s="29">
        <f t="shared" si="924"/>
        <v>410</v>
      </c>
      <c r="AQ903" s="51" t="s">
        <v>79</v>
      </c>
      <c r="AV903" s="29">
        <f t="shared" si="925"/>
        <v>0</v>
      </c>
      <c r="AW903" s="29">
        <f t="shared" si="926"/>
        <v>0</v>
      </c>
      <c r="AX903" s="29">
        <f t="shared" si="927"/>
        <v>0</v>
      </c>
      <c r="AY903" s="54" t="s">
        <v>649</v>
      </c>
      <c r="AZ903" s="54" t="s">
        <v>1643</v>
      </c>
      <c r="BA903" s="48" t="s">
        <v>1649</v>
      </c>
      <c r="BC903" s="29">
        <f t="shared" si="928"/>
        <v>0</v>
      </c>
      <c r="BD903" s="29">
        <f t="shared" si="929"/>
        <v>409.99999999999994</v>
      </c>
      <c r="BE903" s="29">
        <v>0</v>
      </c>
      <c r="BF903" s="29">
        <f t="shared" si="930"/>
        <v>0</v>
      </c>
      <c r="BH903" s="55">
        <f t="shared" si="931"/>
        <v>0</v>
      </c>
      <c r="BI903" s="55">
        <f t="shared" si="932"/>
        <v>0</v>
      </c>
      <c r="BJ903" s="55">
        <f t="shared" si="933"/>
        <v>0</v>
      </c>
    </row>
    <row r="904" spans="1:62" ht="12.75">
      <c r="A904" s="36" t="s">
        <v>2108</v>
      </c>
      <c r="B904" s="36" t="s">
        <v>61</v>
      </c>
      <c r="C904" s="36" t="s">
        <v>415</v>
      </c>
      <c r="D904" s="36" t="s">
        <v>601</v>
      </c>
      <c r="E904" s="36" t="s">
        <v>611</v>
      </c>
      <c r="F904" s="55">
        <f>'Stavební rozpočet'!F926</f>
        <v>0</v>
      </c>
      <c r="G904" s="55">
        <f>'Stavební rozpočet'!G926</f>
        <v>150</v>
      </c>
      <c r="H904" s="55">
        <f t="shared" si="908"/>
        <v>0</v>
      </c>
      <c r="I904" s="55">
        <f t="shared" si="909"/>
        <v>0</v>
      </c>
      <c r="J904" s="55">
        <f t="shared" si="910"/>
        <v>0</v>
      </c>
      <c r="K904" s="55">
        <f>'Stavební rozpočet'!K926</f>
        <v>0</v>
      </c>
      <c r="L904" s="55">
        <f t="shared" si="911"/>
        <v>0</v>
      </c>
      <c r="M904" s="51" t="s">
        <v>622</v>
      </c>
      <c r="Z904" s="29">
        <f t="shared" si="912"/>
        <v>0</v>
      </c>
      <c r="AB904" s="29">
        <f t="shared" si="913"/>
        <v>0</v>
      </c>
      <c r="AC904" s="29">
        <f t="shared" si="914"/>
        <v>0</v>
      </c>
      <c r="AD904" s="29">
        <f t="shared" si="915"/>
        <v>0</v>
      </c>
      <c r="AE904" s="29">
        <f t="shared" si="916"/>
        <v>0</v>
      </c>
      <c r="AF904" s="29">
        <f t="shared" si="917"/>
        <v>0</v>
      </c>
      <c r="AG904" s="29">
        <f t="shared" si="918"/>
        <v>0</v>
      </c>
      <c r="AH904" s="29">
        <f t="shared" si="919"/>
        <v>0</v>
      </c>
      <c r="AI904" s="48" t="s">
        <v>61</v>
      </c>
      <c r="AJ904" s="55">
        <f t="shared" si="920"/>
        <v>0</v>
      </c>
      <c r="AK904" s="55">
        <f t="shared" si="921"/>
        <v>0</v>
      </c>
      <c r="AL904" s="55">
        <f t="shared" si="922"/>
        <v>0</v>
      </c>
      <c r="AN904" s="29">
        <v>15</v>
      </c>
      <c r="AO904" s="29">
        <f t="shared" si="923"/>
        <v>0</v>
      </c>
      <c r="AP904" s="29">
        <f t="shared" si="924"/>
        <v>150</v>
      </c>
      <c r="AQ904" s="51" t="s">
        <v>79</v>
      </c>
      <c r="AV904" s="29">
        <f t="shared" si="925"/>
        <v>0</v>
      </c>
      <c r="AW904" s="29">
        <f t="shared" si="926"/>
        <v>0</v>
      </c>
      <c r="AX904" s="29">
        <f t="shared" si="927"/>
        <v>0</v>
      </c>
      <c r="AY904" s="54" t="s">
        <v>649</v>
      </c>
      <c r="AZ904" s="54" t="s">
        <v>1643</v>
      </c>
      <c r="BA904" s="48" t="s">
        <v>1649</v>
      </c>
      <c r="BC904" s="29">
        <f t="shared" si="928"/>
        <v>0</v>
      </c>
      <c r="BD904" s="29">
        <f t="shared" si="929"/>
        <v>150</v>
      </c>
      <c r="BE904" s="29">
        <v>0</v>
      </c>
      <c r="BF904" s="29">
        <f t="shared" si="930"/>
        <v>0</v>
      </c>
      <c r="BH904" s="55">
        <f t="shared" si="931"/>
        <v>0</v>
      </c>
      <c r="BI904" s="55">
        <f t="shared" si="932"/>
        <v>0</v>
      </c>
      <c r="BJ904" s="55">
        <f t="shared" si="933"/>
        <v>0</v>
      </c>
    </row>
    <row r="905" spans="1:62" ht="12.75">
      <c r="A905" s="36" t="s">
        <v>2109</v>
      </c>
      <c r="B905" s="36" t="s">
        <v>61</v>
      </c>
      <c r="C905" s="36" t="s">
        <v>416</v>
      </c>
      <c r="D905" s="36" t="s">
        <v>602</v>
      </c>
      <c r="E905" s="36" t="s">
        <v>611</v>
      </c>
      <c r="F905" s="55">
        <f>'Stavební rozpočet'!F927</f>
        <v>0</v>
      </c>
      <c r="G905" s="55">
        <f>'Stavební rozpočet'!G927</f>
        <v>150</v>
      </c>
      <c r="H905" s="55">
        <f t="shared" si="908"/>
        <v>0</v>
      </c>
      <c r="I905" s="55">
        <f t="shared" si="909"/>
        <v>0</v>
      </c>
      <c r="J905" s="55">
        <f t="shared" si="910"/>
        <v>0</v>
      </c>
      <c r="K905" s="55">
        <f>'Stavební rozpočet'!K927</f>
        <v>0</v>
      </c>
      <c r="L905" s="55">
        <f t="shared" si="911"/>
        <v>0</v>
      </c>
      <c r="M905" s="51" t="s">
        <v>622</v>
      </c>
      <c r="Z905" s="29">
        <f t="shared" si="912"/>
        <v>0</v>
      </c>
      <c r="AB905" s="29">
        <f t="shared" si="913"/>
        <v>0</v>
      </c>
      <c r="AC905" s="29">
        <f t="shared" si="914"/>
        <v>0</v>
      </c>
      <c r="AD905" s="29">
        <f t="shared" si="915"/>
        <v>0</v>
      </c>
      <c r="AE905" s="29">
        <f t="shared" si="916"/>
        <v>0</v>
      </c>
      <c r="AF905" s="29">
        <f t="shared" si="917"/>
        <v>0</v>
      </c>
      <c r="AG905" s="29">
        <f t="shared" si="918"/>
        <v>0</v>
      </c>
      <c r="AH905" s="29">
        <f t="shared" si="919"/>
        <v>0</v>
      </c>
      <c r="AI905" s="48" t="s">
        <v>61</v>
      </c>
      <c r="AJ905" s="55">
        <f t="shared" si="920"/>
        <v>0</v>
      </c>
      <c r="AK905" s="55">
        <f t="shared" si="921"/>
        <v>0</v>
      </c>
      <c r="AL905" s="55">
        <f t="shared" si="922"/>
        <v>0</v>
      </c>
      <c r="AN905" s="29">
        <v>15</v>
      </c>
      <c r="AO905" s="29">
        <f t="shared" si="923"/>
        <v>0</v>
      </c>
      <c r="AP905" s="29">
        <f t="shared" si="924"/>
        <v>150</v>
      </c>
      <c r="AQ905" s="51" t="s">
        <v>79</v>
      </c>
      <c r="AV905" s="29">
        <f t="shared" si="925"/>
        <v>0</v>
      </c>
      <c r="AW905" s="29">
        <f t="shared" si="926"/>
        <v>0</v>
      </c>
      <c r="AX905" s="29">
        <f t="shared" si="927"/>
        <v>0</v>
      </c>
      <c r="AY905" s="54" t="s">
        <v>649</v>
      </c>
      <c r="AZ905" s="54" t="s">
        <v>1643</v>
      </c>
      <c r="BA905" s="48" t="s">
        <v>1649</v>
      </c>
      <c r="BC905" s="29">
        <f t="shared" si="928"/>
        <v>0</v>
      </c>
      <c r="BD905" s="29">
        <f t="shared" si="929"/>
        <v>150</v>
      </c>
      <c r="BE905" s="29">
        <v>0</v>
      </c>
      <c r="BF905" s="29">
        <f t="shared" si="930"/>
        <v>0</v>
      </c>
      <c r="BH905" s="55">
        <f t="shared" si="931"/>
        <v>0</v>
      </c>
      <c r="BI905" s="55">
        <f t="shared" si="932"/>
        <v>0</v>
      </c>
      <c r="BJ905" s="55">
        <f t="shared" si="933"/>
        <v>0</v>
      </c>
    </row>
    <row r="906" spans="1:62" ht="12.75">
      <c r="A906" s="36" t="s">
        <v>2110</v>
      </c>
      <c r="B906" s="36" t="s">
        <v>61</v>
      </c>
      <c r="C906" s="36" t="s">
        <v>416</v>
      </c>
      <c r="D906" s="36" t="s">
        <v>603</v>
      </c>
      <c r="E906" s="36" t="s">
        <v>616</v>
      </c>
      <c r="F906" s="55">
        <f>'Stavební rozpočet'!F928</f>
        <v>0</v>
      </c>
      <c r="G906" s="55">
        <f>'Stavební rozpočet'!G928</f>
        <v>3110</v>
      </c>
      <c r="H906" s="55">
        <f t="shared" si="908"/>
        <v>0</v>
      </c>
      <c r="I906" s="55">
        <f t="shared" si="909"/>
        <v>0</v>
      </c>
      <c r="J906" s="55">
        <f t="shared" si="910"/>
        <v>0</v>
      </c>
      <c r="K906" s="55">
        <f>'Stavební rozpočet'!K928</f>
        <v>0</v>
      </c>
      <c r="L906" s="55">
        <f t="shared" si="911"/>
        <v>0</v>
      </c>
      <c r="M906" s="51" t="s">
        <v>622</v>
      </c>
      <c r="Z906" s="29">
        <f t="shared" si="912"/>
        <v>0</v>
      </c>
      <c r="AB906" s="29">
        <f t="shared" si="913"/>
        <v>0</v>
      </c>
      <c r="AC906" s="29">
        <f t="shared" si="914"/>
        <v>0</v>
      </c>
      <c r="AD906" s="29">
        <f t="shared" si="915"/>
        <v>0</v>
      </c>
      <c r="AE906" s="29">
        <f t="shared" si="916"/>
        <v>0</v>
      </c>
      <c r="AF906" s="29">
        <f t="shared" si="917"/>
        <v>0</v>
      </c>
      <c r="AG906" s="29">
        <f t="shared" si="918"/>
        <v>0</v>
      </c>
      <c r="AH906" s="29">
        <f t="shared" si="919"/>
        <v>0</v>
      </c>
      <c r="AI906" s="48" t="s">
        <v>61</v>
      </c>
      <c r="AJ906" s="55">
        <f t="shared" si="920"/>
        <v>0</v>
      </c>
      <c r="AK906" s="55">
        <f t="shared" si="921"/>
        <v>0</v>
      </c>
      <c r="AL906" s="55">
        <f t="shared" si="922"/>
        <v>0</v>
      </c>
      <c r="AN906" s="29">
        <v>15</v>
      </c>
      <c r="AO906" s="29">
        <f t="shared" si="923"/>
        <v>0</v>
      </c>
      <c r="AP906" s="29">
        <f t="shared" si="924"/>
        <v>3110</v>
      </c>
      <c r="AQ906" s="51" t="s">
        <v>79</v>
      </c>
      <c r="AV906" s="29">
        <f t="shared" si="925"/>
        <v>0</v>
      </c>
      <c r="AW906" s="29">
        <f t="shared" si="926"/>
        <v>0</v>
      </c>
      <c r="AX906" s="29">
        <f t="shared" si="927"/>
        <v>0</v>
      </c>
      <c r="AY906" s="54" t="s">
        <v>649</v>
      </c>
      <c r="AZ906" s="54" t="s">
        <v>1643</v>
      </c>
      <c r="BA906" s="48" t="s">
        <v>1649</v>
      </c>
      <c r="BC906" s="29">
        <f t="shared" si="928"/>
        <v>0</v>
      </c>
      <c r="BD906" s="29">
        <f t="shared" si="929"/>
        <v>3110</v>
      </c>
      <c r="BE906" s="29">
        <v>0</v>
      </c>
      <c r="BF906" s="29">
        <f t="shared" si="930"/>
        <v>0</v>
      </c>
      <c r="BH906" s="55">
        <f t="shared" si="931"/>
        <v>0</v>
      </c>
      <c r="BI906" s="55">
        <f t="shared" si="932"/>
        <v>0</v>
      </c>
      <c r="BJ906" s="55">
        <f t="shared" si="933"/>
        <v>0</v>
      </c>
    </row>
    <row r="907" spans="1:62" ht="12.75">
      <c r="A907" s="36" t="s">
        <v>2111</v>
      </c>
      <c r="B907" s="36" t="s">
        <v>61</v>
      </c>
      <c r="C907" s="36" t="s">
        <v>1222</v>
      </c>
      <c r="D907" s="36" t="s">
        <v>1523</v>
      </c>
      <c r="E907" s="36" t="s">
        <v>611</v>
      </c>
      <c r="F907" s="55">
        <f>'Stavební rozpočet'!F929</f>
        <v>0</v>
      </c>
      <c r="G907" s="55">
        <f>'Stavební rozpočet'!G929</f>
        <v>350</v>
      </c>
      <c r="H907" s="55">
        <f t="shared" si="908"/>
        <v>0</v>
      </c>
      <c r="I907" s="55">
        <f t="shared" si="909"/>
        <v>0</v>
      </c>
      <c r="J907" s="55">
        <f t="shared" si="910"/>
        <v>0</v>
      </c>
      <c r="K907" s="55">
        <f>'Stavební rozpočet'!K929</f>
        <v>0</v>
      </c>
      <c r="L907" s="55">
        <f t="shared" si="911"/>
        <v>0</v>
      </c>
      <c r="M907" s="51" t="s">
        <v>622</v>
      </c>
      <c r="Z907" s="29">
        <f t="shared" si="912"/>
        <v>0</v>
      </c>
      <c r="AB907" s="29">
        <f t="shared" si="913"/>
        <v>0</v>
      </c>
      <c r="AC907" s="29">
        <f t="shared" si="914"/>
        <v>0</v>
      </c>
      <c r="AD907" s="29">
        <f t="shared" si="915"/>
        <v>0</v>
      </c>
      <c r="AE907" s="29">
        <f t="shared" si="916"/>
        <v>0</v>
      </c>
      <c r="AF907" s="29">
        <f t="shared" si="917"/>
        <v>0</v>
      </c>
      <c r="AG907" s="29">
        <f t="shared" si="918"/>
        <v>0</v>
      </c>
      <c r="AH907" s="29">
        <f t="shared" si="919"/>
        <v>0</v>
      </c>
      <c r="AI907" s="48" t="s">
        <v>61</v>
      </c>
      <c r="AJ907" s="55">
        <f t="shared" si="920"/>
        <v>0</v>
      </c>
      <c r="AK907" s="55">
        <f t="shared" si="921"/>
        <v>0</v>
      </c>
      <c r="AL907" s="55">
        <f t="shared" si="922"/>
        <v>0</v>
      </c>
      <c r="AN907" s="29">
        <v>15</v>
      </c>
      <c r="AO907" s="29">
        <f t="shared" si="923"/>
        <v>0</v>
      </c>
      <c r="AP907" s="29">
        <f t="shared" si="924"/>
        <v>350</v>
      </c>
      <c r="AQ907" s="51" t="s">
        <v>79</v>
      </c>
      <c r="AV907" s="29">
        <f t="shared" si="925"/>
        <v>0</v>
      </c>
      <c r="AW907" s="29">
        <f t="shared" si="926"/>
        <v>0</v>
      </c>
      <c r="AX907" s="29">
        <f t="shared" si="927"/>
        <v>0</v>
      </c>
      <c r="AY907" s="54" t="s">
        <v>649</v>
      </c>
      <c r="AZ907" s="54" t="s">
        <v>1643</v>
      </c>
      <c r="BA907" s="48" t="s">
        <v>1649</v>
      </c>
      <c r="BC907" s="29">
        <f t="shared" si="928"/>
        <v>0</v>
      </c>
      <c r="BD907" s="29">
        <f t="shared" si="929"/>
        <v>350</v>
      </c>
      <c r="BE907" s="29">
        <v>0</v>
      </c>
      <c r="BF907" s="29">
        <f t="shared" si="930"/>
        <v>0</v>
      </c>
      <c r="BH907" s="55">
        <f t="shared" si="931"/>
        <v>0</v>
      </c>
      <c r="BI907" s="55">
        <f t="shared" si="932"/>
        <v>0</v>
      </c>
      <c r="BJ907" s="55">
        <f t="shared" si="933"/>
        <v>0</v>
      </c>
    </row>
    <row r="908" spans="1:62" ht="12.75">
      <c r="A908" s="36" t="s">
        <v>2112</v>
      </c>
      <c r="B908" s="36" t="s">
        <v>61</v>
      </c>
      <c r="C908" s="36" t="s">
        <v>1223</v>
      </c>
      <c r="D908" s="36" t="s">
        <v>1524</v>
      </c>
      <c r="E908" s="36" t="s">
        <v>606</v>
      </c>
      <c r="F908" s="55">
        <f>'Stavební rozpočet'!F930</f>
        <v>0</v>
      </c>
      <c r="G908" s="55">
        <f>'Stavební rozpočet'!G930</f>
        <v>3420</v>
      </c>
      <c r="H908" s="55">
        <f t="shared" si="908"/>
        <v>0</v>
      </c>
      <c r="I908" s="55">
        <f t="shared" si="909"/>
        <v>0</v>
      </c>
      <c r="J908" s="55">
        <f t="shared" si="910"/>
        <v>0</v>
      </c>
      <c r="K908" s="55">
        <f>'Stavební rozpočet'!K930</f>
        <v>0</v>
      </c>
      <c r="L908" s="55">
        <f t="shared" si="911"/>
        <v>0</v>
      </c>
      <c r="M908" s="51" t="s">
        <v>622</v>
      </c>
      <c r="Z908" s="29">
        <f t="shared" si="912"/>
        <v>0</v>
      </c>
      <c r="AB908" s="29">
        <f t="shared" si="913"/>
        <v>0</v>
      </c>
      <c r="AC908" s="29">
        <f t="shared" si="914"/>
        <v>0</v>
      </c>
      <c r="AD908" s="29">
        <f t="shared" si="915"/>
        <v>0</v>
      </c>
      <c r="AE908" s="29">
        <f t="shared" si="916"/>
        <v>0</v>
      </c>
      <c r="AF908" s="29">
        <f t="shared" si="917"/>
        <v>0</v>
      </c>
      <c r="AG908" s="29">
        <f t="shared" si="918"/>
        <v>0</v>
      </c>
      <c r="AH908" s="29">
        <f t="shared" si="919"/>
        <v>0</v>
      </c>
      <c r="AI908" s="48" t="s">
        <v>61</v>
      </c>
      <c r="AJ908" s="55">
        <f t="shared" si="920"/>
        <v>0</v>
      </c>
      <c r="AK908" s="55">
        <f t="shared" si="921"/>
        <v>0</v>
      </c>
      <c r="AL908" s="55">
        <f t="shared" si="922"/>
        <v>0</v>
      </c>
      <c r="AN908" s="29">
        <v>15</v>
      </c>
      <c r="AO908" s="29">
        <f t="shared" si="923"/>
        <v>0</v>
      </c>
      <c r="AP908" s="29">
        <f t="shared" si="924"/>
        <v>3420</v>
      </c>
      <c r="AQ908" s="51" t="s">
        <v>79</v>
      </c>
      <c r="AV908" s="29">
        <f t="shared" si="925"/>
        <v>0</v>
      </c>
      <c r="AW908" s="29">
        <f t="shared" si="926"/>
        <v>0</v>
      </c>
      <c r="AX908" s="29">
        <f t="shared" si="927"/>
        <v>0</v>
      </c>
      <c r="AY908" s="54" t="s">
        <v>649</v>
      </c>
      <c r="AZ908" s="54" t="s">
        <v>1643</v>
      </c>
      <c r="BA908" s="48" t="s">
        <v>1649</v>
      </c>
      <c r="BC908" s="29">
        <f t="shared" si="928"/>
        <v>0</v>
      </c>
      <c r="BD908" s="29">
        <f t="shared" si="929"/>
        <v>3420.0000000000005</v>
      </c>
      <c r="BE908" s="29">
        <v>0</v>
      </c>
      <c r="BF908" s="29">
        <f t="shared" si="930"/>
        <v>0</v>
      </c>
      <c r="BH908" s="55">
        <f t="shared" si="931"/>
        <v>0</v>
      </c>
      <c r="BI908" s="55">
        <f t="shared" si="932"/>
        <v>0</v>
      </c>
      <c r="BJ908" s="55">
        <f t="shared" si="933"/>
        <v>0</v>
      </c>
    </row>
    <row r="909" spans="1:62" ht="12.75">
      <c r="A909" s="36" t="s">
        <v>2113</v>
      </c>
      <c r="B909" s="36" t="s">
        <v>61</v>
      </c>
      <c r="C909" s="36" t="s">
        <v>417</v>
      </c>
      <c r="D909" s="36" t="s">
        <v>604</v>
      </c>
      <c r="E909" s="36" t="s">
        <v>611</v>
      </c>
      <c r="F909" s="55">
        <f>'Stavební rozpočet'!F931</f>
        <v>0</v>
      </c>
      <c r="G909" s="55">
        <f>'Stavební rozpočet'!G931</f>
        <v>270</v>
      </c>
      <c r="H909" s="55">
        <f t="shared" si="908"/>
        <v>0</v>
      </c>
      <c r="I909" s="55">
        <f t="shared" si="909"/>
        <v>0</v>
      </c>
      <c r="J909" s="55">
        <f t="shared" si="910"/>
        <v>0</v>
      </c>
      <c r="K909" s="55">
        <f>'Stavební rozpočet'!K931</f>
        <v>0</v>
      </c>
      <c r="L909" s="55">
        <f t="shared" si="911"/>
        <v>0</v>
      </c>
      <c r="M909" s="51" t="s">
        <v>622</v>
      </c>
      <c r="Z909" s="29">
        <f t="shared" si="912"/>
        <v>0</v>
      </c>
      <c r="AB909" s="29">
        <f t="shared" si="913"/>
        <v>0</v>
      </c>
      <c r="AC909" s="29">
        <f t="shared" si="914"/>
        <v>0</v>
      </c>
      <c r="AD909" s="29">
        <f t="shared" si="915"/>
        <v>0</v>
      </c>
      <c r="AE909" s="29">
        <f t="shared" si="916"/>
        <v>0</v>
      </c>
      <c r="AF909" s="29">
        <f t="shared" si="917"/>
        <v>0</v>
      </c>
      <c r="AG909" s="29">
        <f t="shared" si="918"/>
        <v>0</v>
      </c>
      <c r="AH909" s="29">
        <f t="shared" si="919"/>
        <v>0</v>
      </c>
      <c r="AI909" s="48" t="s">
        <v>61</v>
      </c>
      <c r="AJ909" s="55">
        <f t="shared" si="920"/>
        <v>0</v>
      </c>
      <c r="AK909" s="55">
        <f t="shared" si="921"/>
        <v>0</v>
      </c>
      <c r="AL909" s="55">
        <f t="shared" si="922"/>
        <v>0</v>
      </c>
      <c r="AN909" s="29">
        <v>15</v>
      </c>
      <c r="AO909" s="29">
        <f t="shared" si="923"/>
        <v>0</v>
      </c>
      <c r="AP909" s="29">
        <f t="shared" si="924"/>
        <v>270</v>
      </c>
      <c r="AQ909" s="51" t="s">
        <v>79</v>
      </c>
      <c r="AV909" s="29">
        <f t="shared" si="925"/>
        <v>0</v>
      </c>
      <c r="AW909" s="29">
        <f t="shared" si="926"/>
        <v>0</v>
      </c>
      <c r="AX909" s="29">
        <f t="shared" si="927"/>
        <v>0</v>
      </c>
      <c r="AY909" s="54" t="s">
        <v>649</v>
      </c>
      <c r="AZ909" s="54" t="s">
        <v>1643</v>
      </c>
      <c r="BA909" s="48" t="s">
        <v>1649</v>
      </c>
      <c r="BC909" s="29">
        <f t="shared" si="928"/>
        <v>0</v>
      </c>
      <c r="BD909" s="29">
        <f t="shared" si="929"/>
        <v>270</v>
      </c>
      <c r="BE909" s="29">
        <v>0</v>
      </c>
      <c r="BF909" s="29">
        <f t="shared" si="930"/>
        <v>0</v>
      </c>
      <c r="BH909" s="55">
        <f t="shared" si="931"/>
        <v>0</v>
      </c>
      <c r="BI909" s="55">
        <f t="shared" si="932"/>
        <v>0</v>
      </c>
      <c r="BJ909" s="55">
        <f t="shared" si="933"/>
        <v>0</v>
      </c>
    </row>
    <row r="910" spans="1:13" ht="12.75">
      <c r="A910" s="71"/>
      <c r="B910" s="72" t="s">
        <v>62</v>
      </c>
      <c r="C910" s="72"/>
      <c r="D910" s="72" t="s">
        <v>68</v>
      </c>
      <c r="E910" s="71" t="s">
        <v>57</v>
      </c>
      <c r="F910" s="71" t="s">
        <v>57</v>
      </c>
      <c r="G910" s="71" t="s">
        <v>57</v>
      </c>
      <c r="H910" s="74">
        <f>H911+H914+H916+H920+H935+H937+H939</f>
        <v>0</v>
      </c>
      <c r="I910" s="74">
        <f>I911+I914+I916+I920+I935+I937+I939</f>
        <v>0</v>
      </c>
      <c r="J910" s="74">
        <f>J911+J914+J916+J920+J935+J937+J939</f>
        <v>0</v>
      </c>
      <c r="K910" s="73"/>
      <c r="L910" s="74">
        <f>L911+L914+L916+L920+L935+L937+L939</f>
        <v>0</v>
      </c>
      <c r="M910" s="73"/>
    </row>
    <row r="911" spans="1:47" ht="12.75">
      <c r="A911" s="35"/>
      <c r="B911" s="42" t="s">
        <v>62</v>
      </c>
      <c r="C911" s="42" t="s">
        <v>87</v>
      </c>
      <c r="D911" s="42" t="s">
        <v>1672</v>
      </c>
      <c r="E911" s="35" t="s">
        <v>57</v>
      </c>
      <c r="F911" s="35" t="s">
        <v>57</v>
      </c>
      <c r="G911" s="35" t="s">
        <v>57</v>
      </c>
      <c r="H911" s="59">
        <f>SUM(H912:H913)</f>
        <v>0</v>
      </c>
      <c r="I911" s="59">
        <f>SUM(I912:I913)</f>
        <v>0</v>
      </c>
      <c r="J911" s="59">
        <f>SUM(J912:J913)</f>
        <v>0</v>
      </c>
      <c r="K911" s="48"/>
      <c r="L911" s="59">
        <f>SUM(L912:L913)</f>
        <v>0</v>
      </c>
      <c r="M911" s="48"/>
      <c r="AI911" s="48" t="s">
        <v>62</v>
      </c>
      <c r="AS911" s="59">
        <f>SUM(AJ912:AJ913)</f>
        <v>0</v>
      </c>
      <c r="AT911" s="59">
        <f>SUM(AK912:AK913)</f>
        <v>0</v>
      </c>
      <c r="AU911" s="59">
        <f>SUM(AL912:AL913)</f>
        <v>0</v>
      </c>
    </row>
    <row r="912" spans="1:62" ht="12.75">
      <c r="A912" s="36" t="s">
        <v>2114</v>
      </c>
      <c r="B912" s="36" t="s">
        <v>62</v>
      </c>
      <c r="C912" s="36" t="s">
        <v>385</v>
      </c>
      <c r="D912" s="36" t="s">
        <v>571</v>
      </c>
      <c r="E912" s="36" t="s">
        <v>606</v>
      </c>
      <c r="F912" s="55">
        <f>'Stavební rozpočet'!F934</f>
        <v>0</v>
      </c>
      <c r="G912" s="55">
        <f>'Stavební rozpočet'!G934</f>
        <v>0</v>
      </c>
      <c r="H912" s="55">
        <f>F912*AO912</f>
        <v>0</v>
      </c>
      <c r="I912" s="55">
        <f>F912*AP912</f>
        <v>0</v>
      </c>
      <c r="J912" s="55">
        <f>F912*G912</f>
        <v>0</v>
      </c>
      <c r="K912" s="55">
        <f>'Stavební rozpočet'!K934</f>
        <v>0</v>
      </c>
      <c r="L912" s="55">
        <f>F912*K912</f>
        <v>0</v>
      </c>
      <c r="M912" s="51" t="s">
        <v>1693</v>
      </c>
      <c r="Z912" s="29">
        <f>IF(AQ912="5",BJ912,0)</f>
        <v>0</v>
      </c>
      <c r="AB912" s="29">
        <f>IF(AQ912="1",BH912,0)</f>
        <v>0</v>
      </c>
      <c r="AC912" s="29">
        <f>IF(AQ912="1",BI912,0)</f>
        <v>0</v>
      </c>
      <c r="AD912" s="29">
        <f>IF(AQ912="7",BH912,0)</f>
        <v>0</v>
      </c>
      <c r="AE912" s="29">
        <f>IF(AQ912="7",BI912,0)</f>
        <v>0</v>
      </c>
      <c r="AF912" s="29">
        <f>IF(AQ912="2",BH912,0)</f>
        <v>0</v>
      </c>
      <c r="AG912" s="29">
        <f>IF(AQ912="2",BI912,0)</f>
        <v>0</v>
      </c>
      <c r="AH912" s="29">
        <f>IF(AQ912="0",BJ912,0)</f>
        <v>0</v>
      </c>
      <c r="AI912" s="48" t="s">
        <v>62</v>
      </c>
      <c r="AJ912" s="55">
        <f>IF(AN912=0,J912,0)</f>
        <v>0</v>
      </c>
      <c r="AK912" s="55">
        <f>IF(AN912=15,J912,0)</f>
        <v>0</v>
      </c>
      <c r="AL912" s="55">
        <f>IF(AN912=21,J912,0)</f>
        <v>0</v>
      </c>
      <c r="AN912" s="29">
        <v>15</v>
      </c>
      <c r="AO912" s="29">
        <f>G912*0</f>
        <v>0</v>
      </c>
      <c r="AP912" s="29">
        <f>G912*(1-0)</f>
        <v>0</v>
      </c>
      <c r="AQ912" s="51" t="s">
        <v>79</v>
      </c>
      <c r="AV912" s="29">
        <f>AW912+AX912</f>
        <v>0</v>
      </c>
      <c r="AW912" s="29">
        <f>F912*AO912</f>
        <v>0</v>
      </c>
      <c r="AX912" s="29">
        <f>F912*AP912</f>
        <v>0</v>
      </c>
      <c r="AY912" s="54" t="s">
        <v>1694</v>
      </c>
      <c r="AZ912" s="54" t="s">
        <v>1701</v>
      </c>
      <c r="BA912" s="48" t="s">
        <v>1703</v>
      </c>
      <c r="BC912" s="29">
        <f>AW912+AX912</f>
        <v>0</v>
      </c>
      <c r="BD912" s="29">
        <f>G912/(100-BE912)*100</f>
        <v>0</v>
      </c>
      <c r="BE912" s="29">
        <v>0</v>
      </c>
      <c r="BF912" s="29">
        <f>L912</f>
        <v>0</v>
      </c>
      <c r="BH912" s="55">
        <f>F912*AO912</f>
        <v>0</v>
      </c>
      <c r="BI912" s="55">
        <f>F912*AP912</f>
        <v>0</v>
      </c>
      <c r="BJ912" s="55">
        <f>F912*G912</f>
        <v>0</v>
      </c>
    </row>
    <row r="913" spans="1:62" ht="12.75">
      <c r="A913" s="36" t="s">
        <v>2115</v>
      </c>
      <c r="B913" s="36" t="s">
        <v>62</v>
      </c>
      <c r="C913" s="36" t="s">
        <v>387</v>
      </c>
      <c r="D913" s="36" t="s">
        <v>573</v>
      </c>
      <c r="E913" s="36" t="s">
        <v>609</v>
      </c>
      <c r="F913" s="55">
        <f>'Stavební rozpočet'!F935</f>
        <v>0</v>
      </c>
      <c r="G913" s="55">
        <f>'Stavební rozpočet'!G935</f>
        <v>0</v>
      </c>
      <c r="H913" s="55">
        <f>F913*AO913</f>
        <v>0</v>
      </c>
      <c r="I913" s="55">
        <f>F913*AP913</f>
        <v>0</v>
      </c>
      <c r="J913" s="55">
        <f>F913*G913</f>
        <v>0</v>
      </c>
      <c r="K913" s="55">
        <f>'Stavební rozpočet'!K935</f>
        <v>0</v>
      </c>
      <c r="L913" s="55">
        <f>F913*K913</f>
        <v>0</v>
      </c>
      <c r="M913" s="51" t="s">
        <v>1693</v>
      </c>
      <c r="Z913" s="29">
        <f>IF(AQ913="5",BJ913,0)</f>
        <v>0</v>
      </c>
      <c r="AB913" s="29">
        <f>IF(AQ913="1",BH913,0)</f>
        <v>0</v>
      </c>
      <c r="AC913" s="29">
        <f>IF(AQ913="1",BI913,0)</f>
        <v>0</v>
      </c>
      <c r="AD913" s="29">
        <f>IF(AQ913="7",BH913,0)</f>
        <v>0</v>
      </c>
      <c r="AE913" s="29">
        <f>IF(AQ913="7",BI913,0)</f>
        <v>0</v>
      </c>
      <c r="AF913" s="29">
        <f>IF(AQ913="2",BH913,0)</f>
        <v>0</v>
      </c>
      <c r="AG913" s="29">
        <f>IF(AQ913="2",BI913,0)</f>
        <v>0</v>
      </c>
      <c r="AH913" s="29">
        <f>IF(AQ913="0",BJ913,0)</f>
        <v>0</v>
      </c>
      <c r="AI913" s="48" t="s">
        <v>62</v>
      </c>
      <c r="AJ913" s="55">
        <f>IF(AN913=0,J913,0)</f>
        <v>0</v>
      </c>
      <c r="AK913" s="55">
        <f>IF(AN913=15,J913,0)</f>
        <v>0</v>
      </c>
      <c r="AL913" s="55">
        <f>IF(AN913=21,J913,0)</f>
        <v>0</v>
      </c>
      <c r="AN913" s="29">
        <v>15</v>
      </c>
      <c r="AO913" s="29">
        <f>G913*0</f>
        <v>0</v>
      </c>
      <c r="AP913" s="29">
        <f>G913*(1-0)</f>
        <v>0</v>
      </c>
      <c r="AQ913" s="51" t="s">
        <v>79</v>
      </c>
      <c r="AV913" s="29">
        <f>AW913+AX913</f>
        <v>0</v>
      </c>
      <c r="AW913" s="29">
        <f>F913*AO913</f>
        <v>0</v>
      </c>
      <c r="AX913" s="29">
        <f>F913*AP913</f>
        <v>0</v>
      </c>
      <c r="AY913" s="54" t="s">
        <v>1694</v>
      </c>
      <c r="AZ913" s="54" t="s">
        <v>1701</v>
      </c>
      <c r="BA913" s="48" t="s">
        <v>1703</v>
      </c>
      <c r="BC913" s="29">
        <f>AW913+AX913</f>
        <v>0</v>
      </c>
      <c r="BD913" s="29">
        <f>G913/(100-BE913)*100</f>
        <v>0</v>
      </c>
      <c r="BE913" s="29">
        <v>0</v>
      </c>
      <c r="BF913" s="29">
        <f>L913</f>
        <v>0</v>
      </c>
      <c r="BH913" s="55">
        <f>F913*AO913</f>
        <v>0</v>
      </c>
      <c r="BI913" s="55">
        <f>F913*AP913</f>
        <v>0</v>
      </c>
      <c r="BJ913" s="55">
        <f>F913*G913</f>
        <v>0</v>
      </c>
    </row>
    <row r="914" spans="1:47" ht="12.75">
      <c r="A914" s="35"/>
      <c r="B914" s="42" t="s">
        <v>62</v>
      </c>
      <c r="C914" s="42" t="s">
        <v>1650</v>
      </c>
      <c r="D914" s="42" t="s">
        <v>1673</v>
      </c>
      <c r="E914" s="35" t="s">
        <v>57</v>
      </c>
      <c r="F914" s="35" t="s">
        <v>57</v>
      </c>
      <c r="G914" s="35" t="s">
        <v>57</v>
      </c>
      <c r="H914" s="59">
        <f>SUM(H915:H915)</f>
        <v>0</v>
      </c>
      <c r="I914" s="59">
        <f>SUM(I915:I915)</f>
        <v>0</v>
      </c>
      <c r="J914" s="59">
        <f>SUM(J915:J915)</f>
        <v>0</v>
      </c>
      <c r="K914" s="48"/>
      <c r="L914" s="59">
        <f>SUM(L915:L915)</f>
        <v>0</v>
      </c>
      <c r="M914" s="48"/>
      <c r="AI914" s="48" t="s">
        <v>62</v>
      </c>
      <c r="AS914" s="59">
        <f>SUM(AJ915:AJ915)</f>
        <v>0</v>
      </c>
      <c r="AT914" s="59">
        <f>SUM(AK915:AK915)</f>
        <v>0</v>
      </c>
      <c r="AU914" s="59">
        <f>SUM(AL915:AL915)</f>
        <v>0</v>
      </c>
    </row>
    <row r="915" spans="1:62" ht="12.75">
      <c r="A915" s="36" t="s">
        <v>2116</v>
      </c>
      <c r="B915" s="36" t="s">
        <v>62</v>
      </c>
      <c r="C915" s="36" t="s">
        <v>388</v>
      </c>
      <c r="D915" s="36" t="s">
        <v>1674</v>
      </c>
      <c r="E915" s="36" t="s">
        <v>606</v>
      </c>
      <c r="F915" s="55">
        <f>'Stavební rozpočet'!F937</f>
        <v>0</v>
      </c>
      <c r="G915" s="55">
        <f>'Stavební rozpočet'!G937</f>
        <v>0</v>
      </c>
      <c r="H915" s="55">
        <f>F915*AO915</f>
        <v>0</v>
      </c>
      <c r="I915" s="55">
        <f>F915*AP915</f>
        <v>0</v>
      </c>
      <c r="J915" s="55">
        <f>F915*G915</f>
        <v>0</v>
      </c>
      <c r="K915" s="55">
        <f>'Stavební rozpočet'!K937</f>
        <v>0</v>
      </c>
      <c r="L915" s="55">
        <f>F915*K915</f>
        <v>0</v>
      </c>
      <c r="M915" s="51" t="s">
        <v>1693</v>
      </c>
      <c r="Z915" s="29">
        <f>IF(AQ915="5",BJ915,0)</f>
        <v>0</v>
      </c>
      <c r="AB915" s="29">
        <f>IF(AQ915="1",BH915,0)</f>
        <v>0</v>
      </c>
      <c r="AC915" s="29">
        <f>IF(AQ915="1",BI915,0)</f>
        <v>0</v>
      </c>
      <c r="AD915" s="29">
        <f>IF(AQ915="7",BH915,0)</f>
        <v>0</v>
      </c>
      <c r="AE915" s="29">
        <f>IF(AQ915="7",BI915,0)</f>
        <v>0</v>
      </c>
      <c r="AF915" s="29">
        <f>IF(AQ915="2",BH915,0)</f>
        <v>0</v>
      </c>
      <c r="AG915" s="29">
        <f>IF(AQ915="2",BI915,0)</f>
        <v>0</v>
      </c>
      <c r="AH915" s="29">
        <f>IF(AQ915="0",BJ915,0)</f>
        <v>0</v>
      </c>
      <c r="AI915" s="48" t="s">
        <v>62</v>
      </c>
      <c r="AJ915" s="55">
        <f>IF(AN915=0,J915,0)</f>
        <v>0</v>
      </c>
      <c r="AK915" s="55">
        <f>IF(AN915=15,J915,0)</f>
        <v>0</v>
      </c>
      <c r="AL915" s="55">
        <f>IF(AN915=21,J915,0)</f>
        <v>0</v>
      </c>
      <c r="AN915" s="29">
        <v>15</v>
      </c>
      <c r="AO915" s="29">
        <f>G915*0</f>
        <v>0</v>
      </c>
      <c r="AP915" s="29">
        <f>G915*(1-0)</f>
        <v>0</v>
      </c>
      <c r="AQ915" s="51" t="s">
        <v>85</v>
      </c>
      <c r="AV915" s="29">
        <f>AW915+AX915</f>
        <v>0</v>
      </c>
      <c r="AW915" s="29">
        <f>F915*AO915</f>
        <v>0</v>
      </c>
      <c r="AX915" s="29">
        <f>F915*AP915</f>
        <v>0</v>
      </c>
      <c r="AY915" s="54" t="s">
        <v>1695</v>
      </c>
      <c r="AZ915" s="54" t="s">
        <v>1702</v>
      </c>
      <c r="BA915" s="48" t="s">
        <v>1703</v>
      </c>
      <c r="BC915" s="29">
        <f>AW915+AX915</f>
        <v>0</v>
      </c>
      <c r="BD915" s="29">
        <f>G915/(100-BE915)*100</f>
        <v>0</v>
      </c>
      <c r="BE915" s="29">
        <v>0</v>
      </c>
      <c r="BF915" s="29">
        <f>L915</f>
        <v>0</v>
      </c>
      <c r="BH915" s="55">
        <f>F915*AO915</f>
        <v>0</v>
      </c>
      <c r="BI915" s="55">
        <f>F915*AP915</f>
        <v>0</v>
      </c>
      <c r="BJ915" s="55">
        <f>F915*G915</f>
        <v>0</v>
      </c>
    </row>
    <row r="916" spans="1:47" ht="12.75">
      <c r="A916" s="35"/>
      <c r="B916" s="42" t="s">
        <v>62</v>
      </c>
      <c r="C916" s="42" t="s">
        <v>1651</v>
      </c>
      <c r="D916" s="42" t="s">
        <v>1675</v>
      </c>
      <c r="E916" s="35" t="s">
        <v>57</v>
      </c>
      <c r="F916" s="35" t="s">
        <v>57</v>
      </c>
      <c r="G916" s="35" t="s">
        <v>57</v>
      </c>
      <c r="H916" s="59">
        <f>SUM(H917:H919)</f>
        <v>0</v>
      </c>
      <c r="I916" s="59">
        <f>SUM(I917:I919)</f>
        <v>0</v>
      </c>
      <c r="J916" s="59">
        <f>SUM(J917:J919)</f>
        <v>0</v>
      </c>
      <c r="K916" s="48"/>
      <c r="L916" s="59">
        <f>SUM(L917:L919)</f>
        <v>0</v>
      </c>
      <c r="M916" s="48"/>
      <c r="AI916" s="48" t="s">
        <v>62</v>
      </c>
      <c r="AS916" s="59">
        <f>SUM(AJ917:AJ919)</f>
        <v>0</v>
      </c>
      <c r="AT916" s="59">
        <f>SUM(AK917:AK919)</f>
        <v>0</v>
      </c>
      <c r="AU916" s="59">
        <f>SUM(AL917:AL919)</f>
        <v>0</v>
      </c>
    </row>
    <row r="917" spans="1:62" ht="12.75">
      <c r="A917" s="36" t="s">
        <v>2117</v>
      </c>
      <c r="B917" s="36" t="s">
        <v>62</v>
      </c>
      <c r="C917" s="36" t="s">
        <v>392</v>
      </c>
      <c r="D917" s="36" t="s">
        <v>1676</v>
      </c>
      <c r="E917" s="36" t="s">
        <v>611</v>
      </c>
      <c r="F917" s="55">
        <f>'Stavební rozpočet'!F939</f>
        <v>0</v>
      </c>
      <c r="G917" s="55">
        <f>'Stavební rozpočet'!G939</f>
        <v>0</v>
      </c>
      <c r="H917" s="55">
        <f>F917*AO917</f>
        <v>0</v>
      </c>
      <c r="I917" s="55">
        <f>F917*AP917</f>
        <v>0</v>
      </c>
      <c r="J917" s="55">
        <f>F917*G917</f>
        <v>0</v>
      </c>
      <c r="K917" s="55">
        <f>'Stavební rozpočet'!K939</f>
        <v>0</v>
      </c>
      <c r="L917" s="55">
        <f>F917*K917</f>
        <v>0</v>
      </c>
      <c r="M917" s="51" t="s">
        <v>1693</v>
      </c>
      <c r="Z917" s="29">
        <f>IF(AQ917="5",BJ917,0)</f>
        <v>0</v>
      </c>
      <c r="AB917" s="29">
        <f>IF(AQ917="1",BH917,0)</f>
        <v>0</v>
      </c>
      <c r="AC917" s="29">
        <f>IF(AQ917="1",BI917,0)</f>
        <v>0</v>
      </c>
      <c r="AD917" s="29">
        <f>IF(AQ917="7",BH917,0)</f>
        <v>0</v>
      </c>
      <c r="AE917" s="29">
        <f>IF(AQ917="7",BI917,0)</f>
        <v>0</v>
      </c>
      <c r="AF917" s="29">
        <f>IF(AQ917="2",BH917,0)</f>
        <v>0</v>
      </c>
      <c r="AG917" s="29">
        <f>IF(AQ917="2",BI917,0)</f>
        <v>0</v>
      </c>
      <c r="AH917" s="29">
        <f>IF(AQ917="0",BJ917,0)</f>
        <v>0</v>
      </c>
      <c r="AI917" s="48" t="s">
        <v>62</v>
      </c>
      <c r="AJ917" s="55">
        <f>IF(AN917=0,J917,0)</f>
        <v>0</v>
      </c>
      <c r="AK917" s="55">
        <f>IF(AN917=15,J917,0)</f>
        <v>0</v>
      </c>
      <c r="AL917" s="55">
        <f>IF(AN917=21,J917,0)</f>
        <v>0</v>
      </c>
      <c r="AN917" s="29">
        <v>15</v>
      </c>
      <c r="AO917" s="29">
        <f>G917*0</f>
        <v>0</v>
      </c>
      <c r="AP917" s="29">
        <f>G917*(1-0)</f>
        <v>0</v>
      </c>
      <c r="AQ917" s="51" t="s">
        <v>85</v>
      </c>
      <c r="AV917" s="29">
        <f>AW917+AX917</f>
        <v>0</v>
      </c>
      <c r="AW917" s="29">
        <f>F917*AO917</f>
        <v>0</v>
      </c>
      <c r="AX917" s="29">
        <f>F917*AP917</f>
        <v>0</v>
      </c>
      <c r="AY917" s="54" t="s">
        <v>1696</v>
      </c>
      <c r="AZ917" s="54" t="s">
        <v>1702</v>
      </c>
      <c r="BA917" s="48" t="s">
        <v>1703</v>
      </c>
      <c r="BC917" s="29">
        <f>AW917+AX917</f>
        <v>0</v>
      </c>
      <c r="BD917" s="29">
        <f>G917/(100-BE917)*100</f>
        <v>0</v>
      </c>
      <c r="BE917" s="29">
        <v>0</v>
      </c>
      <c r="BF917" s="29">
        <f>L917</f>
        <v>0</v>
      </c>
      <c r="BH917" s="55">
        <f>F917*AO917</f>
        <v>0</v>
      </c>
      <c r="BI917" s="55">
        <f>F917*AP917</f>
        <v>0</v>
      </c>
      <c r="BJ917" s="55">
        <f>F917*G917</f>
        <v>0</v>
      </c>
    </row>
    <row r="918" spans="1:62" ht="12.75">
      <c r="A918" s="36" t="s">
        <v>2118</v>
      </c>
      <c r="B918" s="36" t="s">
        <v>62</v>
      </c>
      <c r="C918" s="36" t="s">
        <v>1652</v>
      </c>
      <c r="D918" s="36" t="s">
        <v>1677</v>
      </c>
      <c r="E918" s="36" t="s">
        <v>611</v>
      </c>
      <c r="F918" s="55">
        <f>'Stavební rozpočet'!F940</f>
        <v>0</v>
      </c>
      <c r="G918" s="55">
        <f>'Stavební rozpočet'!G940</f>
        <v>0</v>
      </c>
      <c r="H918" s="55">
        <f>F918*AO918</f>
        <v>0</v>
      </c>
      <c r="I918" s="55">
        <f>F918*AP918</f>
        <v>0</v>
      </c>
      <c r="J918" s="55">
        <f>F918*G918</f>
        <v>0</v>
      </c>
      <c r="K918" s="55">
        <f>'Stavební rozpočet'!K940</f>
        <v>0</v>
      </c>
      <c r="L918" s="55">
        <f>F918*K918</f>
        <v>0</v>
      </c>
      <c r="M918" s="51" t="s">
        <v>1693</v>
      </c>
      <c r="Z918" s="29">
        <f>IF(AQ918="5",BJ918,0)</f>
        <v>0</v>
      </c>
      <c r="AB918" s="29">
        <f>IF(AQ918="1",BH918,0)</f>
        <v>0</v>
      </c>
      <c r="AC918" s="29">
        <f>IF(AQ918="1",BI918,0)</f>
        <v>0</v>
      </c>
      <c r="AD918" s="29">
        <f>IF(AQ918="7",BH918,0)</f>
        <v>0</v>
      </c>
      <c r="AE918" s="29">
        <f>IF(AQ918="7",BI918,0)</f>
        <v>0</v>
      </c>
      <c r="AF918" s="29">
        <f>IF(AQ918="2",BH918,0)</f>
        <v>0</v>
      </c>
      <c r="AG918" s="29">
        <f>IF(AQ918="2",BI918,0)</f>
        <v>0</v>
      </c>
      <c r="AH918" s="29">
        <f>IF(AQ918="0",BJ918,0)</f>
        <v>0</v>
      </c>
      <c r="AI918" s="48" t="s">
        <v>62</v>
      </c>
      <c r="AJ918" s="55">
        <f>IF(AN918=0,J918,0)</f>
        <v>0</v>
      </c>
      <c r="AK918" s="55">
        <f>IF(AN918=15,J918,0)</f>
        <v>0</v>
      </c>
      <c r="AL918" s="55">
        <f>IF(AN918=21,J918,0)</f>
        <v>0</v>
      </c>
      <c r="AN918" s="29">
        <v>15</v>
      </c>
      <c r="AO918" s="29">
        <f>G918*0</f>
        <v>0</v>
      </c>
      <c r="AP918" s="29">
        <f>G918*(1-0)</f>
        <v>0</v>
      </c>
      <c r="AQ918" s="51" t="s">
        <v>85</v>
      </c>
      <c r="AV918" s="29">
        <f>AW918+AX918</f>
        <v>0</v>
      </c>
      <c r="AW918" s="29">
        <f>F918*AO918</f>
        <v>0</v>
      </c>
      <c r="AX918" s="29">
        <f>F918*AP918</f>
        <v>0</v>
      </c>
      <c r="AY918" s="54" t="s">
        <v>1696</v>
      </c>
      <c r="AZ918" s="54" t="s">
        <v>1702</v>
      </c>
      <c r="BA918" s="48" t="s">
        <v>1703</v>
      </c>
      <c r="BC918" s="29">
        <f>AW918+AX918</f>
        <v>0</v>
      </c>
      <c r="BD918" s="29">
        <f>G918/(100-BE918)*100</f>
        <v>0</v>
      </c>
      <c r="BE918" s="29">
        <v>0</v>
      </c>
      <c r="BF918" s="29">
        <f>L918</f>
        <v>0</v>
      </c>
      <c r="BH918" s="55">
        <f>F918*AO918</f>
        <v>0</v>
      </c>
      <c r="BI918" s="55">
        <f>F918*AP918</f>
        <v>0</v>
      </c>
      <c r="BJ918" s="55">
        <f>F918*G918</f>
        <v>0</v>
      </c>
    </row>
    <row r="919" spans="1:62" ht="12.75">
      <c r="A919" s="36" t="s">
        <v>2119</v>
      </c>
      <c r="B919" s="36" t="s">
        <v>62</v>
      </c>
      <c r="C919" s="36" t="s">
        <v>392</v>
      </c>
      <c r="D919" s="36" t="s">
        <v>578</v>
      </c>
      <c r="E919" s="36" t="s">
        <v>611</v>
      </c>
      <c r="F919" s="55">
        <f>'Stavební rozpočet'!F941</f>
        <v>0</v>
      </c>
      <c r="G919" s="55">
        <f>'Stavební rozpočet'!G941</f>
        <v>0</v>
      </c>
      <c r="H919" s="55">
        <f>F919*AO919</f>
        <v>0</v>
      </c>
      <c r="I919" s="55">
        <f>F919*AP919</f>
        <v>0</v>
      </c>
      <c r="J919" s="55">
        <f>F919*G919</f>
        <v>0</v>
      </c>
      <c r="K919" s="55">
        <f>'Stavební rozpočet'!K941</f>
        <v>0</v>
      </c>
      <c r="L919" s="55">
        <f>F919*K919</f>
        <v>0</v>
      </c>
      <c r="M919" s="51" t="s">
        <v>1693</v>
      </c>
      <c r="Z919" s="29">
        <f>IF(AQ919="5",BJ919,0)</f>
        <v>0</v>
      </c>
      <c r="AB919" s="29">
        <f>IF(AQ919="1",BH919,0)</f>
        <v>0</v>
      </c>
      <c r="AC919" s="29">
        <f>IF(AQ919="1",BI919,0)</f>
        <v>0</v>
      </c>
      <c r="AD919" s="29">
        <f>IF(AQ919="7",BH919,0)</f>
        <v>0</v>
      </c>
      <c r="AE919" s="29">
        <f>IF(AQ919="7",BI919,0)</f>
        <v>0</v>
      </c>
      <c r="AF919" s="29">
        <f>IF(AQ919="2",BH919,0)</f>
        <v>0</v>
      </c>
      <c r="AG919" s="29">
        <f>IF(AQ919="2",BI919,0)</f>
        <v>0</v>
      </c>
      <c r="AH919" s="29">
        <f>IF(AQ919="0",BJ919,0)</f>
        <v>0</v>
      </c>
      <c r="AI919" s="48" t="s">
        <v>62</v>
      </c>
      <c r="AJ919" s="55">
        <f>IF(AN919=0,J919,0)</f>
        <v>0</v>
      </c>
      <c r="AK919" s="55">
        <f>IF(AN919=15,J919,0)</f>
        <v>0</v>
      </c>
      <c r="AL919" s="55">
        <f>IF(AN919=21,J919,0)</f>
        <v>0</v>
      </c>
      <c r="AN919" s="29">
        <v>15</v>
      </c>
      <c r="AO919" s="29">
        <f>G919*0</f>
        <v>0</v>
      </c>
      <c r="AP919" s="29">
        <f>G919*(1-0)</f>
        <v>0</v>
      </c>
      <c r="AQ919" s="51" t="s">
        <v>85</v>
      </c>
      <c r="AV919" s="29">
        <f>AW919+AX919</f>
        <v>0</v>
      </c>
      <c r="AW919" s="29">
        <f>F919*AO919</f>
        <v>0</v>
      </c>
      <c r="AX919" s="29">
        <f>F919*AP919</f>
        <v>0</v>
      </c>
      <c r="AY919" s="54" t="s">
        <v>1696</v>
      </c>
      <c r="AZ919" s="54" t="s">
        <v>1702</v>
      </c>
      <c r="BA919" s="48" t="s">
        <v>1703</v>
      </c>
      <c r="BC919" s="29">
        <f>AW919+AX919</f>
        <v>0</v>
      </c>
      <c r="BD919" s="29">
        <f>G919/(100-BE919)*100</f>
        <v>0</v>
      </c>
      <c r="BE919" s="29">
        <v>0</v>
      </c>
      <c r="BF919" s="29">
        <f>L919</f>
        <v>0</v>
      </c>
      <c r="BH919" s="55">
        <f>F919*AO919</f>
        <v>0</v>
      </c>
      <c r="BI919" s="55">
        <f>F919*AP919</f>
        <v>0</v>
      </c>
      <c r="BJ919" s="55">
        <f>F919*G919</f>
        <v>0</v>
      </c>
    </row>
    <row r="920" spans="1:47" ht="12.75">
      <c r="A920" s="35"/>
      <c r="B920" s="42" t="s">
        <v>62</v>
      </c>
      <c r="C920" s="42" t="s">
        <v>1653</v>
      </c>
      <c r="D920" s="42" t="s">
        <v>1678</v>
      </c>
      <c r="E920" s="35" t="s">
        <v>57</v>
      </c>
      <c r="F920" s="35" t="s">
        <v>57</v>
      </c>
      <c r="G920" s="35" t="s">
        <v>57</v>
      </c>
      <c r="H920" s="59">
        <f>SUM(H921:H934)</f>
        <v>0</v>
      </c>
      <c r="I920" s="59">
        <f>SUM(I921:I934)</f>
        <v>0</v>
      </c>
      <c r="J920" s="59">
        <f>SUM(J921:J934)</f>
        <v>0</v>
      </c>
      <c r="K920" s="48"/>
      <c r="L920" s="59">
        <f>SUM(L921:L934)</f>
        <v>0</v>
      </c>
      <c r="M920" s="48"/>
      <c r="AI920" s="48" t="s">
        <v>62</v>
      </c>
      <c r="AS920" s="59">
        <f>SUM(AJ921:AJ934)</f>
        <v>0</v>
      </c>
      <c r="AT920" s="59">
        <f>SUM(AK921:AK934)</f>
        <v>0</v>
      </c>
      <c r="AU920" s="59">
        <f>SUM(AL921:AL934)</f>
        <v>0</v>
      </c>
    </row>
    <row r="921" spans="1:62" ht="12.75">
      <c r="A921" s="36" t="s">
        <v>2120</v>
      </c>
      <c r="B921" s="36" t="s">
        <v>62</v>
      </c>
      <c r="C921" s="36" t="s">
        <v>1654</v>
      </c>
      <c r="D921" s="36" t="s">
        <v>1679</v>
      </c>
      <c r="E921" s="36" t="s">
        <v>609</v>
      </c>
      <c r="F921" s="55">
        <f>'Stavební rozpočet'!F943</f>
        <v>0</v>
      </c>
      <c r="G921" s="55">
        <f>'Stavební rozpočet'!G943</f>
        <v>0</v>
      </c>
      <c r="H921" s="55">
        <f aca="true" t="shared" si="934" ref="H921:H934">F921*AO921</f>
        <v>0</v>
      </c>
      <c r="I921" s="55">
        <f aca="true" t="shared" si="935" ref="I921:I934">F921*AP921</f>
        <v>0</v>
      </c>
      <c r="J921" s="55">
        <f aca="true" t="shared" si="936" ref="J921:J934">F921*G921</f>
        <v>0</v>
      </c>
      <c r="K921" s="55">
        <f>'Stavební rozpočet'!K943</f>
        <v>0</v>
      </c>
      <c r="L921" s="55">
        <f aca="true" t="shared" si="937" ref="L921:L934">F921*K921</f>
        <v>0</v>
      </c>
      <c r="M921" s="51" t="s">
        <v>1693</v>
      </c>
      <c r="Z921" s="29">
        <f aca="true" t="shared" si="938" ref="Z921:Z934">IF(AQ921="5",BJ921,0)</f>
        <v>0</v>
      </c>
      <c r="AB921" s="29">
        <f aca="true" t="shared" si="939" ref="AB921:AB934">IF(AQ921="1",BH921,0)</f>
        <v>0</v>
      </c>
      <c r="AC921" s="29">
        <f aca="true" t="shared" si="940" ref="AC921:AC934">IF(AQ921="1",BI921,0)</f>
        <v>0</v>
      </c>
      <c r="AD921" s="29">
        <f aca="true" t="shared" si="941" ref="AD921:AD934">IF(AQ921="7",BH921,0)</f>
        <v>0</v>
      </c>
      <c r="AE921" s="29">
        <f aca="true" t="shared" si="942" ref="AE921:AE934">IF(AQ921="7",BI921,0)</f>
        <v>0</v>
      </c>
      <c r="AF921" s="29">
        <f aca="true" t="shared" si="943" ref="AF921:AF934">IF(AQ921="2",BH921,0)</f>
        <v>0</v>
      </c>
      <c r="AG921" s="29">
        <f aca="true" t="shared" si="944" ref="AG921:AG934">IF(AQ921="2",BI921,0)</f>
        <v>0</v>
      </c>
      <c r="AH921" s="29">
        <f aca="true" t="shared" si="945" ref="AH921:AH934">IF(AQ921="0",BJ921,0)</f>
        <v>0</v>
      </c>
      <c r="AI921" s="48" t="s">
        <v>62</v>
      </c>
      <c r="AJ921" s="55">
        <f aca="true" t="shared" si="946" ref="AJ921:AJ934">IF(AN921=0,J921,0)</f>
        <v>0</v>
      </c>
      <c r="AK921" s="55">
        <f aca="true" t="shared" si="947" ref="AK921:AK934">IF(AN921=15,J921,0)</f>
        <v>0</v>
      </c>
      <c r="AL921" s="55">
        <f aca="true" t="shared" si="948" ref="AL921:AL934">IF(AN921=21,J921,0)</f>
        <v>0</v>
      </c>
      <c r="AN921" s="29">
        <v>15</v>
      </c>
      <c r="AO921" s="29">
        <f aca="true" t="shared" si="949" ref="AO921:AO934">G921*0</f>
        <v>0</v>
      </c>
      <c r="AP921" s="29">
        <f aca="true" t="shared" si="950" ref="AP921:AP934">G921*(1-0)</f>
        <v>0</v>
      </c>
      <c r="AQ921" s="51" t="s">
        <v>85</v>
      </c>
      <c r="AV921" s="29">
        <f aca="true" t="shared" si="951" ref="AV921:AV934">AW921+AX921</f>
        <v>0</v>
      </c>
      <c r="AW921" s="29">
        <f aca="true" t="shared" si="952" ref="AW921:AW934">F921*AO921</f>
        <v>0</v>
      </c>
      <c r="AX921" s="29">
        <f aca="true" t="shared" si="953" ref="AX921:AX934">F921*AP921</f>
        <v>0</v>
      </c>
      <c r="AY921" s="54" t="s">
        <v>1697</v>
      </c>
      <c r="AZ921" s="54" t="s">
        <v>1702</v>
      </c>
      <c r="BA921" s="48" t="s">
        <v>1703</v>
      </c>
      <c r="BC921" s="29">
        <f aca="true" t="shared" si="954" ref="BC921:BC934">AW921+AX921</f>
        <v>0</v>
      </c>
      <c r="BD921" s="29">
        <f aca="true" t="shared" si="955" ref="BD921:BD934">G921/(100-BE921)*100</f>
        <v>0</v>
      </c>
      <c r="BE921" s="29">
        <v>0</v>
      </c>
      <c r="BF921" s="29">
        <f aca="true" t="shared" si="956" ref="BF921:BF934">L921</f>
        <v>0</v>
      </c>
      <c r="BH921" s="55">
        <f aca="true" t="shared" si="957" ref="BH921:BH934">F921*AO921</f>
        <v>0</v>
      </c>
      <c r="BI921" s="55">
        <f aca="true" t="shared" si="958" ref="BI921:BI934">F921*AP921</f>
        <v>0</v>
      </c>
      <c r="BJ921" s="55">
        <f aca="true" t="shared" si="959" ref="BJ921:BJ934">F921*G921</f>
        <v>0</v>
      </c>
    </row>
    <row r="922" spans="1:62" ht="12.75">
      <c r="A922" s="75" t="s">
        <v>2121</v>
      </c>
      <c r="B922" s="75" t="s">
        <v>62</v>
      </c>
      <c r="C922" s="75" t="s">
        <v>1655</v>
      </c>
      <c r="D922" s="75" t="s">
        <v>1680</v>
      </c>
      <c r="E922" s="75" t="s">
        <v>609</v>
      </c>
      <c r="F922" s="76">
        <f>'Stavební rozpočet'!F944</f>
        <v>0</v>
      </c>
      <c r="G922" s="76">
        <f>'Stavební rozpočet'!G944</f>
        <v>0</v>
      </c>
      <c r="H922" s="76">
        <f t="shared" si="934"/>
        <v>0</v>
      </c>
      <c r="I922" s="76">
        <f t="shared" si="935"/>
        <v>0</v>
      </c>
      <c r="J922" s="76">
        <f t="shared" si="936"/>
        <v>0</v>
      </c>
      <c r="K922" s="76">
        <f>'Stavební rozpočet'!K944</f>
        <v>0</v>
      </c>
      <c r="L922" s="76">
        <f t="shared" si="937"/>
        <v>0</v>
      </c>
      <c r="M922" s="77" t="s">
        <v>1693</v>
      </c>
      <c r="Z922" s="29">
        <f t="shared" si="938"/>
        <v>0</v>
      </c>
      <c r="AB922" s="29">
        <f t="shared" si="939"/>
        <v>0</v>
      </c>
      <c r="AC922" s="29">
        <f t="shared" si="940"/>
        <v>0</v>
      </c>
      <c r="AD922" s="29">
        <f t="shared" si="941"/>
        <v>0</v>
      </c>
      <c r="AE922" s="29">
        <f t="shared" si="942"/>
        <v>0</v>
      </c>
      <c r="AF922" s="29">
        <f t="shared" si="943"/>
        <v>0</v>
      </c>
      <c r="AG922" s="29">
        <f t="shared" si="944"/>
        <v>0</v>
      </c>
      <c r="AH922" s="29">
        <f t="shared" si="945"/>
        <v>0</v>
      </c>
      <c r="AI922" s="48" t="s">
        <v>62</v>
      </c>
      <c r="AJ922" s="55">
        <f t="shared" si="946"/>
        <v>0</v>
      </c>
      <c r="AK922" s="55">
        <f t="shared" si="947"/>
        <v>0</v>
      </c>
      <c r="AL922" s="55">
        <f t="shared" si="948"/>
        <v>0</v>
      </c>
      <c r="AN922" s="29">
        <v>15</v>
      </c>
      <c r="AO922" s="29">
        <f t="shared" si="949"/>
        <v>0</v>
      </c>
      <c r="AP922" s="29">
        <f t="shared" si="950"/>
        <v>0</v>
      </c>
      <c r="AQ922" s="51" t="s">
        <v>85</v>
      </c>
      <c r="AV922" s="29">
        <f t="shared" si="951"/>
        <v>0</v>
      </c>
      <c r="AW922" s="29">
        <f t="shared" si="952"/>
        <v>0</v>
      </c>
      <c r="AX922" s="29">
        <f t="shared" si="953"/>
        <v>0</v>
      </c>
      <c r="AY922" s="54" t="s">
        <v>1697</v>
      </c>
      <c r="AZ922" s="54" t="s">
        <v>1702</v>
      </c>
      <c r="BA922" s="48" t="s">
        <v>1703</v>
      </c>
      <c r="BC922" s="29">
        <f t="shared" si="954"/>
        <v>0</v>
      </c>
      <c r="BD922" s="29">
        <f t="shared" si="955"/>
        <v>0</v>
      </c>
      <c r="BE922" s="29">
        <v>0</v>
      </c>
      <c r="BF922" s="29">
        <f t="shared" si="956"/>
        <v>0</v>
      </c>
      <c r="BH922" s="55">
        <f t="shared" si="957"/>
        <v>0</v>
      </c>
      <c r="BI922" s="55">
        <f t="shared" si="958"/>
        <v>0</v>
      </c>
      <c r="BJ922" s="55">
        <f t="shared" si="959"/>
        <v>0</v>
      </c>
    </row>
    <row r="923" spans="1:62" ht="12.75">
      <c r="A923" s="36" t="s">
        <v>2122</v>
      </c>
      <c r="B923" s="36" t="s">
        <v>62</v>
      </c>
      <c r="C923" s="36" t="s">
        <v>1656</v>
      </c>
      <c r="D923" s="36" t="s">
        <v>1681</v>
      </c>
      <c r="E923" s="36" t="s">
        <v>609</v>
      </c>
      <c r="F923" s="55">
        <f>'Stavební rozpočet'!F945</f>
        <v>0</v>
      </c>
      <c r="G923" s="55">
        <f>'Stavební rozpočet'!G945</f>
        <v>0</v>
      </c>
      <c r="H923" s="55">
        <f t="shared" si="934"/>
        <v>0</v>
      </c>
      <c r="I923" s="55">
        <f t="shared" si="935"/>
        <v>0</v>
      </c>
      <c r="J923" s="55">
        <f t="shared" si="936"/>
        <v>0</v>
      </c>
      <c r="K923" s="55">
        <f>'Stavební rozpočet'!K945</f>
        <v>0</v>
      </c>
      <c r="L923" s="55">
        <f t="shared" si="937"/>
        <v>0</v>
      </c>
      <c r="M923" s="51" t="s">
        <v>1693</v>
      </c>
      <c r="Z923" s="29">
        <f t="shared" si="938"/>
        <v>0</v>
      </c>
      <c r="AB923" s="29">
        <f t="shared" si="939"/>
        <v>0</v>
      </c>
      <c r="AC923" s="29">
        <f t="shared" si="940"/>
        <v>0</v>
      </c>
      <c r="AD923" s="29">
        <f t="shared" si="941"/>
        <v>0</v>
      </c>
      <c r="AE923" s="29">
        <f t="shared" si="942"/>
        <v>0</v>
      </c>
      <c r="AF923" s="29">
        <f t="shared" si="943"/>
        <v>0</v>
      </c>
      <c r="AG923" s="29">
        <f t="shared" si="944"/>
        <v>0</v>
      </c>
      <c r="AH923" s="29">
        <f t="shared" si="945"/>
        <v>0</v>
      </c>
      <c r="AI923" s="48" t="s">
        <v>62</v>
      </c>
      <c r="AJ923" s="55">
        <f t="shared" si="946"/>
        <v>0</v>
      </c>
      <c r="AK923" s="55">
        <f t="shared" si="947"/>
        <v>0</v>
      </c>
      <c r="AL923" s="55">
        <f t="shared" si="948"/>
        <v>0</v>
      </c>
      <c r="AN923" s="29">
        <v>15</v>
      </c>
      <c r="AO923" s="29">
        <f t="shared" si="949"/>
        <v>0</v>
      </c>
      <c r="AP923" s="29">
        <f t="shared" si="950"/>
        <v>0</v>
      </c>
      <c r="AQ923" s="51" t="s">
        <v>85</v>
      </c>
      <c r="AV923" s="29">
        <f t="shared" si="951"/>
        <v>0</v>
      </c>
      <c r="AW923" s="29">
        <f t="shared" si="952"/>
        <v>0</v>
      </c>
      <c r="AX923" s="29">
        <f t="shared" si="953"/>
        <v>0</v>
      </c>
      <c r="AY923" s="54" t="s">
        <v>1697</v>
      </c>
      <c r="AZ923" s="54" t="s">
        <v>1702</v>
      </c>
      <c r="BA923" s="48" t="s">
        <v>1703</v>
      </c>
      <c r="BC923" s="29">
        <f t="shared" si="954"/>
        <v>0</v>
      </c>
      <c r="BD923" s="29">
        <f t="shared" si="955"/>
        <v>0</v>
      </c>
      <c r="BE923" s="29">
        <v>0</v>
      </c>
      <c r="BF923" s="29">
        <f t="shared" si="956"/>
        <v>0</v>
      </c>
      <c r="BH923" s="55">
        <f t="shared" si="957"/>
        <v>0</v>
      </c>
      <c r="BI923" s="55">
        <f t="shared" si="958"/>
        <v>0</v>
      </c>
      <c r="BJ923" s="55">
        <f t="shared" si="959"/>
        <v>0</v>
      </c>
    </row>
    <row r="924" spans="1:62" ht="12.75">
      <c r="A924" s="75" t="s">
        <v>2123</v>
      </c>
      <c r="B924" s="75" t="s">
        <v>62</v>
      </c>
      <c r="C924" s="75" t="s">
        <v>1657</v>
      </c>
      <c r="D924" s="75" t="s">
        <v>1681</v>
      </c>
      <c r="E924" s="75" t="s">
        <v>609</v>
      </c>
      <c r="F924" s="76">
        <f>'Stavební rozpočet'!F946</f>
        <v>0</v>
      </c>
      <c r="G924" s="76">
        <f>'Stavební rozpočet'!G946</f>
        <v>0</v>
      </c>
      <c r="H924" s="76">
        <f t="shared" si="934"/>
        <v>0</v>
      </c>
      <c r="I924" s="76">
        <f t="shared" si="935"/>
        <v>0</v>
      </c>
      <c r="J924" s="76">
        <f t="shared" si="936"/>
        <v>0</v>
      </c>
      <c r="K924" s="76">
        <f>'Stavební rozpočet'!K946</f>
        <v>0</v>
      </c>
      <c r="L924" s="76">
        <f t="shared" si="937"/>
        <v>0</v>
      </c>
      <c r="M924" s="77" t="s">
        <v>1693</v>
      </c>
      <c r="Z924" s="29">
        <f t="shared" si="938"/>
        <v>0</v>
      </c>
      <c r="AB924" s="29">
        <f t="shared" si="939"/>
        <v>0</v>
      </c>
      <c r="AC924" s="29">
        <f t="shared" si="940"/>
        <v>0</v>
      </c>
      <c r="AD924" s="29">
        <f t="shared" si="941"/>
        <v>0</v>
      </c>
      <c r="AE924" s="29">
        <f t="shared" si="942"/>
        <v>0</v>
      </c>
      <c r="AF924" s="29">
        <f t="shared" si="943"/>
        <v>0</v>
      </c>
      <c r="AG924" s="29">
        <f t="shared" si="944"/>
        <v>0</v>
      </c>
      <c r="AH924" s="29">
        <f t="shared" si="945"/>
        <v>0</v>
      </c>
      <c r="AI924" s="48" t="s">
        <v>62</v>
      </c>
      <c r="AJ924" s="55">
        <f t="shared" si="946"/>
        <v>0</v>
      </c>
      <c r="AK924" s="55">
        <f t="shared" si="947"/>
        <v>0</v>
      </c>
      <c r="AL924" s="55">
        <f t="shared" si="948"/>
        <v>0</v>
      </c>
      <c r="AN924" s="29">
        <v>15</v>
      </c>
      <c r="AO924" s="29">
        <f t="shared" si="949"/>
        <v>0</v>
      </c>
      <c r="AP924" s="29">
        <f t="shared" si="950"/>
        <v>0</v>
      </c>
      <c r="AQ924" s="51" t="s">
        <v>85</v>
      </c>
      <c r="AV924" s="29">
        <f t="shared" si="951"/>
        <v>0</v>
      </c>
      <c r="AW924" s="29">
        <f t="shared" si="952"/>
        <v>0</v>
      </c>
      <c r="AX924" s="29">
        <f t="shared" si="953"/>
        <v>0</v>
      </c>
      <c r="AY924" s="54" t="s">
        <v>1697</v>
      </c>
      <c r="AZ924" s="54" t="s">
        <v>1702</v>
      </c>
      <c r="BA924" s="48" t="s">
        <v>1703</v>
      </c>
      <c r="BC924" s="29">
        <f t="shared" si="954"/>
        <v>0</v>
      </c>
      <c r="BD924" s="29">
        <f t="shared" si="955"/>
        <v>0</v>
      </c>
      <c r="BE924" s="29">
        <v>0</v>
      </c>
      <c r="BF924" s="29">
        <f t="shared" si="956"/>
        <v>0</v>
      </c>
      <c r="BH924" s="55">
        <f t="shared" si="957"/>
        <v>0</v>
      </c>
      <c r="BI924" s="55">
        <f t="shared" si="958"/>
        <v>0</v>
      </c>
      <c r="BJ924" s="55">
        <f t="shared" si="959"/>
        <v>0</v>
      </c>
    </row>
    <row r="925" spans="1:62" ht="12.75">
      <c r="A925" s="36" t="s">
        <v>2124</v>
      </c>
      <c r="B925" s="36" t="s">
        <v>62</v>
      </c>
      <c r="C925" s="36" t="s">
        <v>1658</v>
      </c>
      <c r="D925" s="36" t="s">
        <v>1682</v>
      </c>
      <c r="E925" s="36" t="s">
        <v>609</v>
      </c>
      <c r="F925" s="55">
        <f>'Stavební rozpočet'!F947</f>
        <v>0</v>
      </c>
      <c r="G925" s="55">
        <f>'Stavební rozpočet'!G947</f>
        <v>0</v>
      </c>
      <c r="H925" s="55">
        <f t="shared" si="934"/>
        <v>0</v>
      </c>
      <c r="I925" s="55">
        <f t="shared" si="935"/>
        <v>0</v>
      </c>
      <c r="J925" s="55">
        <f t="shared" si="936"/>
        <v>0</v>
      </c>
      <c r="K925" s="55">
        <f>'Stavební rozpočet'!K947</f>
        <v>0</v>
      </c>
      <c r="L925" s="55">
        <f t="shared" si="937"/>
        <v>0</v>
      </c>
      <c r="M925" s="51" t="s">
        <v>1693</v>
      </c>
      <c r="Z925" s="29">
        <f t="shared" si="938"/>
        <v>0</v>
      </c>
      <c r="AB925" s="29">
        <f t="shared" si="939"/>
        <v>0</v>
      </c>
      <c r="AC925" s="29">
        <f t="shared" si="940"/>
        <v>0</v>
      </c>
      <c r="AD925" s="29">
        <f t="shared" si="941"/>
        <v>0</v>
      </c>
      <c r="AE925" s="29">
        <f t="shared" si="942"/>
        <v>0</v>
      </c>
      <c r="AF925" s="29">
        <f t="shared" si="943"/>
        <v>0</v>
      </c>
      <c r="AG925" s="29">
        <f t="shared" si="944"/>
        <v>0</v>
      </c>
      <c r="AH925" s="29">
        <f t="shared" si="945"/>
        <v>0</v>
      </c>
      <c r="AI925" s="48" t="s">
        <v>62</v>
      </c>
      <c r="AJ925" s="55">
        <f t="shared" si="946"/>
        <v>0</v>
      </c>
      <c r="AK925" s="55">
        <f t="shared" si="947"/>
        <v>0</v>
      </c>
      <c r="AL925" s="55">
        <f t="shared" si="948"/>
        <v>0</v>
      </c>
      <c r="AN925" s="29">
        <v>15</v>
      </c>
      <c r="AO925" s="29">
        <f t="shared" si="949"/>
        <v>0</v>
      </c>
      <c r="AP925" s="29">
        <f t="shared" si="950"/>
        <v>0</v>
      </c>
      <c r="AQ925" s="51" t="s">
        <v>85</v>
      </c>
      <c r="AV925" s="29">
        <f t="shared" si="951"/>
        <v>0</v>
      </c>
      <c r="AW925" s="29">
        <f t="shared" si="952"/>
        <v>0</v>
      </c>
      <c r="AX925" s="29">
        <f t="shared" si="953"/>
        <v>0</v>
      </c>
      <c r="AY925" s="54" t="s">
        <v>1697</v>
      </c>
      <c r="AZ925" s="54" t="s">
        <v>1702</v>
      </c>
      <c r="BA925" s="48" t="s">
        <v>1703</v>
      </c>
      <c r="BC925" s="29">
        <f t="shared" si="954"/>
        <v>0</v>
      </c>
      <c r="BD925" s="29">
        <f t="shared" si="955"/>
        <v>0</v>
      </c>
      <c r="BE925" s="29">
        <v>0</v>
      </c>
      <c r="BF925" s="29">
        <f t="shared" si="956"/>
        <v>0</v>
      </c>
      <c r="BH925" s="55">
        <f t="shared" si="957"/>
        <v>0</v>
      </c>
      <c r="BI925" s="55">
        <f t="shared" si="958"/>
        <v>0</v>
      </c>
      <c r="BJ925" s="55">
        <f t="shared" si="959"/>
        <v>0</v>
      </c>
    </row>
    <row r="926" spans="1:62" ht="12.75">
      <c r="A926" s="75" t="s">
        <v>2125</v>
      </c>
      <c r="B926" s="75" t="s">
        <v>62</v>
      </c>
      <c r="C926" s="75" t="s">
        <v>1659</v>
      </c>
      <c r="D926" s="75" t="s">
        <v>1682</v>
      </c>
      <c r="E926" s="75" t="s">
        <v>609</v>
      </c>
      <c r="F926" s="76">
        <f>'Stavební rozpočet'!F948</f>
        <v>0</v>
      </c>
      <c r="G926" s="76">
        <f>'Stavební rozpočet'!G948</f>
        <v>0</v>
      </c>
      <c r="H926" s="76">
        <f t="shared" si="934"/>
        <v>0</v>
      </c>
      <c r="I926" s="76">
        <f t="shared" si="935"/>
        <v>0</v>
      </c>
      <c r="J926" s="76">
        <f t="shared" si="936"/>
        <v>0</v>
      </c>
      <c r="K926" s="76">
        <f>'Stavební rozpočet'!K948</f>
        <v>0</v>
      </c>
      <c r="L926" s="76">
        <f t="shared" si="937"/>
        <v>0</v>
      </c>
      <c r="M926" s="77" t="s">
        <v>1693</v>
      </c>
      <c r="Z926" s="29">
        <f t="shared" si="938"/>
        <v>0</v>
      </c>
      <c r="AB926" s="29">
        <f t="shared" si="939"/>
        <v>0</v>
      </c>
      <c r="AC926" s="29">
        <f t="shared" si="940"/>
        <v>0</v>
      </c>
      <c r="AD926" s="29">
        <f t="shared" si="941"/>
        <v>0</v>
      </c>
      <c r="AE926" s="29">
        <f t="shared" si="942"/>
        <v>0</v>
      </c>
      <c r="AF926" s="29">
        <f t="shared" si="943"/>
        <v>0</v>
      </c>
      <c r="AG926" s="29">
        <f t="shared" si="944"/>
        <v>0</v>
      </c>
      <c r="AH926" s="29">
        <f t="shared" si="945"/>
        <v>0</v>
      </c>
      <c r="AI926" s="48" t="s">
        <v>62</v>
      </c>
      <c r="AJ926" s="55">
        <f t="shared" si="946"/>
        <v>0</v>
      </c>
      <c r="AK926" s="55">
        <f t="shared" si="947"/>
        <v>0</v>
      </c>
      <c r="AL926" s="55">
        <f t="shared" si="948"/>
        <v>0</v>
      </c>
      <c r="AN926" s="29">
        <v>15</v>
      </c>
      <c r="AO926" s="29">
        <f t="shared" si="949"/>
        <v>0</v>
      </c>
      <c r="AP926" s="29">
        <f t="shared" si="950"/>
        <v>0</v>
      </c>
      <c r="AQ926" s="51" t="s">
        <v>85</v>
      </c>
      <c r="AV926" s="29">
        <f t="shared" si="951"/>
        <v>0</v>
      </c>
      <c r="AW926" s="29">
        <f t="shared" si="952"/>
        <v>0</v>
      </c>
      <c r="AX926" s="29">
        <f t="shared" si="953"/>
        <v>0</v>
      </c>
      <c r="AY926" s="54" t="s">
        <v>1697</v>
      </c>
      <c r="AZ926" s="54" t="s">
        <v>1702</v>
      </c>
      <c r="BA926" s="48" t="s">
        <v>1703</v>
      </c>
      <c r="BC926" s="29">
        <f t="shared" si="954"/>
        <v>0</v>
      </c>
      <c r="BD926" s="29">
        <f t="shared" si="955"/>
        <v>0</v>
      </c>
      <c r="BE926" s="29">
        <v>0</v>
      </c>
      <c r="BF926" s="29">
        <f t="shared" si="956"/>
        <v>0</v>
      </c>
      <c r="BH926" s="55">
        <f t="shared" si="957"/>
        <v>0</v>
      </c>
      <c r="BI926" s="55">
        <f t="shared" si="958"/>
        <v>0</v>
      </c>
      <c r="BJ926" s="55">
        <f t="shared" si="959"/>
        <v>0</v>
      </c>
    </row>
    <row r="927" spans="1:62" ht="12.75">
      <c r="A927" s="36" t="s">
        <v>2126</v>
      </c>
      <c r="B927" s="36" t="s">
        <v>62</v>
      </c>
      <c r="C927" s="36" t="s">
        <v>1660</v>
      </c>
      <c r="D927" s="36" t="s">
        <v>1683</v>
      </c>
      <c r="E927" s="36" t="s">
        <v>613</v>
      </c>
      <c r="F927" s="55">
        <f>'Stavební rozpočet'!F949</f>
        <v>0</v>
      </c>
      <c r="G927" s="55">
        <f>'Stavební rozpočet'!G949</f>
        <v>0</v>
      </c>
      <c r="H927" s="55">
        <f t="shared" si="934"/>
        <v>0</v>
      </c>
      <c r="I927" s="55">
        <f t="shared" si="935"/>
        <v>0</v>
      </c>
      <c r="J927" s="55">
        <f t="shared" si="936"/>
        <v>0</v>
      </c>
      <c r="K927" s="55">
        <f>'Stavební rozpočet'!K949</f>
        <v>0</v>
      </c>
      <c r="L927" s="55">
        <f t="shared" si="937"/>
        <v>0</v>
      </c>
      <c r="M927" s="51" t="s">
        <v>1693</v>
      </c>
      <c r="Z927" s="29">
        <f t="shared" si="938"/>
        <v>0</v>
      </c>
      <c r="AB927" s="29">
        <f t="shared" si="939"/>
        <v>0</v>
      </c>
      <c r="AC927" s="29">
        <f t="shared" si="940"/>
        <v>0</v>
      </c>
      <c r="AD927" s="29">
        <f t="shared" si="941"/>
        <v>0</v>
      </c>
      <c r="AE927" s="29">
        <f t="shared" si="942"/>
        <v>0</v>
      </c>
      <c r="AF927" s="29">
        <f t="shared" si="943"/>
        <v>0</v>
      </c>
      <c r="AG927" s="29">
        <f t="shared" si="944"/>
        <v>0</v>
      </c>
      <c r="AH927" s="29">
        <f t="shared" si="945"/>
        <v>0</v>
      </c>
      <c r="AI927" s="48" t="s">
        <v>62</v>
      </c>
      <c r="AJ927" s="55">
        <f t="shared" si="946"/>
        <v>0</v>
      </c>
      <c r="AK927" s="55">
        <f t="shared" si="947"/>
        <v>0</v>
      </c>
      <c r="AL927" s="55">
        <f t="shared" si="948"/>
        <v>0</v>
      </c>
      <c r="AN927" s="29">
        <v>15</v>
      </c>
      <c r="AO927" s="29">
        <f t="shared" si="949"/>
        <v>0</v>
      </c>
      <c r="AP927" s="29">
        <f t="shared" si="950"/>
        <v>0</v>
      </c>
      <c r="AQ927" s="51" t="s">
        <v>85</v>
      </c>
      <c r="AV927" s="29">
        <f t="shared" si="951"/>
        <v>0</v>
      </c>
      <c r="AW927" s="29">
        <f t="shared" si="952"/>
        <v>0</v>
      </c>
      <c r="AX927" s="29">
        <f t="shared" si="953"/>
        <v>0</v>
      </c>
      <c r="AY927" s="54" t="s">
        <v>1697</v>
      </c>
      <c r="AZ927" s="54" t="s">
        <v>1702</v>
      </c>
      <c r="BA927" s="48" t="s">
        <v>1703</v>
      </c>
      <c r="BC927" s="29">
        <f t="shared" si="954"/>
        <v>0</v>
      </c>
      <c r="BD927" s="29">
        <f t="shared" si="955"/>
        <v>0</v>
      </c>
      <c r="BE927" s="29">
        <v>0</v>
      </c>
      <c r="BF927" s="29">
        <f t="shared" si="956"/>
        <v>0</v>
      </c>
      <c r="BH927" s="55">
        <f t="shared" si="957"/>
        <v>0</v>
      </c>
      <c r="BI927" s="55">
        <f t="shared" si="958"/>
        <v>0</v>
      </c>
      <c r="BJ927" s="55">
        <f t="shared" si="959"/>
        <v>0</v>
      </c>
    </row>
    <row r="928" spans="1:62" ht="12.75">
      <c r="A928" s="75" t="s">
        <v>2127</v>
      </c>
      <c r="B928" s="75" t="s">
        <v>62</v>
      </c>
      <c r="C928" s="75" t="s">
        <v>1661</v>
      </c>
      <c r="D928" s="75" t="s">
        <v>1683</v>
      </c>
      <c r="E928" s="75" t="s">
        <v>613</v>
      </c>
      <c r="F928" s="76">
        <f>'Stavební rozpočet'!F950</f>
        <v>0</v>
      </c>
      <c r="G928" s="76">
        <f>'Stavební rozpočet'!G950</f>
        <v>0</v>
      </c>
      <c r="H928" s="76">
        <f t="shared" si="934"/>
        <v>0</v>
      </c>
      <c r="I928" s="76">
        <f t="shared" si="935"/>
        <v>0</v>
      </c>
      <c r="J928" s="76">
        <f t="shared" si="936"/>
        <v>0</v>
      </c>
      <c r="K928" s="76">
        <f>'Stavební rozpočet'!K950</f>
        <v>0</v>
      </c>
      <c r="L928" s="76">
        <f t="shared" si="937"/>
        <v>0</v>
      </c>
      <c r="M928" s="77" t="s">
        <v>1693</v>
      </c>
      <c r="Z928" s="29">
        <f t="shared" si="938"/>
        <v>0</v>
      </c>
      <c r="AB928" s="29">
        <f t="shared" si="939"/>
        <v>0</v>
      </c>
      <c r="AC928" s="29">
        <f t="shared" si="940"/>
        <v>0</v>
      </c>
      <c r="AD928" s="29">
        <f t="shared" si="941"/>
        <v>0</v>
      </c>
      <c r="AE928" s="29">
        <f t="shared" si="942"/>
        <v>0</v>
      </c>
      <c r="AF928" s="29">
        <f t="shared" si="943"/>
        <v>0</v>
      </c>
      <c r="AG928" s="29">
        <f t="shared" si="944"/>
        <v>0</v>
      </c>
      <c r="AH928" s="29">
        <f t="shared" si="945"/>
        <v>0</v>
      </c>
      <c r="AI928" s="48" t="s">
        <v>62</v>
      </c>
      <c r="AJ928" s="55">
        <f t="shared" si="946"/>
        <v>0</v>
      </c>
      <c r="AK928" s="55">
        <f t="shared" si="947"/>
        <v>0</v>
      </c>
      <c r="AL928" s="55">
        <f t="shared" si="948"/>
        <v>0</v>
      </c>
      <c r="AN928" s="29">
        <v>15</v>
      </c>
      <c r="AO928" s="29">
        <f t="shared" si="949"/>
        <v>0</v>
      </c>
      <c r="AP928" s="29">
        <f t="shared" si="950"/>
        <v>0</v>
      </c>
      <c r="AQ928" s="51" t="s">
        <v>85</v>
      </c>
      <c r="AV928" s="29">
        <f t="shared" si="951"/>
        <v>0</v>
      </c>
      <c r="AW928" s="29">
        <f t="shared" si="952"/>
        <v>0</v>
      </c>
      <c r="AX928" s="29">
        <f t="shared" si="953"/>
        <v>0</v>
      </c>
      <c r="AY928" s="54" t="s">
        <v>1697</v>
      </c>
      <c r="AZ928" s="54" t="s">
        <v>1702</v>
      </c>
      <c r="BA928" s="48" t="s">
        <v>1703</v>
      </c>
      <c r="BC928" s="29">
        <f t="shared" si="954"/>
        <v>0</v>
      </c>
      <c r="BD928" s="29">
        <f t="shared" si="955"/>
        <v>0</v>
      </c>
      <c r="BE928" s="29">
        <v>0</v>
      </c>
      <c r="BF928" s="29">
        <f t="shared" si="956"/>
        <v>0</v>
      </c>
      <c r="BH928" s="55">
        <f t="shared" si="957"/>
        <v>0</v>
      </c>
      <c r="BI928" s="55">
        <f t="shared" si="958"/>
        <v>0</v>
      </c>
      <c r="BJ928" s="55">
        <f t="shared" si="959"/>
        <v>0</v>
      </c>
    </row>
    <row r="929" spans="1:62" ht="12.75">
      <c r="A929" s="36" t="s">
        <v>2128</v>
      </c>
      <c r="B929" s="36" t="s">
        <v>62</v>
      </c>
      <c r="C929" s="36" t="s">
        <v>1662</v>
      </c>
      <c r="D929" s="36" t="s">
        <v>1684</v>
      </c>
      <c r="E929" s="36" t="s">
        <v>613</v>
      </c>
      <c r="F929" s="55">
        <f>'Stavební rozpočet'!F951</f>
        <v>0</v>
      </c>
      <c r="G929" s="55">
        <f>'Stavební rozpočet'!G951</f>
        <v>0</v>
      </c>
      <c r="H929" s="55">
        <f t="shared" si="934"/>
        <v>0</v>
      </c>
      <c r="I929" s="55">
        <f t="shared" si="935"/>
        <v>0</v>
      </c>
      <c r="J929" s="55">
        <f t="shared" si="936"/>
        <v>0</v>
      </c>
      <c r="K929" s="55">
        <f>'Stavební rozpočet'!K951</f>
        <v>0</v>
      </c>
      <c r="L929" s="55">
        <f t="shared" si="937"/>
        <v>0</v>
      </c>
      <c r="M929" s="51" t="s">
        <v>1693</v>
      </c>
      <c r="Z929" s="29">
        <f t="shared" si="938"/>
        <v>0</v>
      </c>
      <c r="AB929" s="29">
        <f t="shared" si="939"/>
        <v>0</v>
      </c>
      <c r="AC929" s="29">
        <f t="shared" si="940"/>
        <v>0</v>
      </c>
      <c r="AD929" s="29">
        <f t="shared" si="941"/>
        <v>0</v>
      </c>
      <c r="AE929" s="29">
        <f t="shared" si="942"/>
        <v>0</v>
      </c>
      <c r="AF929" s="29">
        <f t="shared" si="943"/>
        <v>0</v>
      </c>
      <c r="AG929" s="29">
        <f t="shared" si="944"/>
        <v>0</v>
      </c>
      <c r="AH929" s="29">
        <f t="shared" si="945"/>
        <v>0</v>
      </c>
      <c r="AI929" s="48" t="s">
        <v>62</v>
      </c>
      <c r="AJ929" s="55">
        <f t="shared" si="946"/>
        <v>0</v>
      </c>
      <c r="AK929" s="55">
        <f t="shared" si="947"/>
        <v>0</v>
      </c>
      <c r="AL929" s="55">
        <f t="shared" si="948"/>
        <v>0</v>
      </c>
      <c r="AN929" s="29">
        <v>15</v>
      </c>
      <c r="AO929" s="29">
        <f t="shared" si="949"/>
        <v>0</v>
      </c>
      <c r="AP929" s="29">
        <f t="shared" si="950"/>
        <v>0</v>
      </c>
      <c r="AQ929" s="51" t="s">
        <v>85</v>
      </c>
      <c r="AV929" s="29">
        <f t="shared" si="951"/>
        <v>0</v>
      </c>
      <c r="AW929" s="29">
        <f t="shared" si="952"/>
        <v>0</v>
      </c>
      <c r="AX929" s="29">
        <f t="shared" si="953"/>
        <v>0</v>
      </c>
      <c r="AY929" s="54" t="s">
        <v>1697</v>
      </c>
      <c r="AZ929" s="54" t="s">
        <v>1702</v>
      </c>
      <c r="BA929" s="48" t="s">
        <v>1703</v>
      </c>
      <c r="BC929" s="29">
        <f t="shared" si="954"/>
        <v>0</v>
      </c>
      <c r="BD929" s="29">
        <f t="shared" si="955"/>
        <v>0</v>
      </c>
      <c r="BE929" s="29">
        <v>0</v>
      </c>
      <c r="BF929" s="29">
        <f t="shared" si="956"/>
        <v>0</v>
      </c>
      <c r="BH929" s="55">
        <f t="shared" si="957"/>
        <v>0</v>
      </c>
      <c r="BI929" s="55">
        <f t="shared" si="958"/>
        <v>0</v>
      </c>
      <c r="BJ929" s="55">
        <f t="shared" si="959"/>
        <v>0</v>
      </c>
    </row>
    <row r="930" spans="1:62" ht="12.75">
      <c r="A930" s="75" t="s">
        <v>2129</v>
      </c>
      <c r="B930" s="75" t="s">
        <v>62</v>
      </c>
      <c r="C930" s="75" t="s">
        <v>1663</v>
      </c>
      <c r="D930" s="75" t="s">
        <v>1684</v>
      </c>
      <c r="E930" s="75" t="s">
        <v>613</v>
      </c>
      <c r="F930" s="76">
        <f>'Stavební rozpočet'!F952</f>
        <v>0</v>
      </c>
      <c r="G930" s="76">
        <f>'Stavební rozpočet'!G952</f>
        <v>0</v>
      </c>
      <c r="H930" s="76">
        <f t="shared" si="934"/>
        <v>0</v>
      </c>
      <c r="I930" s="76">
        <f t="shared" si="935"/>
        <v>0</v>
      </c>
      <c r="J930" s="76">
        <f t="shared" si="936"/>
        <v>0</v>
      </c>
      <c r="K930" s="76">
        <f>'Stavební rozpočet'!K952</f>
        <v>0</v>
      </c>
      <c r="L930" s="76">
        <f t="shared" si="937"/>
        <v>0</v>
      </c>
      <c r="M930" s="77" t="s">
        <v>1693</v>
      </c>
      <c r="Z930" s="29">
        <f t="shared" si="938"/>
        <v>0</v>
      </c>
      <c r="AB930" s="29">
        <f t="shared" si="939"/>
        <v>0</v>
      </c>
      <c r="AC930" s="29">
        <f t="shared" si="940"/>
        <v>0</v>
      </c>
      <c r="AD930" s="29">
        <f t="shared" si="941"/>
        <v>0</v>
      </c>
      <c r="AE930" s="29">
        <f t="shared" si="942"/>
        <v>0</v>
      </c>
      <c r="AF930" s="29">
        <f t="shared" si="943"/>
        <v>0</v>
      </c>
      <c r="AG930" s="29">
        <f t="shared" si="944"/>
        <v>0</v>
      </c>
      <c r="AH930" s="29">
        <f t="shared" si="945"/>
        <v>0</v>
      </c>
      <c r="AI930" s="48" t="s">
        <v>62</v>
      </c>
      <c r="AJ930" s="55">
        <f t="shared" si="946"/>
        <v>0</v>
      </c>
      <c r="AK930" s="55">
        <f t="shared" si="947"/>
        <v>0</v>
      </c>
      <c r="AL930" s="55">
        <f t="shared" si="948"/>
        <v>0</v>
      </c>
      <c r="AN930" s="29">
        <v>15</v>
      </c>
      <c r="AO930" s="29">
        <f t="shared" si="949"/>
        <v>0</v>
      </c>
      <c r="AP930" s="29">
        <f t="shared" si="950"/>
        <v>0</v>
      </c>
      <c r="AQ930" s="51" t="s">
        <v>85</v>
      </c>
      <c r="AV930" s="29">
        <f t="shared" si="951"/>
        <v>0</v>
      </c>
      <c r="AW930" s="29">
        <f t="shared" si="952"/>
        <v>0</v>
      </c>
      <c r="AX930" s="29">
        <f t="shared" si="953"/>
        <v>0</v>
      </c>
      <c r="AY930" s="54" t="s">
        <v>1697</v>
      </c>
      <c r="AZ930" s="54" t="s">
        <v>1702</v>
      </c>
      <c r="BA930" s="48" t="s">
        <v>1703</v>
      </c>
      <c r="BC930" s="29">
        <f t="shared" si="954"/>
        <v>0</v>
      </c>
      <c r="BD930" s="29">
        <f t="shared" si="955"/>
        <v>0</v>
      </c>
      <c r="BE930" s="29">
        <v>0</v>
      </c>
      <c r="BF930" s="29">
        <f t="shared" si="956"/>
        <v>0</v>
      </c>
      <c r="BH930" s="55">
        <f t="shared" si="957"/>
        <v>0</v>
      </c>
      <c r="BI930" s="55">
        <f t="shared" si="958"/>
        <v>0</v>
      </c>
      <c r="BJ930" s="55">
        <f t="shared" si="959"/>
        <v>0</v>
      </c>
    </row>
    <row r="931" spans="1:62" ht="12.75">
      <c r="A931" s="36" t="s">
        <v>2130</v>
      </c>
      <c r="B931" s="36" t="s">
        <v>62</v>
      </c>
      <c r="C931" s="36" t="s">
        <v>1664</v>
      </c>
      <c r="D931" s="36" t="s">
        <v>1685</v>
      </c>
      <c r="E931" s="36" t="s">
        <v>613</v>
      </c>
      <c r="F931" s="55">
        <f>'Stavební rozpočet'!F953</f>
        <v>0</v>
      </c>
      <c r="G931" s="55">
        <f>'Stavební rozpočet'!G953</f>
        <v>0</v>
      </c>
      <c r="H931" s="55">
        <f t="shared" si="934"/>
        <v>0</v>
      </c>
      <c r="I931" s="55">
        <f t="shared" si="935"/>
        <v>0</v>
      </c>
      <c r="J931" s="55">
        <f t="shared" si="936"/>
        <v>0</v>
      </c>
      <c r="K931" s="55">
        <f>'Stavební rozpočet'!K953</f>
        <v>0</v>
      </c>
      <c r="L931" s="55">
        <f t="shared" si="937"/>
        <v>0</v>
      </c>
      <c r="M931" s="51" t="s">
        <v>1693</v>
      </c>
      <c r="Z931" s="29">
        <f t="shared" si="938"/>
        <v>0</v>
      </c>
      <c r="AB931" s="29">
        <f t="shared" si="939"/>
        <v>0</v>
      </c>
      <c r="AC931" s="29">
        <f t="shared" si="940"/>
        <v>0</v>
      </c>
      <c r="AD931" s="29">
        <f t="shared" si="941"/>
        <v>0</v>
      </c>
      <c r="AE931" s="29">
        <f t="shared" si="942"/>
        <v>0</v>
      </c>
      <c r="AF931" s="29">
        <f t="shared" si="943"/>
        <v>0</v>
      </c>
      <c r="AG931" s="29">
        <f t="shared" si="944"/>
        <v>0</v>
      </c>
      <c r="AH931" s="29">
        <f t="shared" si="945"/>
        <v>0</v>
      </c>
      <c r="AI931" s="48" t="s">
        <v>62</v>
      </c>
      <c r="AJ931" s="55">
        <f t="shared" si="946"/>
        <v>0</v>
      </c>
      <c r="AK931" s="55">
        <f t="shared" si="947"/>
        <v>0</v>
      </c>
      <c r="AL931" s="55">
        <f t="shared" si="948"/>
        <v>0</v>
      </c>
      <c r="AN931" s="29">
        <v>15</v>
      </c>
      <c r="AO931" s="29">
        <f t="shared" si="949"/>
        <v>0</v>
      </c>
      <c r="AP931" s="29">
        <f t="shared" si="950"/>
        <v>0</v>
      </c>
      <c r="AQ931" s="51" t="s">
        <v>85</v>
      </c>
      <c r="AV931" s="29">
        <f t="shared" si="951"/>
        <v>0</v>
      </c>
      <c r="AW931" s="29">
        <f t="shared" si="952"/>
        <v>0</v>
      </c>
      <c r="AX931" s="29">
        <f t="shared" si="953"/>
        <v>0</v>
      </c>
      <c r="AY931" s="54" t="s">
        <v>1697</v>
      </c>
      <c r="AZ931" s="54" t="s">
        <v>1702</v>
      </c>
      <c r="BA931" s="48" t="s">
        <v>1703</v>
      </c>
      <c r="BC931" s="29">
        <f t="shared" si="954"/>
        <v>0</v>
      </c>
      <c r="BD931" s="29">
        <f t="shared" si="955"/>
        <v>0</v>
      </c>
      <c r="BE931" s="29">
        <v>0</v>
      </c>
      <c r="BF931" s="29">
        <f t="shared" si="956"/>
        <v>0</v>
      </c>
      <c r="BH931" s="55">
        <f t="shared" si="957"/>
        <v>0</v>
      </c>
      <c r="BI931" s="55">
        <f t="shared" si="958"/>
        <v>0</v>
      </c>
      <c r="BJ931" s="55">
        <f t="shared" si="959"/>
        <v>0</v>
      </c>
    </row>
    <row r="932" spans="1:62" ht="12.75">
      <c r="A932" s="75" t="s">
        <v>2131</v>
      </c>
      <c r="B932" s="75" t="s">
        <v>62</v>
      </c>
      <c r="C932" s="75" t="s">
        <v>1665</v>
      </c>
      <c r="D932" s="75" t="s">
        <v>1685</v>
      </c>
      <c r="E932" s="75" t="s">
        <v>613</v>
      </c>
      <c r="F932" s="76">
        <f>'Stavební rozpočet'!F954</f>
        <v>0</v>
      </c>
      <c r="G932" s="76">
        <f>'Stavební rozpočet'!G954</f>
        <v>0</v>
      </c>
      <c r="H932" s="76">
        <f t="shared" si="934"/>
        <v>0</v>
      </c>
      <c r="I932" s="76">
        <f t="shared" si="935"/>
        <v>0</v>
      </c>
      <c r="J932" s="76">
        <f t="shared" si="936"/>
        <v>0</v>
      </c>
      <c r="K932" s="76">
        <f>'Stavební rozpočet'!K954</f>
        <v>0</v>
      </c>
      <c r="L932" s="76">
        <f t="shared" si="937"/>
        <v>0</v>
      </c>
      <c r="M932" s="77" t="s">
        <v>1693</v>
      </c>
      <c r="Z932" s="29">
        <f t="shared" si="938"/>
        <v>0</v>
      </c>
      <c r="AB932" s="29">
        <f t="shared" si="939"/>
        <v>0</v>
      </c>
      <c r="AC932" s="29">
        <f t="shared" si="940"/>
        <v>0</v>
      </c>
      <c r="AD932" s="29">
        <f t="shared" si="941"/>
        <v>0</v>
      </c>
      <c r="AE932" s="29">
        <f t="shared" si="942"/>
        <v>0</v>
      </c>
      <c r="AF932" s="29">
        <f t="shared" si="943"/>
        <v>0</v>
      </c>
      <c r="AG932" s="29">
        <f t="shared" si="944"/>
        <v>0</v>
      </c>
      <c r="AH932" s="29">
        <f t="shared" si="945"/>
        <v>0</v>
      </c>
      <c r="AI932" s="48" t="s">
        <v>62</v>
      </c>
      <c r="AJ932" s="55">
        <f t="shared" si="946"/>
        <v>0</v>
      </c>
      <c r="AK932" s="55">
        <f t="shared" si="947"/>
        <v>0</v>
      </c>
      <c r="AL932" s="55">
        <f t="shared" si="948"/>
        <v>0</v>
      </c>
      <c r="AN932" s="29">
        <v>15</v>
      </c>
      <c r="AO932" s="29">
        <f t="shared" si="949"/>
        <v>0</v>
      </c>
      <c r="AP932" s="29">
        <f t="shared" si="950"/>
        <v>0</v>
      </c>
      <c r="AQ932" s="51" t="s">
        <v>85</v>
      </c>
      <c r="AV932" s="29">
        <f t="shared" si="951"/>
        <v>0</v>
      </c>
      <c r="AW932" s="29">
        <f t="shared" si="952"/>
        <v>0</v>
      </c>
      <c r="AX932" s="29">
        <f t="shared" si="953"/>
        <v>0</v>
      </c>
      <c r="AY932" s="54" t="s">
        <v>1697</v>
      </c>
      <c r="AZ932" s="54" t="s">
        <v>1702</v>
      </c>
      <c r="BA932" s="48" t="s">
        <v>1703</v>
      </c>
      <c r="BC932" s="29">
        <f t="shared" si="954"/>
        <v>0</v>
      </c>
      <c r="BD932" s="29">
        <f t="shared" si="955"/>
        <v>0</v>
      </c>
      <c r="BE932" s="29">
        <v>0</v>
      </c>
      <c r="BF932" s="29">
        <f t="shared" si="956"/>
        <v>0</v>
      </c>
      <c r="BH932" s="55">
        <f t="shared" si="957"/>
        <v>0</v>
      </c>
      <c r="BI932" s="55">
        <f t="shared" si="958"/>
        <v>0</v>
      </c>
      <c r="BJ932" s="55">
        <f t="shared" si="959"/>
        <v>0</v>
      </c>
    </row>
    <row r="933" spans="1:62" ht="12.75">
      <c r="A933" s="36" t="s">
        <v>2132</v>
      </c>
      <c r="B933" s="36" t="s">
        <v>62</v>
      </c>
      <c r="C933" s="36" t="s">
        <v>1666</v>
      </c>
      <c r="D933" s="36" t="s">
        <v>1686</v>
      </c>
      <c r="E933" s="36" t="s">
        <v>607</v>
      </c>
      <c r="F933" s="55">
        <f>'Stavební rozpočet'!F955</f>
        <v>0</v>
      </c>
      <c r="G933" s="55">
        <f>'Stavební rozpočet'!G955</f>
        <v>0</v>
      </c>
      <c r="H933" s="55">
        <f t="shared" si="934"/>
        <v>0</v>
      </c>
      <c r="I933" s="55">
        <f t="shared" si="935"/>
        <v>0</v>
      </c>
      <c r="J933" s="55">
        <f t="shared" si="936"/>
        <v>0</v>
      </c>
      <c r="K933" s="55">
        <f>'Stavební rozpočet'!K955</f>
        <v>0</v>
      </c>
      <c r="L933" s="55">
        <f t="shared" si="937"/>
        <v>0</v>
      </c>
      <c r="M933" s="51" t="s">
        <v>1693</v>
      </c>
      <c r="Z933" s="29">
        <f t="shared" si="938"/>
        <v>0</v>
      </c>
      <c r="AB933" s="29">
        <f t="shared" si="939"/>
        <v>0</v>
      </c>
      <c r="AC933" s="29">
        <f t="shared" si="940"/>
        <v>0</v>
      </c>
      <c r="AD933" s="29">
        <f t="shared" si="941"/>
        <v>0</v>
      </c>
      <c r="AE933" s="29">
        <f t="shared" si="942"/>
        <v>0</v>
      </c>
      <c r="AF933" s="29">
        <f t="shared" si="943"/>
        <v>0</v>
      </c>
      <c r="AG933" s="29">
        <f t="shared" si="944"/>
        <v>0</v>
      </c>
      <c r="AH933" s="29">
        <f t="shared" si="945"/>
        <v>0</v>
      </c>
      <c r="AI933" s="48" t="s">
        <v>62</v>
      </c>
      <c r="AJ933" s="55">
        <f t="shared" si="946"/>
        <v>0</v>
      </c>
      <c r="AK933" s="55">
        <f t="shared" si="947"/>
        <v>0</v>
      </c>
      <c r="AL933" s="55">
        <f t="shared" si="948"/>
        <v>0</v>
      </c>
      <c r="AN933" s="29">
        <v>15</v>
      </c>
      <c r="AO933" s="29">
        <f t="shared" si="949"/>
        <v>0</v>
      </c>
      <c r="AP933" s="29">
        <f t="shared" si="950"/>
        <v>0</v>
      </c>
      <c r="AQ933" s="51" t="s">
        <v>85</v>
      </c>
      <c r="AV933" s="29">
        <f t="shared" si="951"/>
        <v>0</v>
      </c>
      <c r="AW933" s="29">
        <f t="shared" si="952"/>
        <v>0</v>
      </c>
      <c r="AX933" s="29">
        <f t="shared" si="953"/>
        <v>0</v>
      </c>
      <c r="AY933" s="54" t="s">
        <v>1697</v>
      </c>
      <c r="AZ933" s="54" t="s">
        <v>1702</v>
      </c>
      <c r="BA933" s="48" t="s">
        <v>1703</v>
      </c>
      <c r="BC933" s="29">
        <f t="shared" si="954"/>
        <v>0</v>
      </c>
      <c r="BD933" s="29">
        <f t="shared" si="955"/>
        <v>0</v>
      </c>
      <c r="BE933" s="29">
        <v>0</v>
      </c>
      <c r="BF933" s="29">
        <f t="shared" si="956"/>
        <v>0</v>
      </c>
      <c r="BH933" s="55">
        <f t="shared" si="957"/>
        <v>0</v>
      </c>
      <c r="BI933" s="55">
        <f t="shared" si="958"/>
        <v>0</v>
      </c>
      <c r="BJ933" s="55">
        <f t="shared" si="959"/>
        <v>0</v>
      </c>
    </row>
    <row r="934" spans="1:62" ht="12.75">
      <c r="A934" s="75" t="s">
        <v>2133</v>
      </c>
      <c r="B934" s="75" t="s">
        <v>62</v>
      </c>
      <c r="C934" s="75" t="s">
        <v>1667</v>
      </c>
      <c r="D934" s="75" t="s">
        <v>1686</v>
      </c>
      <c r="E934" s="75" t="s">
        <v>607</v>
      </c>
      <c r="F934" s="76">
        <f>'Stavební rozpočet'!F956</f>
        <v>0</v>
      </c>
      <c r="G934" s="76">
        <f>'Stavební rozpočet'!G956</f>
        <v>0</v>
      </c>
      <c r="H934" s="76">
        <f t="shared" si="934"/>
        <v>0</v>
      </c>
      <c r="I934" s="76">
        <f t="shared" si="935"/>
        <v>0</v>
      </c>
      <c r="J934" s="76">
        <f t="shared" si="936"/>
        <v>0</v>
      </c>
      <c r="K934" s="76">
        <f>'Stavební rozpočet'!K956</f>
        <v>0</v>
      </c>
      <c r="L934" s="76">
        <f t="shared" si="937"/>
        <v>0</v>
      </c>
      <c r="M934" s="77" t="s">
        <v>1693</v>
      </c>
      <c r="Z934" s="29">
        <f t="shared" si="938"/>
        <v>0</v>
      </c>
      <c r="AB934" s="29">
        <f t="shared" si="939"/>
        <v>0</v>
      </c>
      <c r="AC934" s="29">
        <f t="shared" si="940"/>
        <v>0</v>
      </c>
      <c r="AD934" s="29">
        <f t="shared" si="941"/>
        <v>0</v>
      </c>
      <c r="AE934" s="29">
        <f t="shared" si="942"/>
        <v>0</v>
      </c>
      <c r="AF934" s="29">
        <f t="shared" si="943"/>
        <v>0</v>
      </c>
      <c r="AG934" s="29">
        <f t="shared" si="944"/>
        <v>0</v>
      </c>
      <c r="AH934" s="29">
        <f t="shared" si="945"/>
        <v>0</v>
      </c>
      <c r="AI934" s="48" t="s">
        <v>62</v>
      </c>
      <c r="AJ934" s="55">
        <f t="shared" si="946"/>
        <v>0</v>
      </c>
      <c r="AK934" s="55">
        <f t="shared" si="947"/>
        <v>0</v>
      </c>
      <c r="AL934" s="55">
        <f t="shared" si="948"/>
        <v>0</v>
      </c>
      <c r="AN934" s="29">
        <v>15</v>
      </c>
      <c r="AO934" s="29">
        <f t="shared" si="949"/>
        <v>0</v>
      </c>
      <c r="AP934" s="29">
        <f t="shared" si="950"/>
        <v>0</v>
      </c>
      <c r="AQ934" s="51" t="s">
        <v>85</v>
      </c>
      <c r="AV934" s="29">
        <f t="shared" si="951"/>
        <v>0</v>
      </c>
      <c r="AW934" s="29">
        <f t="shared" si="952"/>
        <v>0</v>
      </c>
      <c r="AX934" s="29">
        <f t="shared" si="953"/>
        <v>0</v>
      </c>
      <c r="AY934" s="54" t="s">
        <v>1697</v>
      </c>
      <c r="AZ934" s="54" t="s">
        <v>1702</v>
      </c>
      <c r="BA934" s="48" t="s">
        <v>1703</v>
      </c>
      <c r="BC934" s="29">
        <f t="shared" si="954"/>
        <v>0</v>
      </c>
      <c r="BD934" s="29">
        <f t="shared" si="955"/>
        <v>0</v>
      </c>
      <c r="BE934" s="29">
        <v>0</v>
      </c>
      <c r="BF934" s="29">
        <f t="shared" si="956"/>
        <v>0</v>
      </c>
      <c r="BH934" s="55">
        <f t="shared" si="957"/>
        <v>0</v>
      </c>
      <c r="BI934" s="55">
        <f t="shared" si="958"/>
        <v>0</v>
      </c>
      <c r="BJ934" s="55">
        <f t="shared" si="959"/>
        <v>0</v>
      </c>
    </row>
    <row r="935" spans="1:47" ht="12.75">
      <c r="A935" s="35"/>
      <c r="B935" s="42" t="s">
        <v>62</v>
      </c>
      <c r="C935" s="42" t="s">
        <v>1668</v>
      </c>
      <c r="D935" s="42" t="s">
        <v>1687</v>
      </c>
      <c r="E935" s="35" t="s">
        <v>57</v>
      </c>
      <c r="F935" s="35" t="s">
        <v>57</v>
      </c>
      <c r="G935" s="35" t="s">
        <v>57</v>
      </c>
      <c r="H935" s="59">
        <f>SUM(H936:H936)</f>
        <v>0</v>
      </c>
      <c r="I935" s="59">
        <f>SUM(I936:I936)</f>
        <v>0</v>
      </c>
      <c r="J935" s="59">
        <f>SUM(J936:J936)</f>
        <v>0</v>
      </c>
      <c r="K935" s="48"/>
      <c r="L935" s="59">
        <f>SUM(L936:L936)</f>
        <v>0</v>
      </c>
      <c r="M935" s="48"/>
      <c r="AI935" s="48" t="s">
        <v>62</v>
      </c>
      <c r="AS935" s="59">
        <f>SUM(AJ936:AJ936)</f>
        <v>0</v>
      </c>
      <c r="AT935" s="59">
        <f>SUM(AK936:AK936)</f>
        <v>0</v>
      </c>
      <c r="AU935" s="59">
        <f>SUM(AL936:AL936)</f>
        <v>0</v>
      </c>
    </row>
    <row r="936" spans="1:62" ht="12.75">
      <c r="A936" s="36" t="s">
        <v>2134</v>
      </c>
      <c r="B936" s="36" t="s">
        <v>62</v>
      </c>
      <c r="C936" s="36" t="s">
        <v>412</v>
      </c>
      <c r="D936" s="36" t="s">
        <v>1688</v>
      </c>
      <c r="E936" s="36" t="s">
        <v>614</v>
      </c>
      <c r="F936" s="55">
        <f>'Stavební rozpočet'!F958</f>
        <v>0</v>
      </c>
      <c r="G936" s="55">
        <f>'Stavební rozpočet'!G958</f>
        <v>0</v>
      </c>
      <c r="H936" s="55">
        <f>F936*AO936</f>
        <v>0</v>
      </c>
      <c r="I936" s="55">
        <f>F936*AP936</f>
        <v>0</v>
      </c>
      <c r="J936" s="55">
        <f>F936*G936</f>
        <v>0</v>
      </c>
      <c r="K936" s="55">
        <f>'Stavební rozpočet'!K958</f>
        <v>0</v>
      </c>
      <c r="L936" s="55">
        <f>F936*K936</f>
        <v>0</v>
      </c>
      <c r="M936" s="51" t="s">
        <v>1693</v>
      </c>
      <c r="Z936" s="29">
        <f>IF(AQ936="5",BJ936,0)</f>
        <v>0</v>
      </c>
      <c r="AB936" s="29">
        <f>IF(AQ936="1",BH936,0)</f>
        <v>0</v>
      </c>
      <c r="AC936" s="29">
        <f>IF(AQ936="1",BI936,0)</f>
        <v>0</v>
      </c>
      <c r="AD936" s="29">
        <f>IF(AQ936="7",BH936,0)</f>
        <v>0</v>
      </c>
      <c r="AE936" s="29">
        <f>IF(AQ936="7",BI936,0)</f>
        <v>0</v>
      </c>
      <c r="AF936" s="29">
        <f>IF(AQ936="2",BH936,0)</f>
        <v>0</v>
      </c>
      <c r="AG936" s="29">
        <f>IF(AQ936="2",BI936,0)</f>
        <v>0</v>
      </c>
      <c r="AH936" s="29">
        <f>IF(AQ936="0",BJ936,0)</f>
        <v>0</v>
      </c>
      <c r="AI936" s="48" t="s">
        <v>62</v>
      </c>
      <c r="AJ936" s="55">
        <f>IF(AN936=0,J936,0)</f>
        <v>0</v>
      </c>
      <c r="AK936" s="55">
        <f>IF(AN936=15,J936,0)</f>
        <v>0</v>
      </c>
      <c r="AL936" s="55">
        <f>IF(AN936=21,J936,0)</f>
        <v>0</v>
      </c>
      <c r="AN936" s="29">
        <v>15</v>
      </c>
      <c r="AO936" s="29">
        <f>G936*0</f>
        <v>0</v>
      </c>
      <c r="AP936" s="29">
        <f>G936*(1-0)</f>
        <v>0</v>
      </c>
      <c r="AQ936" s="51" t="s">
        <v>85</v>
      </c>
      <c r="AV936" s="29">
        <f>AW936+AX936</f>
        <v>0</v>
      </c>
      <c r="AW936" s="29">
        <f>F936*AO936</f>
        <v>0</v>
      </c>
      <c r="AX936" s="29">
        <f>F936*AP936</f>
        <v>0</v>
      </c>
      <c r="AY936" s="54" t="s">
        <v>1698</v>
      </c>
      <c r="AZ936" s="54" t="s">
        <v>1702</v>
      </c>
      <c r="BA936" s="48" t="s">
        <v>1703</v>
      </c>
      <c r="BC936" s="29">
        <f>AW936+AX936</f>
        <v>0</v>
      </c>
      <c r="BD936" s="29">
        <f>G936/(100-BE936)*100</f>
        <v>0</v>
      </c>
      <c r="BE936" s="29">
        <v>0</v>
      </c>
      <c r="BF936" s="29">
        <f>L936</f>
        <v>0</v>
      </c>
      <c r="BH936" s="55">
        <f>F936*AO936</f>
        <v>0</v>
      </c>
      <c r="BI936" s="55">
        <f>F936*AP936</f>
        <v>0</v>
      </c>
      <c r="BJ936" s="55">
        <f>F936*G936</f>
        <v>0</v>
      </c>
    </row>
    <row r="937" spans="1:47" ht="12.75">
      <c r="A937" s="35"/>
      <c r="B937" s="42" t="s">
        <v>62</v>
      </c>
      <c r="C937" s="42" t="s">
        <v>1669</v>
      </c>
      <c r="D937" s="42" t="s">
        <v>1689</v>
      </c>
      <c r="E937" s="35" t="s">
        <v>57</v>
      </c>
      <c r="F937" s="35" t="s">
        <v>57</v>
      </c>
      <c r="G937" s="35" t="s">
        <v>57</v>
      </c>
      <c r="H937" s="59">
        <f>SUM(H938:H938)</f>
        <v>0</v>
      </c>
      <c r="I937" s="59">
        <f>SUM(I938:I938)</f>
        <v>0</v>
      </c>
      <c r="J937" s="59">
        <f>SUM(J938:J938)</f>
        <v>0</v>
      </c>
      <c r="K937" s="48"/>
      <c r="L937" s="59">
        <f>SUM(L938:L938)</f>
        <v>0</v>
      </c>
      <c r="M937" s="48"/>
      <c r="AI937" s="48" t="s">
        <v>62</v>
      </c>
      <c r="AS937" s="59">
        <f>SUM(AJ938:AJ938)</f>
        <v>0</v>
      </c>
      <c r="AT937" s="59">
        <f>SUM(AK938:AK938)</f>
        <v>0</v>
      </c>
      <c r="AU937" s="59">
        <f>SUM(AL938:AL938)</f>
        <v>0</v>
      </c>
    </row>
    <row r="938" spans="1:62" ht="12.75">
      <c r="A938" s="36" t="s">
        <v>2135</v>
      </c>
      <c r="B938" s="36" t="s">
        <v>62</v>
      </c>
      <c r="C938" s="36" t="s">
        <v>413</v>
      </c>
      <c r="D938" s="36" t="s">
        <v>1522</v>
      </c>
      <c r="E938" s="36" t="s">
        <v>613</v>
      </c>
      <c r="F938" s="55">
        <f>'Stavební rozpočet'!F960</f>
        <v>0</v>
      </c>
      <c r="G938" s="55">
        <f>'Stavební rozpočet'!G960</f>
        <v>0</v>
      </c>
      <c r="H938" s="55">
        <f>F938*AO938</f>
        <v>0</v>
      </c>
      <c r="I938" s="55">
        <f>F938*AP938</f>
        <v>0</v>
      </c>
      <c r="J938" s="55">
        <f>F938*G938</f>
        <v>0</v>
      </c>
      <c r="K938" s="55">
        <f>'Stavební rozpočet'!K960</f>
        <v>0</v>
      </c>
      <c r="L938" s="55">
        <f>F938*K938</f>
        <v>0</v>
      </c>
      <c r="M938" s="51" t="s">
        <v>1693</v>
      </c>
      <c r="Z938" s="29">
        <f>IF(AQ938="5",BJ938,0)</f>
        <v>0</v>
      </c>
      <c r="AB938" s="29">
        <f>IF(AQ938="1",BH938,0)</f>
        <v>0</v>
      </c>
      <c r="AC938" s="29">
        <f>IF(AQ938="1",BI938,0)</f>
        <v>0</v>
      </c>
      <c r="AD938" s="29">
        <f>IF(AQ938="7",BH938,0)</f>
        <v>0</v>
      </c>
      <c r="AE938" s="29">
        <f>IF(AQ938="7",BI938,0)</f>
        <v>0</v>
      </c>
      <c r="AF938" s="29">
        <f>IF(AQ938="2",BH938,0)</f>
        <v>0</v>
      </c>
      <c r="AG938" s="29">
        <f>IF(AQ938="2",BI938,0)</f>
        <v>0</v>
      </c>
      <c r="AH938" s="29">
        <f>IF(AQ938="0",BJ938,0)</f>
        <v>0</v>
      </c>
      <c r="AI938" s="48" t="s">
        <v>62</v>
      </c>
      <c r="AJ938" s="55">
        <f>IF(AN938=0,J938,0)</f>
        <v>0</v>
      </c>
      <c r="AK938" s="55">
        <f>IF(AN938=15,J938,0)</f>
        <v>0</v>
      </c>
      <c r="AL938" s="55">
        <f>IF(AN938=21,J938,0)</f>
        <v>0</v>
      </c>
      <c r="AN938" s="29">
        <v>15</v>
      </c>
      <c r="AO938" s="29">
        <f>G938*0</f>
        <v>0</v>
      </c>
      <c r="AP938" s="29">
        <f>G938*(1-0)</f>
        <v>0</v>
      </c>
      <c r="AQ938" s="51" t="s">
        <v>79</v>
      </c>
      <c r="AV938" s="29">
        <f>AW938+AX938</f>
        <v>0</v>
      </c>
      <c r="AW938" s="29">
        <f>F938*AO938</f>
        <v>0</v>
      </c>
      <c r="AX938" s="29">
        <f>F938*AP938</f>
        <v>0</v>
      </c>
      <c r="AY938" s="54" t="s">
        <v>1699</v>
      </c>
      <c r="AZ938" s="54" t="s">
        <v>1701</v>
      </c>
      <c r="BA938" s="48" t="s">
        <v>1703</v>
      </c>
      <c r="BC938" s="29">
        <f>AW938+AX938</f>
        <v>0</v>
      </c>
      <c r="BD938" s="29">
        <f>G938/(100-BE938)*100</f>
        <v>0</v>
      </c>
      <c r="BE938" s="29">
        <v>0</v>
      </c>
      <c r="BF938" s="29">
        <f>L938</f>
        <v>0</v>
      </c>
      <c r="BH938" s="55">
        <f>F938*AO938</f>
        <v>0</v>
      </c>
      <c r="BI938" s="55">
        <f>F938*AP938</f>
        <v>0</v>
      </c>
      <c r="BJ938" s="55">
        <f>F938*G938</f>
        <v>0</v>
      </c>
    </row>
    <row r="939" spans="1:47" ht="12.75">
      <c r="A939" s="35"/>
      <c r="B939" s="42" t="s">
        <v>62</v>
      </c>
      <c r="C939" s="42" t="s">
        <v>1670</v>
      </c>
      <c r="D939" s="42" t="s">
        <v>1690</v>
      </c>
      <c r="E939" s="35" t="s">
        <v>57</v>
      </c>
      <c r="F939" s="35" t="s">
        <v>57</v>
      </c>
      <c r="G939" s="35" t="s">
        <v>57</v>
      </c>
      <c r="H939" s="59">
        <f>SUM(H940:H943)</f>
        <v>0</v>
      </c>
      <c r="I939" s="59">
        <f>SUM(I940:I943)</f>
        <v>0</v>
      </c>
      <c r="J939" s="59">
        <f>SUM(J940:J943)</f>
        <v>0</v>
      </c>
      <c r="K939" s="48"/>
      <c r="L939" s="59">
        <f>SUM(L940:L943)</f>
        <v>0</v>
      </c>
      <c r="M939" s="48"/>
      <c r="AI939" s="48" t="s">
        <v>62</v>
      </c>
      <c r="AS939" s="59">
        <f>SUM(AJ940:AJ943)</f>
        <v>0</v>
      </c>
      <c r="AT939" s="59">
        <f>SUM(AK940:AK943)</f>
        <v>0</v>
      </c>
      <c r="AU939" s="59">
        <f>SUM(AL940:AL943)</f>
        <v>0</v>
      </c>
    </row>
    <row r="940" spans="1:62" ht="12.75">
      <c r="A940" s="36" t="s">
        <v>2136</v>
      </c>
      <c r="B940" s="36" t="s">
        <v>62</v>
      </c>
      <c r="C940" s="36" t="s">
        <v>415</v>
      </c>
      <c r="D940" s="36" t="s">
        <v>1691</v>
      </c>
      <c r="E940" s="36" t="s">
        <v>609</v>
      </c>
      <c r="F940" s="55">
        <f>'Stavební rozpočet'!F962</f>
        <v>0</v>
      </c>
      <c r="G940" s="55">
        <f>'Stavební rozpočet'!G962</f>
        <v>0</v>
      </c>
      <c r="H940" s="55">
        <f>F940*AO940</f>
        <v>0</v>
      </c>
      <c r="I940" s="55">
        <f>F940*AP940</f>
        <v>0</v>
      </c>
      <c r="J940" s="55">
        <f>F940*G940</f>
        <v>0</v>
      </c>
      <c r="K940" s="55">
        <f>'Stavební rozpočet'!K962</f>
        <v>0</v>
      </c>
      <c r="L940" s="55">
        <f>F940*K940</f>
        <v>0</v>
      </c>
      <c r="M940" s="51" t="s">
        <v>1693</v>
      </c>
      <c r="Z940" s="29">
        <f>IF(AQ940="5",BJ940,0)</f>
        <v>0</v>
      </c>
      <c r="AB940" s="29">
        <f>IF(AQ940="1",BH940,0)</f>
        <v>0</v>
      </c>
      <c r="AC940" s="29">
        <f>IF(AQ940="1",BI940,0)</f>
        <v>0</v>
      </c>
      <c r="AD940" s="29">
        <f>IF(AQ940="7",BH940,0)</f>
        <v>0</v>
      </c>
      <c r="AE940" s="29">
        <f>IF(AQ940="7",BI940,0)</f>
        <v>0</v>
      </c>
      <c r="AF940" s="29">
        <f>IF(AQ940="2",BH940,0)</f>
        <v>0</v>
      </c>
      <c r="AG940" s="29">
        <f>IF(AQ940="2",BI940,0)</f>
        <v>0</v>
      </c>
      <c r="AH940" s="29">
        <f>IF(AQ940="0",BJ940,0)</f>
        <v>0</v>
      </c>
      <c r="AI940" s="48" t="s">
        <v>62</v>
      </c>
      <c r="AJ940" s="55">
        <f>IF(AN940=0,J940,0)</f>
        <v>0</v>
      </c>
      <c r="AK940" s="55">
        <f>IF(AN940=15,J940,0)</f>
        <v>0</v>
      </c>
      <c r="AL940" s="55">
        <f>IF(AN940=21,J940,0)</f>
        <v>0</v>
      </c>
      <c r="AN940" s="29">
        <v>15</v>
      </c>
      <c r="AO940" s="29">
        <f>G940*0</f>
        <v>0</v>
      </c>
      <c r="AP940" s="29">
        <f>G940*(1-0)</f>
        <v>0</v>
      </c>
      <c r="AQ940" s="51" t="s">
        <v>79</v>
      </c>
      <c r="AV940" s="29">
        <f>AW940+AX940</f>
        <v>0</v>
      </c>
      <c r="AW940" s="29">
        <f>F940*AO940</f>
        <v>0</v>
      </c>
      <c r="AX940" s="29">
        <f>F940*AP940</f>
        <v>0</v>
      </c>
      <c r="AY940" s="54" t="s">
        <v>1700</v>
      </c>
      <c r="AZ940" s="54" t="s">
        <v>1701</v>
      </c>
      <c r="BA940" s="48" t="s">
        <v>1703</v>
      </c>
      <c r="BC940" s="29">
        <f>AW940+AX940</f>
        <v>0</v>
      </c>
      <c r="BD940" s="29">
        <f>G940/(100-BE940)*100</f>
        <v>0</v>
      </c>
      <c r="BE940" s="29">
        <v>0</v>
      </c>
      <c r="BF940" s="29">
        <f>L940</f>
        <v>0</v>
      </c>
      <c r="BH940" s="55">
        <f>F940*AO940</f>
        <v>0</v>
      </c>
      <c r="BI940" s="55">
        <f>F940*AP940</f>
        <v>0</v>
      </c>
      <c r="BJ940" s="55">
        <f>F940*G940</f>
        <v>0</v>
      </c>
    </row>
    <row r="941" spans="1:62" ht="12.75">
      <c r="A941" s="36" t="s">
        <v>2137</v>
      </c>
      <c r="B941" s="36" t="s">
        <v>62</v>
      </c>
      <c r="C941" s="36" t="s">
        <v>416</v>
      </c>
      <c r="D941" s="36" t="s">
        <v>603</v>
      </c>
      <c r="E941" s="36" t="s">
        <v>616</v>
      </c>
      <c r="F941" s="55">
        <f>'Stavební rozpočet'!F963</f>
        <v>0</v>
      </c>
      <c r="G941" s="55">
        <f>'Stavební rozpočet'!G963</f>
        <v>0</v>
      </c>
      <c r="H941" s="55">
        <f>F941*AO941</f>
        <v>0</v>
      </c>
      <c r="I941" s="55">
        <f>F941*AP941</f>
        <v>0</v>
      </c>
      <c r="J941" s="55">
        <f>F941*G941</f>
        <v>0</v>
      </c>
      <c r="K941" s="55">
        <f>'Stavební rozpočet'!K963</f>
        <v>0</v>
      </c>
      <c r="L941" s="55">
        <f>F941*K941</f>
        <v>0</v>
      </c>
      <c r="M941" s="51" t="s">
        <v>1693</v>
      </c>
      <c r="Z941" s="29">
        <f>IF(AQ941="5",BJ941,0)</f>
        <v>0</v>
      </c>
      <c r="AB941" s="29">
        <f>IF(AQ941="1",BH941,0)</f>
        <v>0</v>
      </c>
      <c r="AC941" s="29">
        <f>IF(AQ941="1",BI941,0)</f>
        <v>0</v>
      </c>
      <c r="AD941" s="29">
        <f>IF(AQ941="7",BH941,0)</f>
        <v>0</v>
      </c>
      <c r="AE941" s="29">
        <f>IF(AQ941="7",BI941,0)</f>
        <v>0</v>
      </c>
      <c r="AF941" s="29">
        <f>IF(AQ941="2",BH941,0)</f>
        <v>0</v>
      </c>
      <c r="AG941" s="29">
        <f>IF(AQ941="2",BI941,0)</f>
        <v>0</v>
      </c>
      <c r="AH941" s="29">
        <f>IF(AQ941="0",BJ941,0)</f>
        <v>0</v>
      </c>
      <c r="AI941" s="48" t="s">
        <v>62</v>
      </c>
      <c r="AJ941" s="55">
        <f>IF(AN941=0,J941,0)</f>
        <v>0</v>
      </c>
      <c r="AK941" s="55">
        <f>IF(AN941=15,J941,0)</f>
        <v>0</v>
      </c>
      <c r="AL941" s="55">
        <f>IF(AN941=21,J941,0)</f>
        <v>0</v>
      </c>
      <c r="AN941" s="29">
        <v>15</v>
      </c>
      <c r="AO941" s="29">
        <f>G941*0</f>
        <v>0</v>
      </c>
      <c r="AP941" s="29">
        <f>G941*(1-0)</f>
        <v>0</v>
      </c>
      <c r="AQ941" s="51" t="s">
        <v>79</v>
      </c>
      <c r="AV941" s="29">
        <f>AW941+AX941</f>
        <v>0</v>
      </c>
      <c r="AW941" s="29">
        <f>F941*AO941</f>
        <v>0</v>
      </c>
      <c r="AX941" s="29">
        <f>F941*AP941</f>
        <v>0</v>
      </c>
      <c r="AY941" s="54" t="s">
        <v>1700</v>
      </c>
      <c r="AZ941" s="54" t="s">
        <v>1701</v>
      </c>
      <c r="BA941" s="48" t="s">
        <v>1703</v>
      </c>
      <c r="BC941" s="29">
        <f>AW941+AX941</f>
        <v>0</v>
      </c>
      <c r="BD941" s="29">
        <f>G941/(100-BE941)*100</f>
        <v>0</v>
      </c>
      <c r="BE941" s="29">
        <v>0</v>
      </c>
      <c r="BF941" s="29">
        <f>L941</f>
        <v>0</v>
      </c>
      <c r="BH941" s="55">
        <f>F941*AO941</f>
        <v>0</v>
      </c>
      <c r="BI941" s="55">
        <f>F941*AP941</f>
        <v>0</v>
      </c>
      <c r="BJ941" s="55">
        <f>F941*G941</f>
        <v>0</v>
      </c>
    </row>
    <row r="942" spans="1:62" ht="12.75">
      <c r="A942" s="36" t="s">
        <v>2138</v>
      </c>
      <c r="B942" s="36" t="s">
        <v>62</v>
      </c>
      <c r="C942" s="36" t="s">
        <v>1671</v>
      </c>
      <c r="D942" s="36" t="s">
        <v>1692</v>
      </c>
      <c r="E942" s="36" t="s">
        <v>608</v>
      </c>
      <c r="F942" s="55">
        <f>'Stavební rozpočet'!F964</f>
        <v>0</v>
      </c>
      <c r="G942" s="55">
        <f>'Stavební rozpočet'!G964</f>
        <v>0</v>
      </c>
      <c r="H942" s="55">
        <f>F942*AO942</f>
        <v>0</v>
      </c>
      <c r="I942" s="55">
        <f>F942*AP942</f>
        <v>0</v>
      </c>
      <c r="J942" s="55">
        <f>F942*G942</f>
        <v>0</v>
      </c>
      <c r="K942" s="55">
        <f>'Stavební rozpočet'!K964</f>
        <v>0</v>
      </c>
      <c r="L942" s="55">
        <f>F942*K942</f>
        <v>0</v>
      </c>
      <c r="M942" s="51" t="s">
        <v>1693</v>
      </c>
      <c r="Z942" s="29">
        <f>IF(AQ942="5",BJ942,0)</f>
        <v>0</v>
      </c>
      <c r="AB942" s="29">
        <f>IF(AQ942="1",BH942,0)</f>
        <v>0</v>
      </c>
      <c r="AC942" s="29">
        <f>IF(AQ942="1",BI942,0)</f>
        <v>0</v>
      </c>
      <c r="AD942" s="29">
        <f>IF(AQ942="7",BH942,0)</f>
        <v>0</v>
      </c>
      <c r="AE942" s="29">
        <f>IF(AQ942="7",BI942,0)</f>
        <v>0</v>
      </c>
      <c r="AF942" s="29">
        <f>IF(AQ942="2",BH942,0)</f>
        <v>0</v>
      </c>
      <c r="AG942" s="29">
        <f>IF(AQ942="2",BI942,0)</f>
        <v>0</v>
      </c>
      <c r="AH942" s="29">
        <f>IF(AQ942="0",BJ942,0)</f>
        <v>0</v>
      </c>
      <c r="AI942" s="48" t="s">
        <v>62</v>
      </c>
      <c r="AJ942" s="55">
        <f>IF(AN942=0,J942,0)</f>
        <v>0</v>
      </c>
      <c r="AK942" s="55">
        <f>IF(AN942=15,J942,0)</f>
        <v>0</v>
      </c>
      <c r="AL942" s="55">
        <f>IF(AN942=21,J942,0)</f>
        <v>0</v>
      </c>
      <c r="AN942" s="29">
        <v>15</v>
      </c>
      <c r="AO942" s="29">
        <f>G942*0</f>
        <v>0</v>
      </c>
      <c r="AP942" s="29">
        <f>G942*(1-0)</f>
        <v>0</v>
      </c>
      <c r="AQ942" s="51" t="s">
        <v>79</v>
      </c>
      <c r="AV942" s="29">
        <f>AW942+AX942</f>
        <v>0</v>
      </c>
      <c r="AW942" s="29">
        <f>F942*AO942</f>
        <v>0</v>
      </c>
      <c r="AX942" s="29">
        <f>F942*AP942</f>
        <v>0</v>
      </c>
      <c r="AY942" s="54" t="s">
        <v>1700</v>
      </c>
      <c r="AZ942" s="54" t="s">
        <v>1701</v>
      </c>
      <c r="BA942" s="48" t="s">
        <v>1703</v>
      </c>
      <c r="BC942" s="29">
        <f>AW942+AX942</f>
        <v>0</v>
      </c>
      <c r="BD942" s="29">
        <f>G942/(100-BE942)*100</f>
        <v>0</v>
      </c>
      <c r="BE942" s="29">
        <v>0</v>
      </c>
      <c r="BF942" s="29">
        <f>L942</f>
        <v>0</v>
      </c>
      <c r="BH942" s="55">
        <f>F942*AO942</f>
        <v>0</v>
      </c>
      <c r="BI942" s="55">
        <f>F942*AP942</f>
        <v>0</v>
      </c>
      <c r="BJ942" s="55">
        <f>F942*G942</f>
        <v>0</v>
      </c>
    </row>
    <row r="943" spans="1:62" ht="12.75">
      <c r="A943" s="36" t="s">
        <v>2139</v>
      </c>
      <c r="B943" s="36" t="s">
        <v>62</v>
      </c>
      <c r="C943" s="36" t="s">
        <v>417</v>
      </c>
      <c r="D943" s="36" t="s">
        <v>604</v>
      </c>
      <c r="E943" s="36" t="s">
        <v>611</v>
      </c>
      <c r="F943" s="55">
        <f>'Stavební rozpočet'!F965</f>
        <v>0</v>
      </c>
      <c r="G943" s="55">
        <f>'Stavební rozpočet'!G965</f>
        <v>0</v>
      </c>
      <c r="H943" s="55">
        <f>F943*AO943</f>
        <v>0</v>
      </c>
      <c r="I943" s="55">
        <f>F943*AP943</f>
        <v>0</v>
      </c>
      <c r="J943" s="55">
        <f>F943*G943</f>
        <v>0</v>
      </c>
      <c r="K943" s="55">
        <f>'Stavební rozpočet'!K965</f>
        <v>0</v>
      </c>
      <c r="L943" s="55">
        <f>F943*K943</f>
        <v>0</v>
      </c>
      <c r="M943" s="51" t="s">
        <v>1693</v>
      </c>
      <c r="Z943" s="29">
        <f>IF(AQ943="5",BJ943,0)</f>
        <v>0</v>
      </c>
      <c r="AB943" s="29">
        <f>IF(AQ943="1",BH943,0)</f>
        <v>0</v>
      </c>
      <c r="AC943" s="29">
        <f>IF(AQ943="1",BI943,0)</f>
        <v>0</v>
      </c>
      <c r="AD943" s="29">
        <f>IF(AQ943="7",BH943,0)</f>
        <v>0</v>
      </c>
      <c r="AE943" s="29">
        <f>IF(AQ943="7",BI943,0)</f>
        <v>0</v>
      </c>
      <c r="AF943" s="29">
        <f>IF(AQ943="2",BH943,0)</f>
        <v>0</v>
      </c>
      <c r="AG943" s="29">
        <f>IF(AQ943="2",BI943,0)</f>
        <v>0</v>
      </c>
      <c r="AH943" s="29">
        <f>IF(AQ943="0",BJ943,0)</f>
        <v>0</v>
      </c>
      <c r="AI943" s="48" t="s">
        <v>62</v>
      </c>
      <c r="AJ943" s="55">
        <f>IF(AN943=0,J943,0)</f>
        <v>0</v>
      </c>
      <c r="AK943" s="55">
        <f>IF(AN943=15,J943,0)</f>
        <v>0</v>
      </c>
      <c r="AL943" s="55">
        <f>IF(AN943=21,J943,0)</f>
        <v>0</v>
      </c>
      <c r="AN943" s="29">
        <v>15</v>
      </c>
      <c r="AO943" s="29">
        <f>G943*0</f>
        <v>0</v>
      </c>
      <c r="AP943" s="29">
        <f>G943*(1-0)</f>
        <v>0</v>
      </c>
      <c r="AQ943" s="51" t="s">
        <v>79</v>
      </c>
      <c r="AV943" s="29">
        <f>AW943+AX943</f>
        <v>0</v>
      </c>
      <c r="AW943" s="29">
        <f>F943*AO943</f>
        <v>0</v>
      </c>
      <c r="AX943" s="29">
        <f>F943*AP943</f>
        <v>0</v>
      </c>
      <c r="AY943" s="54" t="s">
        <v>1700</v>
      </c>
      <c r="AZ943" s="54" t="s">
        <v>1701</v>
      </c>
      <c r="BA943" s="48" t="s">
        <v>1703</v>
      </c>
      <c r="BC943" s="29">
        <f>AW943+AX943</f>
        <v>0</v>
      </c>
      <c r="BD943" s="29">
        <f>G943/(100-BE943)*100</f>
        <v>0</v>
      </c>
      <c r="BE943" s="29">
        <v>0</v>
      </c>
      <c r="BF943" s="29">
        <f>L943</f>
        <v>0</v>
      </c>
      <c r="BH943" s="55">
        <f>F943*AO943</f>
        <v>0</v>
      </c>
      <c r="BI943" s="55">
        <f>F943*AP943</f>
        <v>0</v>
      </c>
      <c r="BJ943" s="55">
        <f>F943*G943</f>
        <v>0</v>
      </c>
    </row>
    <row r="944" spans="1:13" ht="12.75">
      <c r="A944" s="71"/>
      <c r="B944" s="72" t="s">
        <v>63</v>
      </c>
      <c r="C944" s="72"/>
      <c r="D944" s="72" t="s">
        <v>69</v>
      </c>
      <c r="E944" s="71" t="s">
        <v>57</v>
      </c>
      <c r="F944" s="71" t="s">
        <v>57</v>
      </c>
      <c r="G944" s="71" t="s">
        <v>57</v>
      </c>
      <c r="H944" s="74">
        <f>H945</f>
        <v>0</v>
      </c>
      <c r="I944" s="74">
        <f>I945</f>
        <v>0</v>
      </c>
      <c r="J944" s="74">
        <f>J945</f>
        <v>0</v>
      </c>
      <c r="K944" s="73"/>
      <c r="L944" s="74">
        <f>L945</f>
        <v>0</v>
      </c>
      <c r="M944" s="73"/>
    </row>
    <row r="945" spans="1:47" ht="12.75">
      <c r="A945" s="35"/>
      <c r="B945" s="42" t="s">
        <v>63</v>
      </c>
      <c r="C945" s="42" t="s">
        <v>1705</v>
      </c>
      <c r="D945" s="42" t="s">
        <v>1716</v>
      </c>
      <c r="E945" s="35" t="s">
        <v>57</v>
      </c>
      <c r="F945" s="35" t="s">
        <v>57</v>
      </c>
      <c r="G945" s="35" t="s">
        <v>57</v>
      </c>
      <c r="H945" s="59">
        <f>SUM(H946:H955)</f>
        <v>0</v>
      </c>
      <c r="I945" s="59">
        <f>SUM(I946:I955)</f>
        <v>0</v>
      </c>
      <c r="J945" s="59">
        <f>SUM(J946:J955)</f>
        <v>0</v>
      </c>
      <c r="K945" s="48"/>
      <c r="L945" s="59">
        <f>SUM(L946:L955)</f>
        <v>0</v>
      </c>
      <c r="M945" s="48"/>
      <c r="AI945" s="48" t="s">
        <v>63</v>
      </c>
      <c r="AS945" s="59">
        <f>SUM(AJ946:AJ955)</f>
        <v>0</v>
      </c>
      <c r="AT945" s="59">
        <f>SUM(AK946:AK955)</f>
        <v>0</v>
      </c>
      <c r="AU945" s="59">
        <f>SUM(AL946:AL955)</f>
        <v>0</v>
      </c>
    </row>
    <row r="946" spans="1:62" ht="12.75">
      <c r="A946" s="36" t="s">
        <v>2140</v>
      </c>
      <c r="B946" s="36" t="s">
        <v>63</v>
      </c>
      <c r="C946" s="36" t="s">
        <v>1706</v>
      </c>
      <c r="D946" s="36" t="s">
        <v>1717</v>
      </c>
      <c r="E946" s="36" t="s">
        <v>606</v>
      </c>
      <c r="F946" s="55">
        <f>'Stavební rozpočet'!F968</f>
        <v>1</v>
      </c>
      <c r="G946" s="55">
        <f>'Stavební rozpočet'!G968</f>
        <v>0</v>
      </c>
      <c r="H946" s="55">
        <f aca="true" t="shared" si="960" ref="H946:H955">F946*AO946</f>
        <v>0</v>
      </c>
      <c r="I946" s="55">
        <f aca="true" t="shared" si="961" ref="I946:I955">F946*AP946</f>
        <v>0</v>
      </c>
      <c r="J946" s="55">
        <f aca="true" t="shared" si="962" ref="J946:J955">F946*G946</f>
        <v>0</v>
      </c>
      <c r="K946" s="55">
        <f>'Stavební rozpočet'!K968</f>
        <v>0</v>
      </c>
      <c r="L946" s="55">
        <f aca="true" t="shared" si="963" ref="L946:L955">F946*K946</f>
        <v>0</v>
      </c>
      <c r="M946" s="51" t="s">
        <v>622</v>
      </c>
      <c r="Z946" s="29">
        <f aca="true" t="shared" si="964" ref="Z946:Z955">IF(AQ946="5",BJ946,0)</f>
        <v>0</v>
      </c>
      <c r="AB946" s="29">
        <f aca="true" t="shared" si="965" ref="AB946:AB955">IF(AQ946="1",BH946,0)</f>
        <v>0</v>
      </c>
      <c r="AC946" s="29">
        <f aca="true" t="shared" si="966" ref="AC946:AC955">IF(AQ946="1",BI946,0)</f>
        <v>0</v>
      </c>
      <c r="AD946" s="29">
        <f aca="true" t="shared" si="967" ref="AD946:AD955">IF(AQ946="7",BH946,0)</f>
        <v>0</v>
      </c>
      <c r="AE946" s="29">
        <f aca="true" t="shared" si="968" ref="AE946:AE955">IF(AQ946="7",BI946,0)</f>
        <v>0</v>
      </c>
      <c r="AF946" s="29">
        <f aca="true" t="shared" si="969" ref="AF946:AF955">IF(AQ946="2",BH946,0)</f>
        <v>0</v>
      </c>
      <c r="AG946" s="29">
        <f aca="true" t="shared" si="970" ref="AG946:AG955">IF(AQ946="2",BI946,0)</f>
        <v>0</v>
      </c>
      <c r="AH946" s="29">
        <f aca="true" t="shared" si="971" ref="AH946:AH955">IF(AQ946="0",BJ946,0)</f>
        <v>0</v>
      </c>
      <c r="AI946" s="48" t="s">
        <v>63</v>
      </c>
      <c r="AJ946" s="55">
        <f aca="true" t="shared" si="972" ref="AJ946:AJ955">IF(AN946=0,J946,0)</f>
        <v>0</v>
      </c>
      <c r="AK946" s="55">
        <f aca="true" t="shared" si="973" ref="AK946:AK955">IF(AN946=15,J946,0)</f>
        <v>0</v>
      </c>
      <c r="AL946" s="55">
        <f aca="true" t="shared" si="974" ref="AL946:AL955">IF(AN946=21,J946,0)</f>
        <v>0</v>
      </c>
      <c r="AN946" s="29">
        <v>15</v>
      </c>
      <c r="AO946" s="29">
        <f aca="true" t="shared" si="975" ref="AO946:AO955">G946*0</f>
        <v>0</v>
      </c>
      <c r="AP946" s="29">
        <f aca="true" t="shared" si="976" ref="AP946:AP955">G946*(1-0)</f>
        <v>0</v>
      </c>
      <c r="AQ946" s="51" t="s">
        <v>79</v>
      </c>
      <c r="AV946" s="29">
        <f aca="true" t="shared" si="977" ref="AV946:AV955">AW946+AX946</f>
        <v>0</v>
      </c>
      <c r="AW946" s="29">
        <f aca="true" t="shared" si="978" ref="AW946:AW955">F946*AO946</f>
        <v>0</v>
      </c>
      <c r="AX946" s="29">
        <f aca="true" t="shared" si="979" ref="AX946:AX955">F946*AP946</f>
        <v>0</v>
      </c>
      <c r="AY946" s="54" t="s">
        <v>1736</v>
      </c>
      <c r="AZ946" s="54" t="s">
        <v>1737</v>
      </c>
      <c r="BA946" s="48" t="s">
        <v>1738</v>
      </c>
      <c r="BC946" s="29">
        <f aca="true" t="shared" si="980" ref="BC946:BC955">AW946+AX946</f>
        <v>0</v>
      </c>
      <c r="BD946" s="29">
        <f aca="true" t="shared" si="981" ref="BD946:BD955">G946/(100-BE946)*100</f>
        <v>0</v>
      </c>
      <c r="BE946" s="29">
        <v>0</v>
      </c>
      <c r="BF946" s="29">
        <f aca="true" t="shared" si="982" ref="BF946:BF955">L946</f>
        <v>0</v>
      </c>
      <c r="BH946" s="55">
        <f aca="true" t="shared" si="983" ref="BH946:BH955">F946*AO946</f>
        <v>0</v>
      </c>
      <c r="BI946" s="55">
        <f aca="true" t="shared" si="984" ref="BI946:BI955">F946*AP946</f>
        <v>0</v>
      </c>
      <c r="BJ946" s="55">
        <f aca="true" t="shared" si="985" ref="BJ946:BJ955">F946*G946</f>
        <v>0</v>
      </c>
    </row>
    <row r="947" spans="1:62" ht="12.75">
      <c r="A947" s="36" t="s">
        <v>2141</v>
      </c>
      <c r="B947" s="36" t="s">
        <v>63</v>
      </c>
      <c r="C947" s="36" t="s">
        <v>1707</v>
      </c>
      <c r="D947" s="36" t="s">
        <v>1719</v>
      </c>
      <c r="E947" s="36" t="s">
        <v>606</v>
      </c>
      <c r="F947" s="55">
        <f>'Stavební rozpočet'!F969</f>
        <v>1</v>
      </c>
      <c r="G947" s="55">
        <f>'Stavební rozpočet'!G969</f>
        <v>0</v>
      </c>
      <c r="H947" s="55">
        <f t="shared" si="960"/>
        <v>0</v>
      </c>
      <c r="I947" s="55">
        <f t="shared" si="961"/>
        <v>0</v>
      </c>
      <c r="J947" s="55">
        <f t="shared" si="962"/>
        <v>0</v>
      </c>
      <c r="K947" s="55">
        <f>'Stavební rozpočet'!K969</f>
        <v>0</v>
      </c>
      <c r="L947" s="55">
        <f t="shared" si="963"/>
        <v>0</v>
      </c>
      <c r="M947" s="51" t="s">
        <v>622</v>
      </c>
      <c r="Z947" s="29">
        <f t="shared" si="964"/>
        <v>0</v>
      </c>
      <c r="AB947" s="29">
        <f t="shared" si="965"/>
        <v>0</v>
      </c>
      <c r="AC947" s="29">
        <f t="shared" si="966"/>
        <v>0</v>
      </c>
      <c r="AD947" s="29">
        <f t="shared" si="967"/>
        <v>0</v>
      </c>
      <c r="AE947" s="29">
        <f t="shared" si="968"/>
        <v>0</v>
      </c>
      <c r="AF947" s="29">
        <f t="shared" si="969"/>
        <v>0</v>
      </c>
      <c r="AG947" s="29">
        <f t="shared" si="970"/>
        <v>0</v>
      </c>
      <c r="AH947" s="29">
        <f t="shared" si="971"/>
        <v>0</v>
      </c>
      <c r="AI947" s="48" t="s">
        <v>63</v>
      </c>
      <c r="AJ947" s="55">
        <f t="shared" si="972"/>
        <v>0</v>
      </c>
      <c r="AK947" s="55">
        <f t="shared" si="973"/>
        <v>0</v>
      </c>
      <c r="AL947" s="55">
        <f t="shared" si="974"/>
        <v>0</v>
      </c>
      <c r="AN947" s="29">
        <v>15</v>
      </c>
      <c r="AO947" s="29">
        <f t="shared" si="975"/>
        <v>0</v>
      </c>
      <c r="AP947" s="29">
        <f t="shared" si="976"/>
        <v>0</v>
      </c>
      <c r="AQ947" s="51" t="s">
        <v>79</v>
      </c>
      <c r="AV947" s="29">
        <f t="shared" si="977"/>
        <v>0</v>
      </c>
      <c r="AW947" s="29">
        <f t="shared" si="978"/>
        <v>0</v>
      </c>
      <c r="AX947" s="29">
        <f t="shared" si="979"/>
        <v>0</v>
      </c>
      <c r="AY947" s="54" t="s">
        <v>1736</v>
      </c>
      <c r="AZ947" s="54" t="s">
        <v>1737</v>
      </c>
      <c r="BA947" s="48" t="s">
        <v>1738</v>
      </c>
      <c r="BC947" s="29">
        <f t="shared" si="980"/>
        <v>0</v>
      </c>
      <c r="BD947" s="29">
        <f t="shared" si="981"/>
        <v>0</v>
      </c>
      <c r="BE947" s="29">
        <v>0</v>
      </c>
      <c r="BF947" s="29">
        <f t="shared" si="982"/>
        <v>0</v>
      </c>
      <c r="BH947" s="55">
        <f t="shared" si="983"/>
        <v>0</v>
      </c>
      <c r="BI947" s="55">
        <f t="shared" si="984"/>
        <v>0</v>
      </c>
      <c r="BJ947" s="55">
        <f t="shared" si="985"/>
        <v>0</v>
      </c>
    </row>
    <row r="948" spans="1:62" ht="12.75">
      <c r="A948" s="36" t="s">
        <v>2142</v>
      </c>
      <c r="B948" s="36" t="s">
        <v>63</v>
      </c>
      <c r="C948" s="36" t="s">
        <v>1708</v>
      </c>
      <c r="D948" s="36" t="s">
        <v>1721</v>
      </c>
      <c r="E948" s="36" t="s">
        <v>606</v>
      </c>
      <c r="F948" s="55">
        <f>'Stavební rozpočet'!F970</f>
        <v>1</v>
      </c>
      <c r="G948" s="55">
        <f>'Stavební rozpočet'!G970</f>
        <v>0</v>
      </c>
      <c r="H948" s="55">
        <f t="shared" si="960"/>
        <v>0</v>
      </c>
      <c r="I948" s="55">
        <f t="shared" si="961"/>
        <v>0</v>
      </c>
      <c r="J948" s="55">
        <f t="shared" si="962"/>
        <v>0</v>
      </c>
      <c r="K948" s="55">
        <f>'Stavební rozpočet'!K970</f>
        <v>0</v>
      </c>
      <c r="L948" s="55">
        <f t="shared" si="963"/>
        <v>0</v>
      </c>
      <c r="M948" s="51" t="s">
        <v>622</v>
      </c>
      <c r="Z948" s="29">
        <f t="shared" si="964"/>
        <v>0</v>
      </c>
      <c r="AB948" s="29">
        <f t="shared" si="965"/>
        <v>0</v>
      </c>
      <c r="AC948" s="29">
        <f t="shared" si="966"/>
        <v>0</v>
      </c>
      <c r="AD948" s="29">
        <f t="shared" si="967"/>
        <v>0</v>
      </c>
      <c r="AE948" s="29">
        <f t="shared" si="968"/>
        <v>0</v>
      </c>
      <c r="AF948" s="29">
        <f t="shared" si="969"/>
        <v>0</v>
      </c>
      <c r="AG948" s="29">
        <f t="shared" si="970"/>
        <v>0</v>
      </c>
      <c r="AH948" s="29">
        <f t="shared" si="971"/>
        <v>0</v>
      </c>
      <c r="AI948" s="48" t="s">
        <v>63</v>
      </c>
      <c r="AJ948" s="55">
        <f t="shared" si="972"/>
        <v>0</v>
      </c>
      <c r="AK948" s="55">
        <f t="shared" si="973"/>
        <v>0</v>
      </c>
      <c r="AL948" s="55">
        <f t="shared" si="974"/>
        <v>0</v>
      </c>
      <c r="AN948" s="29">
        <v>15</v>
      </c>
      <c r="AO948" s="29">
        <f t="shared" si="975"/>
        <v>0</v>
      </c>
      <c r="AP948" s="29">
        <f t="shared" si="976"/>
        <v>0</v>
      </c>
      <c r="AQ948" s="51" t="s">
        <v>79</v>
      </c>
      <c r="AV948" s="29">
        <f t="shared" si="977"/>
        <v>0</v>
      </c>
      <c r="AW948" s="29">
        <f t="shared" si="978"/>
        <v>0</v>
      </c>
      <c r="AX948" s="29">
        <f t="shared" si="979"/>
        <v>0</v>
      </c>
      <c r="AY948" s="54" t="s">
        <v>1736</v>
      </c>
      <c r="AZ948" s="54" t="s">
        <v>1737</v>
      </c>
      <c r="BA948" s="48" t="s">
        <v>1738</v>
      </c>
      <c r="BC948" s="29">
        <f t="shared" si="980"/>
        <v>0</v>
      </c>
      <c r="BD948" s="29">
        <f t="shared" si="981"/>
        <v>0</v>
      </c>
      <c r="BE948" s="29">
        <v>0</v>
      </c>
      <c r="BF948" s="29">
        <f t="shared" si="982"/>
        <v>0</v>
      </c>
      <c r="BH948" s="55">
        <f t="shared" si="983"/>
        <v>0</v>
      </c>
      <c r="BI948" s="55">
        <f t="shared" si="984"/>
        <v>0</v>
      </c>
      <c r="BJ948" s="55">
        <f t="shared" si="985"/>
        <v>0</v>
      </c>
    </row>
    <row r="949" spans="1:62" ht="12.75">
      <c r="A949" s="36" t="s">
        <v>2143</v>
      </c>
      <c r="B949" s="36" t="s">
        <v>63</v>
      </c>
      <c r="C949" s="36" t="s">
        <v>1709</v>
      </c>
      <c r="D949" s="36" t="s">
        <v>38</v>
      </c>
      <c r="E949" s="36" t="s">
        <v>606</v>
      </c>
      <c r="F949" s="55">
        <f>'Stavební rozpočet'!F971</f>
        <v>1</v>
      </c>
      <c r="G949" s="55">
        <f>'Stavební rozpočet'!G971</f>
        <v>0</v>
      </c>
      <c r="H949" s="55">
        <f t="shared" si="960"/>
        <v>0</v>
      </c>
      <c r="I949" s="55">
        <f t="shared" si="961"/>
        <v>0</v>
      </c>
      <c r="J949" s="55">
        <f t="shared" si="962"/>
        <v>0</v>
      </c>
      <c r="K949" s="55">
        <f>'Stavební rozpočet'!K971</f>
        <v>0</v>
      </c>
      <c r="L949" s="55">
        <f t="shared" si="963"/>
        <v>0</v>
      </c>
      <c r="M949" s="51" t="s">
        <v>622</v>
      </c>
      <c r="Z949" s="29">
        <f t="shared" si="964"/>
        <v>0</v>
      </c>
      <c r="AB949" s="29">
        <f t="shared" si="965"/>
        <v>0</v>
      </c>
      <c r="AC949" s="29">
        <f t="shared" si="966"/>
        <v>0</v>
      </c>
      <c r="AD949" s="29">
        <f t="shared" si="967"/>
        <v>0</v>
      </c>
      <c r="AE949" s="29">
        <f t="shared" si="968"/>
        <v>0</v>
      </c>
      <c r="AF949" s="29">
        <f t="shared" si="969"/>
        <v>0</v>
      </c>
      <c r="AG949" s="29">
        <f t="shared" si="970"/>
        <v>0</v>
      </c>
      <c r="AH949" s="29">
        <f t="shared" si="971"/>
        <v>0</v>
      </c>
      <c r="AI949" s="48" t="s">
        <v>63</v>
      </c>
      <c r="AJ949" s="55">
        <f t="shared" si="972"/>
        <v>0</v>
      </c>
      <c r="AK949" s="55">
        <f t="shared" si="973"/>
        <v>0</v>
      </c>
      <c r="AL949" s="55">
        <f t="shared" si="974"/>
        <v>0</v>
      </c>
      <c r="AN949" s="29">
        <v>15</v>
      </c>
      <c r="AO949" s="29">
        <f t="shared" si="975"/>
        <v>0</v>
      </c>
      <c r="AP949" s="29">
        <f t="shared" si="976"/>
        <v>0</v>
      </c>
      <c r="AQ949" s="51" t="s">
        <v>79</v>
      </c>
      <c r="AV949" s="29">
        <f t="shared" si="977"/>
        <v>0</v>
      </c>
      <c r="AW949" s="29">
        <f t="shared" si="978"/>
        <v>0</v>
      </c>
      <c r="AX949" s="29">
        <f t="shared" si="979"/>
        <v>0</v>
      </c>
      <c r="AY949" s="54" t="s">
        <v>1736</v>
      </c>
      <c r="AZ949" s="54" t="s">
        <v>1737</v>
      </c>
      <c r="BA949" s="48" t="s">
        <v>1738</v>
      </c>
      <c r="BC949" s="29">
        <f t="shared" si="980"/>
        <v>0</v>
      </c>
      <c r="BD949" s="29">
        <f t="shared" si="981"/>
        <v>0</v>
      </c>
      <c r="BE949" s="29">
        <v>0</v>
      </c>
      <c r="BF949" s="29">
        <f t="shared" si="982"/>
        <v>0</v>
      </c>
      <c r="BH949" s="55">
        <f t="shared" si="983"/>
        <v>0</v>
      </c>
      <c r="BI949" s="55">
        <f t="shared" si="984"/>
        <v>0</v>
      </c>
      <c r="BJ949" s="55">
        <f t="shared" si="985"/>
        <v>0</v>
      </c>
    </row>
    <row r="950" spans="1:62" ht="12.75">
      <c r="A950" s="36" t="s">
        <v>2144</v>
      </c>
      <c r="B950" s="36" t="s">
        <v>63</v>
      </c>
      <c r="C950" s="36" t="s">
        <v>1710</v>
      </c>
      <c r="D950" s="36" t="s">
        <v>1724</v>
      </c>
      <c r="E950" s="36" t="s">
        <v>606</v>
      </c>
      <c r="F950" s="55">
        <f>'Stavební rozpočet'!F972</f>
        <v>1</v>
      </c>
      <c r="G950" s="55">
        <f>'Stavební rozpočet'!G972</f>
        <v>0</v>
      </c>
      <c r="H950" s="55">
        <f t="shared" si="960"/>
        <v>0</v>
      </c>
      <c r="I950" s="55">
        <f t="shared" si="961"/>
        <v>0</v>
      </c>
      <c r="J950" s="55">
        <f t="shared" si="962"/>
        <v>0</v>
      </c>
      <c r="K950" s="55">
        <f>'Stavební rozpočet'!K972</f>
        <v>0</v>
      </c>
      <c r="L950" s="55">
        <f t="shared" si="963"/>
        <v>0</v>
      </c>
      <c r="M950" s="51" t="s">
        <v>622</v>
      </c>
      <c r="Z950" s="29">
        <f t="shared" si="964"/>
        <v>0</v>
      </c>
      <c r="AB950" s="29">
        <f t="shared" si="965"/>
        <v>0</v>
      </c>
      <c r="AC950" s="29">
        <f t="shared" si="966"/>
        <v>0</v>
      </c>
      <c r="AD950" s="29">
        <f t="shared" si="967"/>
        <v>0</v>
      </c>
      <c r="AE950" s="29">
        <f t="shared" si="968"/>
        <v>0</v>
      </c>
      <c r="AF950" s="29">
        <f t="shared" si="969"/>
        <v>0</v>
      </c>
      <c r="AG950" s="29">
        <f t="shared" si="970"/>
        <v>0</v>
      </c>
      <c r="AH950" s="29">
        <f t="shared" si="971"/>
        <v>0</v>
      </c>
      <c r="AI950" s="48" t="s">
        <v>63</v>
      </c>
      <c r="AJ950" s="55">
        <f t="shared" si="972"/>
        <v>0</v>
      </c>
      <c r="AK950" s="55">
        <f t="shared" si="973"/>
        <v>0</v>
      </c>
      <c r="AL950" s="55">
        <f t="shared" si="974"/>
        <v>0</v>
      </c>
      <c r="AN950" s="29">
        <v>15</v>
      </c>
      <c r="AO950" s="29">
        <f t="shared" si="975"/>
        <v>0</v>
      </c>
      <c r="AP950" s="29">
        <f t="shared" si="976"/>
        <v>0</v>
      </c>
      <c r="AQ950" s="51" t="s">
        <v>79</v>
      </c>
      <c r="AV950" s="29">
        <f t="shared" si="977"/>
        <v>0</v>
      </c>
      <c r="AW950" s="29">
        <f t="shared" si="978"/>
        <v>0</v>
      </c>
      <c r="AX950" s="29">
        <f t="shared" si="979"/>
        <v>0</v>
      </c>
      <c r="AY950" s="54" t="s">
        <v>1736</v>
      </c>
      <c r="AZ950" s="54" t="s">
        <v>1737</v>
      </c>
      <c r="BA950" s="48" t="s">
        <v>1738</v>
      </c>
      <c r="BC950" s="29">
        <f t="shared" si="980"/>
        <v>0</v>
      </c>
      <c r="BD950" s="29">
        <f t="shared" si="981"/>
        <v>0</v>
      </c>
      <c r="BE950" s="29">
        <v>0</v>
      </c>
      <c r="BF950" s="29">
        <f t="shared" si="982"/>
        <v>0</v>
      </c>
      <c r="BH950" s="55">
        <f t="shared" si="983"/>
        <v>0</v>
      </c>
      <c r="BI950" s="55">
        <f t="shared" si="984"/>
        <v>0</v>
      </c>
      <c r="BJ950" s="55">
        <f t="shared" si="985"/>
        <v>0</v>
      </c>
    </row>
    <row r="951" spans="1:62" ht="12.75">
      <c r="A951" s="36" t="s">
        <v>2145</v>
      </c>
      <c r="B951" s="36" t="s">
        <v>63</v>
      </c>
      <c r="C951" s="36" t="s">
        <v>1711</v>
      </c>
      <c r="D951" s="36" t="s">
        <v>1726</v>
      </c>
      <c r="E951" s="36" t="s">
        <v>606</v>
      </c>
      <c r="F951" s="55">
        <f>'Stavební rozpočet'!F973</f>
        <v>1</v>
      </c>
      <c r="G951" s="55">
        <f>'Stavební rozpočet'!G973</f>
        <v>0</v>
      </c>
      <c r="H951" s="55">
        <f t="shared" si="960"/>
        <v>0</v>
      </c>
      <c r="I951" s="55">
        <f t="shared" si="961"/>
        <v>0</v>
      </c>
      <c r="J951" s="55">
        <f t="shared" si="962"/>
        <v>0</v>
      </c>
      <c r="K951" s="55">
        <f>'Stavební rozpočet'!K973</f>
        <v>0</v>
      </c>
      <c r="L951" s="55">
        <f t="shared" si="963"/>
        <v>0</v>
      </c>
      <c r="M951" s="51" t="s">
        <v>622</v>
      </c>
      <c r="Z951" s="29">
        <f t="shared" si="964"/>
        <v>0</v>
      </c>
      <c r="AB951" s="29">
        <f t="shared" si="965"/>
        <v>0</v>
      </c>
      <c r="AC951" s="29">
        <f t="shared" si="966"/>
        <v>0</v>
      </c>
      <c r="AD951" s="29">
        <f t="shared" si="967"/>
        <v>0</v>
      </c>
      <c r="AE951" s="29">
        <f t="shared" si="968"/>
        <v>0</v>
      </c>
      <c r="AF951" s="29">
        <f t="shared" si="969"/>
        <v>0</v>
      </c>
      <c r="AG951" s="29">
        <f t="shared" si="970"/>
        <v>0</v>
      </c>
      <c r="AH951" s="29">
        <f t="shared" si="971"/>
        <v>0</v>
      </c>
      <c r="AI951" s="48" t="s">
        <v>63</v>
      </c>
      <c r="AJ951" s="55">
        <f t="shared" si="972"/>
        <v>0</v>
      </c>
      <c r="AK951" s="55">
        <f t="shared" si="973"/>
        <v>0</v>
      </c>
      <c r="AL951" s="55">
        <f t="shared" si="974"/>
        <v>0</v>
      </c>
      <c r="AN951" s="29">
        <v>15</v>
      </c>
      <c r="AO951" s="29">
        <f t="shared" si="975"/>
        <v>0</v>
      </c>
      <c r="AP951" s="29">
        <f t="shared" si="976"/>
        <v>0</v>
      </c>
      <c r="AQ951" s="51" t="s">
        <v>79</v>
      </c>
      <c r="AV951" s="29">
        <f t="shared" si="977"/>
        <v>0</v>
      </c>
      <c r="AW951" s="29">
        <f t="shared" si="978"/>
        <v>0</v>
      </c>
      <c r="AX951" s="29">
        <f t="shared" si="979"/>
        <v>0</v>
      </c>
      <c r="AY951" s="54" t="s">
        <v>1736</v>
      </c>
      <c r="AZ951" s="54" t="s">
        <v>1737</v>
      </c>
      <c r="BA951" s="48" t="s">
        <v>1738</v>
      </c>
      <c r="BC951" s="29">
        <f t="shared" si="980"/>
        <v>0</v>
      </c>
      <c r="BD951" s="29">
        <f t="shared" si="981"/>
        <v>0</v>
      </c>
      <c r="BE951" s="29">
        <v>0</v>
      </c>
      <c r="BF951" s="29">
        <f t="shared" si="982"/>
        <v>0</v>
      </c>
      <c r="BH951" s="55">
        <f t="shared" si="983"/>
        <v>0</v>
      </c>
      <c r="BI951" s="55">
        <f t="shared" si="984"/>
        <v>0</v>
      </c>
      <c r="BJ951" s="55">
        <f t="shared" si="985"/>
        <v>0</v>
      </c>
    </row>
    <row r="952" spans="1:62" ht="12.75">
      <c r="A952" s="36" t="s">
        <v>2146</v>
      </c>
      <c r="B952" s="36" t="s">
        <v>63</v>
      </c>
      <c r="C952" s="36" t="s">
        <v>1712</v>
      </c>
      <c r="D952" s="36" t="s">
        <v>1728</v>
      </c>
      <c r="E952" s="36" t="s">
        <v>606</v>
      </c>
      <c r="F952" s="55">
        <f>'Stavební rozpočet'!F974</f>
        <v>1</v>
      </c>
      <c r="G952" s="55">
        <f>'Stavební rozpočet'!G974</f>
        <v>0</v>
      </c>
      <c r="H952" s="55">
        <f t="shared" si="960"/>
        <v>0</v>
      </c>
      <c r="I952" s="55">
        <f t="shared" si="961"/>
        <v>0</v>
      </c>
      <c r="J952" s="55">
        <f t="shared" si="962"/>
        <v>0</v>
      </c>
      <c r="K952" s="55">
        <f>'Stavební rozpočet'!K974</f>
        <v>0</v>
      </c>
      <c r="L952" s="55">
        <f t="shared" si="963"/>
        <v>0</v>
      </c>
      <c r="M952" s="51" t="s">
        <v>622</v>
      </c>
      <c r="Z952" s="29">
        <f t="shared" si="964"/>
        <v>0</v>
      </c>
      <c r="AB952" s="29">
        <f t="shared" si="965"/>
        <v>0</v>
      </c>
      <c r="AC952" s="29">
        <f t="shared" si="966"/>
        <v>0</v>
      </c>
      <c r="AD952" s="29">
        <f t="shared" si="967"/>
        <v>0</v>
      </c>
      <c r="AE952" s="29">
        <f t="shared" si="968"/>
        <v>0</v>
      </c>
      <c r="AF952" s="29">
        <f t="shared" si="969"/>
        <v>0</v>
      </c>
      <c r="AG952" s="29">
        <f t="shared" si="970"/>
        <v>0</v>
      </c>
      <c r="AH952" s="29">
        <f t="shared" si="971"/>
        <v>0</v>
      </c>
      <c r="AI952" s="48" t="s">
        <v>63</v>
      </c>
      <c r="AJ952" s="55">
        <f t="shared" si="972"/>
        <v>0</v>
      </c>
      <c r="AK952" s="55">
        <f t="shared" si="973"/>
        <v>0</v>
      </c>
      <c r="AL952" s="55">
        <f t="shared" si="974"/>
        <v>0</v>
      </c>
      <c r="AN952" s="29">
        <v>15</v>
      </c>
      <c r="AO952" s="29">
        <f t="shared" si="975"/>
        <v>0</v>
      </c>
      <c r="AP952" s="29">
        <f t="shared" si="976"/>
        <v>0</v>
      </c>
      <c r="AQ952" s="51" t="s">
        <v>79</v>
      </c>
      <c r="AV952" s="29">
        <f t="shared" si="977"/>
        <v>0</v>
      </c>
      <c r="AW952" s="29">
        <f t="shared" si="978"/>
        <v>0</v>
      </c>
      <c r="AX952" s="29">
        <f t="shared" si="979"/>
        <v>0</v>
      </c>
      <c r="AY952" s="54" t="s">
        <v>1736</v>
      </c>
      <c r="AZ952" s="54" t="s">
        <v>1737</v>
      </c>
      <c r="BA952" s="48" t="s">
        <v>1738</v>
      </c>
      <c r="BC952" s="29">
        <f t="shared" si="980"/>
        <v>0</v>
      </c>
      <c r="BD952" s="29">
        <f t="shared" si="981"/>
        <v>0</v>
      </c>
      <c r="BE952" s="29">
        <v>0</v>
      </c>
      <c r="BF952" s="29">
        <f t="shared" si="982"/>
        <v>0</v>
      </c>
      <c r="BH952" s="55">
        <f t="shared" si="983"/>
        <v>0</v>
      </c>
      <c r="BI952" s="55">
        <f t="shared" si="984"/>
        <v>0</v>
      </c>
      <c r="BJ952" s="55">
        <f t="shared" si="985"/>
        <v>0</v>
      </c>
    </row>
    <row r="953" spans="1:62" ht="12.75">
      <c r="A953" s="36" t="s">
        <v>2147</v>
      </c>
      <c r="B953" s="36" t="s">
        <v>63</v>
      </c>
      <c r="C953" s="36" t="s">
        <v>1713</v>
      </c>
      <c r="D953" s="36" t="s">
        <v>1730</v>
      </c>
      <c r="E953" s="36" t="s">
        <v>606</v>
      </c>
      <c r="F953" s="55">
        <f>'Stavební rozpočet'!F975</f>
        <v>1</v>
      </c>
      <c r="G953" s="55">
        <f>'Stavební rozpočet'!G975</f>
        <v>0</v>
      </c>
      <c r="H953" s="55">
        <f t="shared" si="960"/>
        <v>0</v>
      </c>
      <c r="I953" s="55">
        <f t="shared" si="961"/>
        <v>0</v>
      </c>
      <c r="J953" s="55">
        <f t="shared" si="962"/>
        <v>0</v>
      </c>
      <c r="K953" s="55">
        <f>'Stavební rozpočet'!K975</f>
        <v>0</v>
      </c>
      <c r="L953" s="55">
        <f t="shared" si="963"/>
        <v>0</v>
      </c>
      <c r="M953" s="51" t="s">
        <v>622</v>
      </c>
      <c r="Z953" s="29">
        <f t="shared" si="964"/>
        <v>0</v>
      </c>
      <c r="AB953" s="29">
        <f t="shared" si="965"/>
        <v>0</v>
      </c>
      <c r="AC953" s="29">
        <f t="shared" si="966"/>
        <v>0</v>
      </c>
      <c r="AD953" s="29">
        <f t="shared" si="967"/>
        <v>0</v>
      </c>
      <c r="AE953" s="29">
        <f t="shared" si="968"/>
        <v>0</v>
      </c>
      <c r="AF953" s="29">
        <f t="shared" si="969"/>
        <v>0</v>
      </c>
      <c r="AG953" s="29">
        <f t="shared" si="970"/>
        <v>0</v>
      </c>
      <c r="AH953" s="29">
        <f t="shared" si="971"/>
        <v>0</v>
      </c>
      <c r="AI953" s="48" t="s">
        <v>63</v>
      </c>
      <c r="AJ953" s="55">
        <f t="shared" si="972"/>
        <v>0</v>
      </c>
      <c r="AK953" s="55">
        <f t="shared" si="973"/>
        <v>0</v>
      </c>
      <c r="AL953" s="55">
        <f t="shared" si="974"/>
        <v>0</v>
      </c>
      <c r="AN953" s="29">
        <v>15</v>
      </c>
      <c r="AO953" s="29">
        <f t="shared" si="975"/>
        <v>0</v>
      </c>
      <c r="AP953" s="29">
        <f t="shared" si="976"/>
        <v>0</v>
      </c>
      <c r="AQ953" s="51" t="s">
        <v>79</v>
      </c>
      <c r="AV953" s="29">
        <f t="shared" si="977"/>
        <v>0</v>
      </c>
      <c r="AW953" s="29">
        <f t="shared" si="978"/>
        <v>0</v>
      </c>
      <c r="AX953" s="29">
        <f t="shared" si="979"/>
        <v>0</v>
      </c>
      <c r="AY953" s="54" t="s">
        <v>1736</v>
      </c>
      <c r="AZ953" s="54" t="s">
        <v>1737</v>
      </c>
      <c r="BA953" s="48" t="s">
        <v>1738</v>
      </c>
      <c r="BC953" s="29">
        <f t="shared" si="980"/>
        <v>0</v>
      </c>
      <c r="BD953" s="29">
        <f t="shared" si="981"/>
        <v>0</v>
      </c>
      <c r="BE953" s="29">
        <v>0</v>
      </c>
      <c r="BF953" s="29">
        <f t="shared" si="982"/>
        <v>0</v>
      </c>
      <c r="BH953" s="55">
        <f t="shared" si="983"/>
        <v>0</v>
      </c>
      <c r="BI953" s="55">
        <f t="shared" si="984"/>
        <v>0</v>
      </c>
      <c r="BJ953" s="55">
        <f t="shared" si="985"/>
        <v>0</v>
      </c>
    </row>
    <row r="954" spans="1:62" ht="12.75">
      <c r="A954" s="36" t="s">
        <v>2148</v>
      </c>
      <c r="B954" s="36" t="s">
        <v>63</v>
      </c>
      <c r="C954" s="36" t="s">
        <v>1714</v>
      </c>
      <c r="D954" s="36" t="s">
        <v>1732</v>
      </c>
      <c r="E954" s="36" t="s">
        <v>606</v>
      </c>
      <c r="F954" s="55">
        <f>'Stavební rozpočet'!F976</f>
        <v>1</v>
      </c>
      <c r="G954" s="55">
        <f>'Stavební rozpočet'!G976</f>
        <v>0</v>
      </c>
      <c r="H954" s="55">
        <f t="shared" si="960"/>
        <v>0</v>
      </c>
      <c r="I954" s="55">
        <f t="shared" si="961"/>
        <v>0</v>
      </c>
      <c r="J954" s="55">
        <f t="shared" si="962"/>
        <v>0</v>
      </c>
      <c r="K954" s="55">
        <f>'Stavební rozpočet'!K976</f>
        <v>0</v>
      </c>
      <c r="L954" s="55">
        <f t="shared" si="963"/>
        <v>0</v>
      </c>
      <c r="M954" s="51" t="s">
        <v>622</v>
      </c>
      <c r="Z954" s="29">
        <f t="shared" si="964"/>
        <v>0</v>
      </c>
      <c r="AB954" s="29">
        <f t="shared" si="965"/>
        <v>0</v>
      </c>
      <c r="AC954" s="29">
        <f t="shared" si="966"/>
        <v>0</v>
      </c>
      <c r="AD954" s="29">
        <f t="shared" si="967"/>
        <v>0</v>
      </c>
      <c r="AE954" s="29">
        <f t="shared" si="968"/>
        <v>0</v>
      </c>
      <c r="AF954" s="29">
        <f t="shared" si="969"/>
        <v>0</v>
      </c>
      <c r="AG954" s="29">
        <f t="shared" si="970"/>
        <v>0</v>
      </c>
      <c r="AH954" s="29">
        <f t="shared" si="971"/>
        <v>0</v>
      </c>
      <c r="AI954" s="48" t="s">
        <v>63</v>
      </c>
      <c r="AJ954" s="55">
        <f t="shared" si="972"/>
        <v>0</v>
      </c>
      <c r="AK954" s="55">
        <f t="shared" si="973"/>
        <v>0</v>
      </c>
      <c r="AL954" s="55">
        <f t="shared" si="974"/>
        <v>0</v>
      </c>
      <c r="AN954" s="29">
        <v>15</v>
      </c>
      <c r="AO954" s="29">
        <f t="shared" si="975"/>
        <v>0</v>
      </c>
      <c r="AP954" s="29">
        <f t="shared" si="976"/>
        <v>0</v>
      </c>
      <c r="AQ954" s="51" t="s">
        <v>79</v>
      </c>
      <c r="AV954" s="29">
        <f t="shared" si="977"/>
        <v>0</v>
      </c>
      <c r="AW954" s="29">
        <f t="shared" si="978"/>
        <v>0</v>
      </c>
      <c r="AX954" s="29">
        <f t="shared" si="979"/>
        <v>0</v>
      </c>
      <c r="AY954" s="54" t="s">
        <v>1736</v>
      </c>
      <c r="AZ954" s="54" t="s">
        <v>1737</v>
      </c>
      <c r="BA954" s="48" t="s">
        <v>1738</v>
      </c>
      <c r="BC954" s="29">
        <f t="shared" si="980"/>
        <v>0</v>
      </c>
      <c r="BD954" s="29">
        <f t="shared" si="981"/>
        <v>0</v>
      </c>
      <c r="BE954" s="29">
        <v>0</v>
      </c>
      <c r="BF954" s="29">
        <f t="shared" si="982"/>
        <v>0</v>
      </c>
      <c r="BH954" s="55">
        <f t="shared" si="983"/>
        <v>0</v>
      </c>
      <c r="BI954" s="55">
        <f t="shared" si="984"/>
        <v>0</v>
      </c>
      <c r="BJ954" s="55">
        <f t="shared" si="985"/>
        <v>0</v>
      </c>
    </row>
    <row r="955" spans="1:62" ht="12.75">
      <c r="A955" s="38" t="s">
        <v>2149</v>
      </c>
      <c r="B955" s="38" t="s">
        <v>63</v>
      </c>
      <c r="C955" s="38" t="s">
        <v>1715</v>
      </c>
      <c r="D955" s="38" t="s">
        <v>1734</v>
      </c>
      <c r="E955" s="38" t="s">
        <v>606</v>
      </c>
      <c r="F955" s="57">
        <f>'Stavební rozpočet'!F977</f>
        <v>1</v>
      </c>
      <c r="G955" s="57">
        <f>'Stavební rozpočet'!G977</f>
        <v>0</v>
      </c>
      <c r="H955" s="57">
        <f t="shared" si="960"/>
        <v>0</v>
      </c>
      <c r="I955" s="57">
        <f t="shared" si="961"/>
        <v>0</v>
      </c>
      <c r="J955" s="57">
        <f t="shared" si="962"/>
        <v>0</v>
      </c>
      <c r="K955" s="57">
        <f>'Stavební rozpočet'!K977</f>
        <v>0</v>
      </c>
      <c r="L955" s="57">
        <f t="shared" si="963"/>
        <v>0</v>
      </c>
      <c r="M955" s="53" t="s">
        <v>622</v>
      </c>
      <c r="Z955" s="29">
        <f t="shared" si="964"/>
        <v>0</v>
      </c>
      <c r="AB955" s="29">
        <f t="shared" si="965"/>
        <v>0</v>
      </c>
      <c r="AC955" s="29">
        <f t="shared" si="966"/>
        <v>0</v>
      </c>
      <c r="AD955" s="29">
        <f t="shared" si="967"/>
        <v>0</v>
      </c>
      <c r="AE955" s="29">
        <f t="shared" si="968"/>
        <v>0</v>
      </c>
      <c r="AF955" s="29">
        <f t="shared" si="969"/>
        <v>0</v>
      </c>
      <c r="AG955" s="29">
        <f t="shared" si="970"/>
        <v>0</v>
      </c>
      <c r="AH955" s="29">
        <f t="shared" si="971"/>
        <v>0</v>
      </c>
      <c r="AI955" s="48" t="s">
        <v>63</v>
      </c>
      <c r="AJ955" s="55">
        <f t="shared" si="972"/>
        <v>0</v>
      </c>
      <c r="AK955" s="55">
        <f t="shared" si="973"/>
        <v>0</v>
      </c>
      <c r="AL955" s="55">
        <f t="shared" si="974"/>
        <v>0</v>
      </c>
      <c r="AN955" s="29">
        <v>15</v>
      </c>
      <c r="AO955" s="29">
        <f t="shared" si="975"/>
        <v>0</v>
      </c>
      <c r="AP955" s="29">
        <f t="shared" si="976"/>
        <v>0</v>
      </c>
      <c r="AQ955" s="51" t="s">
        <v>79</v>
      </c>
      <c r="AV955" s="29">
        <f t="shared" si="977"/>
        <v>0</v>
      </c>
      <c r="AW955" s="29">
        <f t="shared" si="978"/>
        <v>0</v>
      </c>
      <c r="AX955" s="29">
        <f t="shared" si="979"/>
        <v>0</v>
      </c>
      <c r="AY955" s="54" t="s">
        <v>1736</v>
      </c>
      <c r="AZ955" s="54" t="s">
        <v>1737</v>
      </c>
      <c r="BA955" s="48" t="s">
        <v>1738</v>
      </c>
      <c r="BC955" s="29">
        <f t="shared" si="980"/>
        <v>0</v>
      </c>
      <c r="BD955" s="29">
        <f t="shared" si="981"/>
        <v>0</v>
      </c>
      <c r="BE955" s="29">
        <v>0</v>
      </c>
      <c r="BF955" s="29">
        <f t="shared" si="982"/>
        <v>0</v>
      </c>
      <c r="BH955" s="55">
        <f t="shared" si="983"/>
        <v>0</v>
      </c>
      <c r="BI955" s="55">
        <f t="shared" si="984"/>
        <v>0</v>
      </c>
      <c r="BJ955" s="55">
        <f t="shared" si="985"/>
        <v>0</v>
      </c>
    </row>
    <row r="956" spans="1:13" ht="12.75">
      <c r="A956" s="5"/>
      <c r="B956" s="5"/>
      <c r="C956" s="5"/>
      <c r="D956" s="5"/>
      <c r="E956" s="5"/>
      <c r="F956" s="5"/>
      <c r="G956" s="5"/>
      <c r="H956" s="225" t="s">
        <v>74</v>
      </c>
      <c r="I956" s="187"/>
      <c r="J956" s="31">
        <f>J13+J17+J23+J32+J35+J40+J45+J52+J55+J63+J65+J76+J89+J94+J138+J144+J154+J159+J196+J201+J211+J214+J223+J227+J229+J234+J239+J248+J255+J257+J317+J365+J415+J480+J488+J493+J504+J511+J524+J529+J654+J657+J663+J673+J675+J680+J685+J696+J705+J715+J717+J755+J784+J789+J833+J837+J841+J851+J863+J868+J911+J914+J916+J920+J935+J937+J939+J945</f>
        <v>0</v>
      </c>
      <c r="K956" s="5"/>
      <c r="L956" s="5"/>
      <c r="M956" s="5"/>
    </row>
    <row r="957" ht="11.25" customHeight="1">
      <c r="A957" s="24" t="s">
        <v>18</v>
      </c>
    </row>
    <row r="958" spans="1:13" ht="12.75">
      <c r="A958" s="194"/>
      <c r="B958" s="185"/>
      <c r="C958" s="185"/>
      <c r="D958" s="185"/>
      <c r="E958" s="185"/>
      <c r="F958" s="185"/>
      <c r="G958" s="185"/>
      <c r="H958" s="185"/>
      <c r="I958" s="185"/>
      <c r="J958" s="185"/>
      <c r="K958" s="185"/>
      <c r="L958" s="185"/>
      <c r="M958" s="185"/>
    </row>
  </sheetData>
  <mergeCells count="29">
    <mergeCell ref="H10:J10"/>
    <mergeCell ref="K10:L10"/>
    <mergeCell ref="H956:I956"/>
    <mergeCell ref="A958:M958"/>
    <mergeCell ref="A8:C9"/>
    <mergeCell ref="D8:D9"/>
    <mergeCell ref="E8:F9"/>
    <mergeCell ref="G8:G9"/>
    <mergeCell ref="H8:H9"/>
    <mergeCell ref="I8:M9"/>
    <mergeCell ref="I6:M7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portrait" paperSize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6"/>
  <sheetViews>
    <sheetView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54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2.00390625" style="0" customWidth="1"/>
    <col min="25" max="62" width="12.140625" style="0" hidden="1" customWidth="1"/>
  </cols>
  <sheetData>
    <row r="1" spans="1:13" ht="72.95" customHeight="1">
      <c r="A1" s="219" t="s">
        <v>2175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4" ht="12.75">
      <c r="A2" s="182" t="s">
        <v>0</v>
      </c>
      <c r="B2" s="183"/>
      <c r="C2" s="183"/>
      <c r="D2" s="186" t="str">
        <f>'Stavební rozpočet'!D2</f>
        <v>"Snížení energetické náročnosti bytových domů v ul.Komenského"-změna vnitřních prostorů</v>
      </c>
      <c r="E2" s="236" t="s">
        <v>70</v>
      </c>
      <c r="F2" s="183"/>
      <c r="G2" s="189" t="str">
        <f>'Stavební rozpočet'!G2</f>
        <v xml:space="preserve"> </v>
      </c>
      <c r="H2" s="189" t="s">
        <v>31</v>
      </c>
      <c r="I2" s="189">
        <f>'Stavební rozpočet'!I2</f>
        <v>0</v>
      </c>
      <c r="J2" s="183"/>
      <c r="K2" s="183"/>
      <c r="L2" s="183"/>
      <c r="M2" s="220"/>
      <c r="N2" s="18"/>
    </row>
    <row r="3" spans="1:14" ht="12.75">
      <c r="A3" s="184"/>
      <c r="B3" s="185"/>
      <c r="C3" s="185"/>
      <c r="D3" s="188"/>
      <c r="E3" s="185"/>
      <c r="F3" s="185"/>
      <c r="G3" s="185"/>
      <c r="H3" s="185"/>
      <c r="I3" s="185"/>
      <c r="J3" s="185"/>
      <c r="K3" s="185"/>
      <c r="L3" s="185"/>
      <c r="M3" s="191"/>
      <c r="N3" s="18"/>
    </row>
    <row r="4" spans="1:14" ht="12.75">
      <c r="A4" s="193" t="s">
        <v>1</v>
      </c>
      <c r="B4" s="185"/>
      <c r="C4" s="185"/>
      <c r="D4" s="194">
        <f>'Stavební rozpočet'!D4</f>
        <v>0</v>
      </c>
      <c r="E4" s="197" t="s">
        <v>3</v>
      </c>
      <c r="F4" s="185"/>
      <c r="G4" s="194" t="str">
        <f>'Stavební rozpočet'!G4</f>
        <v> </v>
      </c>
      <c r="H4" s="194" t="s">
        <v>32</v>
      </c>
      <c r="I4" s="194">
        <f>'Stavební rozpočet'!I4</f>
        <v>0</v>
      </c>
      <c r="J4" s="185"/>
      <c r="K4" s="185"/>
      <c r="L4" s="185"/>
      <c r="M4" s="191"/>
      <c r="N4" s="18"/>
    </row>
    <row r="5" spans="1:14" ht="12.75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91"/>
      <c r="N5" s="18"/>
    </row>
    <row r="6" spans="1:14" ht="12.75">
      <c r="A6" s="193" t="s">
        <v>2</v>
      </c>
      <c r="B6" s="185"/>
      <c r="C6" s="185"/>
      <c r="D6" s="194">
        <f>'Stavební rozpočet'!D6</f>
        <v>0</v>
      </c>
      <c r="E6" s="197" t="s">
        <v>34</v>
      </c>
      <c r="F6" s="185"/>
      <c r="G6" s="194" t="str">
        <f>'Stavební rozpočet'!G6</f>
        <v> </v>
      </c>
      <c r="H6" s="194" t="s">
        <v>33</v>
      </c>
      <c r="I6" s="194">
        <f>'Stavební rozpočet'!I6</f>
        <v>0</v>
      </c>
      <c r="J6" s="185"/>
      <c r="K6" s="185"/>
      <c r="L6" s="185"/>
      <c r="M6" s="191"/>
      <c r="N6" s="18"/>
    </row>
    <row r="7" spans="1:14" ht="12.75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91"/>
      <c r="N7" s="18"/>
    </row>
    <row r="8" spans="1:14" ht="12.75">
      <c r="A8" s="193" t="s">
        <v>4</v>
      </c>
      <c r="B8" s="185"/>
      <c r="C8" s="185"/>
      <c r="D8" s="194">
        <f>'Stavební rozpočet'!D8</f>
        <v>0</v>
      </c>
      <c r="E8" s="197" t="s">
        <v>71</v>
      </c>
      <c r="F8" s="185"/>
      <c r="G8" s="194" t="str">
        <f>'Stavební rozpočet'!G8</f>
        <v>17.02.2018</v>
      </c>
      <c r="H8" s="194" t="s">
        <v>35</v>
      </c>
      <c r="I8" s="194">
        <f>'Stavební rozpočet'!I8</f>
        <v>0</v>
      </c>
      <c r="J8" s="185"/>
      <c r="K8" s="185"/>
      <c r="L8" s="185"/>
      <c r="M8" s="191"/>
      <c r="N8" s="18"/>
    </row>
    <row r="9" spans="1:14" ht="12.75">
      <c r="A9" s="223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  <c r="N9" s="18"/>
    </row>
    <row r="10" spans="1:14" ht="12.75">
      <c r="A10" s="32" t="s">
        <v>78</v>
      </c>
      <c r="B10" s="39" t="s">
        <v>58</v>
      </c>
      <c r="C10" s="39" t="s">
        <v>245</v>
      </c>
      <c r="D10" s="39" t="s">
        <v>64</v>
      </c>
      <c r="E10" s="39" t="s">
        <v>605</v>
      </c>
      <c r="F10" s="44" t="s">
        <v>617</v>
      </c>
      <c r="G10" s="45" t="s">
        <v>618</v>
      </c>
      <c r="H10" s="229" t="s">
        <v>72</v>
      </c>
      <c r="I10" s="230"/>
      <c r="J10" s="231"/>
      <c r="K10" s="229" t="s">
        <v>76</v>
      </c>
      <c r="L10" s="231"/>
      <c r="M10" s="49" t="s">
        <v>620</v>
      </c>
      <c r="N10" s="19"/>
    </row>
    <row r="11" spans="1:62" ht="12.75">
      <c r="A11" s="33" t="s">
        <v>57</v>
      </c>
      <c r="B11" s="40" t="s">
        <v>57</v>
      </c>
      <c r="C11" s="40" t="s">
        <v>57</v>
      </c>
      <c r="D11" s="22" t="s">
        <v>419</v>
      </c>
      <c r="E11" s="40" t="s">
        <v>57</v>
      </c>
      <c r="F11" s="40" t="s">
        <v>57</v>
      </c>
      <c r="G11" s="46" t="s">
        <v>619</v>
      </c>
      <c r="H11" s="25" t="s">
        <v>73</v>
      </c>
      <c r="I11" s="26" t="s">
        <v>21</v>
      </c>
      <c r="J11" s="28" t="s">
        <v>75</v>
      </c>
      <c r="K11" s="25" t="s">
        <v>618</v>
      </c>
      <c r="L11" s="28" t="s">
        <v>75</v>
      </c>
      <c r="M11" s="50" t="s">
        <v>621</v>
      </c>
      <c r="N11" s="19"/>
      <c r="Z11" s="48" t="s">
        <v>623</v>
      </c>
      <c r="AA11" s="48" t="s">
        <v>624</v>
      </c>
      <c r="AB11" s="48" t="s">
        <v>625</v>
      </c>
      <c r="AC11" s="48" t="s">
        <v>626</v>
      </c>
      <c r="AD11" s="48" t="s">
        <v>627</v>
      </c>
      <c r="AE11" s="48" t="s">
        <v>628</v>
      </c>
      <c r="AF11" s="48" t="s">
        <v>629</v>
      </c>
      <c r="AG11" s="48" t="s">
        <v>630</v>
      </c>
      <c r="AH11" s="48" t="s">
        <v>631</v>
      </c>
      <c r="BH11" s="48" t="s">
        <v>659</v>
      </c>
      <c r="BI11" s="48" t="s">
        <v>660</v>
      </c>
      <c r="BJ11" s="48" t="s">
        <v>661</v>
      </c>
    </row>
    <row r="12" spans="1:13" ht="12.75">
      <c r="A12" s="34"/>
      <c r="B12" s="41" t="s">
        <v>59</v>
      </c>
      <c r="C12" s="41"/>
      <c r="D12" s="41" t="s">
        <v>65</v>
      </c>
      <c r="E12" s="34" t="s">
        <v>57</v>
      </c>
      <c r="F12" s="34" t="s">
        <v>57</v>
      </c>
      <c r="G12" s="34" t="s">
        <v>57</v>
      </c>
      <c r="H12" s="58">
        <f>H13</f>
        <v>0</v>
      </c>
      <c r="I12" s="58">
        <f>I13</f>
        <v>0</v>
      </c>
      <c r="J12" s="58">
        <f>J13</f>
        <v>0</v>
      </c>
      <c r="K12" s="47"/>
      <c r="L12" s="58">
        <f>L13</f>
        <v>0</v>
      </c>
      <c r="M12" s="47"/>
    </row>
    <row r="13" spans="1:47" ht="12.75">
      <c r="A13" s="35"/>
      <c r="B13" s="42" t="s">
        <v>59</v>
      </c>
      <c r="C13" s="42" t="s">
        <v>367</v>
      </c>
      <c r="D13" s="42" t="s">
        <v>552</v>
      </c>
      <c r="E13" s="35" t="s">
        <v>57</v>
      </c>
      <c r="F13" s="35" t="s">
        <v>57</v>
      </c>
      <c r="G13" s="35" t="s">
        <v>57</v>
      </c>
      <c r="H13" s="59">
        <f>SUM(H14:H15)</f>
        <v>0</v>
      </c>
      <c r="I13" s="59">
        <f>SUM(I14:I15)</f>
        <v>0</v>
      </c>
      <c r="J13" s="59">
        <f>SUM(J14:J15)</f>
        <v>0</v>
      </c>
      <c r="K13" s="48"/>
      <c r="L13" s="59">
        <f>SUM(L14:L15)</f>
        <v>0</v>
      </c>
      <c r="M13" s="48"/>
      <c r="AI13" s="48" t="s">
        <v>59</v>
      </c>
      <c r="AS13" s="59">
        <f>SUM(AJ14:AJ15)</f>
        <v>0</v>
      </c>
      <c r="AT13" s="59">
        <f>SUM(AK14:AK15)</f>
        <v>0</v>
      </c>
      <c r="AU13" s="59">
        <f>SUM(AL14:AL15)</f>
        <v>0</v>
      </c>
    </row>
    <row r="14" spans="1:62" ht="12.75">
      <c r="A14" s="37" t="s">
        <v>79</v>
      </c>
      <c r="B14" s="37" t="s">
        <v>59</v>
      </c>
      <c r="C14" s="37" t="s">
        <v>374</v>
      </c>
      <c r="D14" s="37" t="s">
        <v>559</v>
      </c>
      <c r="E14" s="37" t="s">
        <v>608</v>
      </c>
      <c r="F14" s="56">
        <f>'Stavební rozpočet'!F151</f>
        <v>0</v>
      </c>
      <c r="G14" s="56">
        <f>'Stavební rozpočet'!G151</f>
        <v>360</v>
      </c>
      <c r="H14" s="56">
        <f>F14*AO14</f>
        <v>0</v>
      </c>
      <c r="I14" s="56">
        <f>F14*AP14</f>
        <v>0</v>
      </c>
      <c r="J14" s="56">
        <f>F14*G14</f>
        <v>0</v>
      </c>
      <c r="K14" s="56">
        <f>'Stavební rozpočet'!K151</f>
        <v>0.0192</v>
      </c>
      <c r="L14" s="56">
        <f>F14*K14</f>
        <v>0</v>
      </c>
      <c r="M14" s="52" t="s">
        <v>622</v>
      </c>
      <c r="Z14" s="29">
        <f>IF(AQ14="5",BJ14,0)</f>
        <v>0</v>
      </c>
      <c r="AB14" s="29">
        <f>IF(AQ14="1",BH14,0)</f>
        <v>0</v>
      </c>
      <c r="AC14" s="29">
        <f>IF(AQ14="1",BI14,0)</f>
        <v>0</v>
      </c>
      <c r="AD14" s="29">
        <f>IF(AQ14="7",BH14,0)</f>
        <v>0</v>
      </c>
      <c r="AE14" s="29">
        <f>IF(AQ14="7",BI14,0)</f>
        <v>0</v>
      </c>
      <c r="AF14" s="29">
        <f>IF(AQ14="2",BH14,0)</f>
        <v>0</v>
      </c>
      <c r="AG14" s="29">
        <f>IF(AQ14="2",BI14,0)</f>
        <v>0</v>
      </c>
      <c r="AH14" s="29">
        <f>IF(AQ14="0",BJ14,0)</f>
        <v>0</v>
      </c>
      <c r="AI14" s="48" t="s">
        <v>59</v>
      </c>
      <c r="AJ14" s="56">
        <f>IF(AN14=0,J14,0)</f>
        <v>0</v>
      </c>
      <c r="AK14" s="56">
        <f>IF(AN14=15,J14,0)</f>
        <v>0</v>
      </c>
      <c r="AL14" s="56">
        <f>IF(AN14=21,J14,0)</f>
        <v>0</v>
      </c>
      <c r="AN14" s="29">
        <v>15</v>
      </c>
      <c r="AO14" s="29">
        <f>G14*1</f>
        <v>360</v>
      </c>
      <c r="AP14" s="29">
        <f>G14*(1-1)</f>
        <v>0</v>
      </c>
      <c r="AQ14" s="52" t="s">
        <v>85</v>
      </c>
      <c r="AV14" s="29">
        <f>AW14+AX14</f>
        <v>0</v>
      </c>
      <c r="AW14" s="29">
        <f>F14*AO14</f>
        <v>0</v>
      </c>
      <c r="AX14" s="29">
        <f>F14*AP14</f>
        <v>0</v>
      </c>
      <c r="AY14" s="54" t="s">
        <v>647</v>
      </c>
      <c r="AZ14" s="54" t="s">
        <v>656</v>
      </c>
      <c r="BA14" s="48" t="s">
        <v>658</v>
      </c>
      <c r="BC14" s="29">
        <f>AW14+AX14</f>
        <v>0</v>
      </c>
      <c r="BD14" s="29">
        <f>G14/(100-BE14)*100</f>
        <v>360</v>
      </c>
      <c r="BE14" s="29">
        <v>0</v>
      </c>
      <c r="BF14" s="29">
        <f>L14</f>
        <v>0</v>
      </c>
      <c r="BH14" s="56">
        <f>F14*AO14</f>
        <v>0</v>
      </c>
      <c r="BI14" s="56">
        <f>F14*AP14</f>
        <v>0</v>
      </c>
      <c r="BJ14" s="56">
        <f>F14*G14</f>
        <v>0</v>
      </c>
    </row>
    <row r="15" spans="1:62" ht="12.75">
      <c r="A15" s="37" t="s">
        <v>80</v>
      </c>
      <c r="B15" s="37" t="s">
        <v>59</v>
      </c>
      <c r="C15" s="37" t="s">
        <v>374</v>
      </c>
      <c r="D15" s="37" t="s">
        <v>559</v>
      </c>
      <c r="E15" s="37" t="s">
        <v>608</v>
      </c>
      <c r="F15" s="56">
        <f>'Stavební rozpočet'!F154</f>
        <v>0</v>
      </c>
      <c r="G15" s="56">
        <f>'Stavební rozpočet'!G154</f>
        <v>360</v>
      </c>
      <c r="H15" s="56">
        <f>F15*AO15</f>
        <v>0</v>
      </c>
      <c r="I15" s="56">
        <f>F15*AP15</f>
        <v>0</v>
      </c>
      <c r="J15" s="56">
        <f>F15*G15</f>
        <v>0</v>
      </c>
      <c r="K15" s="56">
        <f>'Stavební rozpočet'!K154</f>
        <v>0.0192</v>
      </c>
      <c r="L15" s="56">
        <f>F15*K15</f>
        <v>0</v>
      </c>
      <c r="M15" s="52" t="s">
        <v>622</v>
      </c>
      <c r="Z15" s="29">
        <f>IF(AQ15="5",BJ15,0)</f>
        <v>0</v>
      </c>
      <c r="AB15" s="29">
        <f>IF(AQ15="1",BH15,0)</f>
        <v>0</v>
      </c>
      <c r="AC15" s="29">
        <f>IF(AQ15="1",BI15,0)</f>
        <v>0</v>
      </c>
      <c r="AD15" s="29">
        <f>IF(AQ15="7",BH15,0)</f>
        <v>0</v>
      </c>
      <c r="AE15" s="29">
        <f>IF(AQ15="7",BI15,0)</f>
        <v>0</v>
      </c>
      <c r="AF15" s="29">
        <f>IF(AQ15="2",BH15,0)</f>
        <v>0</v>
      </c>
      <c r="AG15" s="29">
        <f>IF(AQ15="2",BI15,0)</f>
        <v>0</v>
      </c>
      <c r="AH15" s="29">
        <f>IF(AQ15="0",BJ15,0)</f>
        <v>0</v>
      </c>
      <c r="AI15" s="48" t="s">
        <v>59</v>
      </c>
      <c r="AJ15" s="56">
        <f>IF(AN15=0,J15,0)</f>
        <v>0</v>
      </c>
      <c r="AK15" s="56">
        <f>IF(AN15=15,J15,0)</f>
        <v>0</v>
      </c>
      <c r="AL15" s="56">
        <f>IF(AN15=21,J15,0)</f>
        <v>0</v>
      </c>
      <c r="AN15" s="29">
        <v>15</v>
      </c>
      <c r="AO15" s="29">
        <f>G15*1</f>
        <v>360</v>
      </c>
      <c r="AP15" s="29">
        <f>G15*(1-1)</f>
        <v>0</v>
      </c>
      <c r="AQ15" s="52" t="s">
        <v>85</v>
      </c>
      <c r="AV15" s="29">
        <f>AW15+AX15</f>
        <v>0</v>
      </c>
      <c r="AW15" s="29">
        <f>F15*AO15</f>
        <v>0</v>
      </c>
      <c r="AX15" s="29">
        <f>F15*AP15</f>
        <v>0</v>
      </c>
      <c r="AY15" s="54" t="s">
        <v>647</v>
      </c>
      <c r="AZ15" s="54" t="s">
        <v>656</v>
      </c>
      <c r="BA15" s="48" t="s">
        <v>658</v>
      </c>
      <c r="BC15" s="29">
        <f>AW15+AX15</f>
        <v>0</v>
      </c>
      <c r="BD15" s="29">
        <f>G15/(100-BE15)*100</f>
        <v>360</v>
      </c>
      <c r="BE15" s="29">
        <v>0</v>
      </c>
      <c r="BF15" s="29">
        <f>L15</f>
        <v>0</v>
      </c>
      <c r="BH15" s="56">
        <f>F15*AO15</f>
        <v>0</v>
      </c>
      <c r="BI15" s="56">
        <f>F15*AP15</f>
        <v>0</v>
      </c>
      <c r="BJ15" s="56">
        <f>F15*G15</f>
        <v>0</v>
      </c>
    </row>
    <row r="16" spans="1:13" ht="12.75">
      <c r="A16" s="71"/>
      <c r="B16" s="72" t="s">
        <v>60</v>
      </c>
      <c r="C16" s="72"/>
      <c r="D16" s="72" t="s">
        <v>66</v>
      </c>
      <c r="E16" s="71" t="s">
        <v>57</v>
      </c>
      <c r="F16" s="71" t="s">
        <v>57</v>
      </c>
      <c r="G16" s="71" t="s">
        <v>57</v>
      </c>
      <c r="H16" s="74">
        <f>H17+H21+H24+H32</f>
        <v>0</v>
      </c>
      <c r="I16" s="74">
        <f>I17+I21+I24+I32</f>
        <v>0</v>
      </c>
      <c r="J16" s="74">
        <f>J17+J21+J24+J32</f>
        <v>0</v>
      </c>
      <c r="K16" s="73"/>
      <c r="L16" s="74">
        <f>L17+L21+L24+L32</f>
        <v>2.6274704</v>
      </c>
      <c r="M16" s="73"/>
    </row>
    <row r="17" spans="1:47" ht="12.75">
      <c r="A17" s="35"/>
      <c r="B17" s="42" t="s">
        <v>60</v>
      </c>
      <c r="C17" s="42" t="s">
        <v>367</v>
      </c>
      <c r="D17" s="42" t="s">
        <v>552</v>
      </c>
      <c r="E17" s="35" t="s">
        <v>57</v>
      </c>
      <c r="F17" s="35" t="s">
        <v>57</v>
      </c>
      <c r="G17" s="35" t="s">
        <v>57</v>
      </c>
      <c r="H17" s="59">
        <f>SUM(H18:H20)</f>
        <v>0</v>
      </c>
      <c r="I17" s="59">
        <f>SUM(I18:I20)</f>
        <v>0</v>
      </c>
      <c r="J17" s="59">
        <f>SUM(J18:J20)</f>
        <v>0</v>
      </c>
      <c r="K17" s="48"/>
      <c r="L17" s="59">
        <f>SUM(L18:L20)</f>
        <v>0.8193465999999999</v>
      </c>
      <c r="M17" s="48"/>
      <c r="AI17" s="48" t="s">
        <v>60</v>
      </c>
      <c r="AS17" s="59">
        <f>SUM(AJ18:AJ20)</f>
        <v>0</v>
      </c>
      <c r="AT17" s="59">
        <f>SUM(AK18:AK20)</f>
        <v>0</v>
      </c>
      <c r="AU17" s="59">
        <f>SUM(AL18:AL20)</f>
        <v>0</v>
      </c>
    </row>
    <row r="18" spans="1:62" ht="12.75">
      <c r="A18" s="37" t="s">
        <v>81</v>
      </c>
      <c r="B18" s="37" t="s">
        <v>60</v>
      </c>
      <c r="C18" s="37" t="s">
        <v>1109</v>
      </c>
      <c r="D18" s="37" t="s">
        <v>1414</v>
      </c>
      <c r="E18" s="37" t="s">
        <v>609</v>
      </c>
      <c r="F18" s="56">
        <f>'Stavební rozpočet'!F501</f>
        <v>10.15</v>
      </c>
      <c r="G18" s="56">
        <f>'Stavební rozpočet'!G501</f>
        <v>0</v>
      </c>
      <c r="H18" s="56">
        <f>F18*AO18</f>
        <v>0</v>
      </c>
      <c r="I18" s="56">
        <f>F18*AP18</f>
        <v>0</v>
      </c>
      <c r="J18" s="56">
        <f>F18*G18</f>
        <v>0</v>
      </c>
      <c r="K18" s="56">
        <f>'Stavební rozpočet'!K501</f>
        <v>0.00022</v>
      </c>
      <c r="L18" s="56">
        <f>F18*K18</f>
        <v>0.002233</v>
      </c>
      <c r="M18" s="52" t="s">
        <v>622</v>
      </c>
      <c r="Z18" s="29">
        <f>IF(AQ18="5",BJ18,0)</f>
        <v>0</v>
      </c>
      <c r="AB18" s="29">
        <f>IF(AQ18="1",BH18,0)</f>
        <v>0</v>
      </c>
      <c r="AC18" s="29">
        <f>IF(AQ18="1",BI18,0)</f>
        <v>0</v>
      </c>
      <c r="AD18" s="29">
        <f>IF(AQ18="7",BH18,0)</f>
        <v>0</v>
      </c>
      <c r="AE18" s="29">
        <f>IF(AQ18="7",BI18,0)</f>
        <v>0</v>
      </c>
      <c r="AF18" s="29">
        <f>IF(AQ18="2",BH18,0)</f>
        <v>0</v>
      </c>
      <c r="AG18" s="29">
        <f>IF(AQ18="2",BI18,0)</f>
        <v>0</v>
      </c>
      <c r="AH18" s="29">
        <f>IF(AQ18="0",BJ18,0)</f>
        <v>0</v>
      </c>
      <c r="AI18" s="48" t="s">
        <v>60</v>
      </c>
      <c r="AJ18" s="56">
        <f>IF(AN18=0,J18,0)</f>
        <v>0</v>
      </c>
      <c r="AK18" s="56">
        <f>IF(AN18=15,J18,0)</f>
        <v>0</v>
      </c>
      <c r="AL18" s="56">
        <f>IF(AN18=21,J18,0)</f>
        <v>0</v>
      </c>
      <c r="AN18" s="29">
        <v>15</v>
      </c>
      <c r="AO18" s="29">
        <f>G18*1</f>
        <v>0</v>
      </c>
      <c r="AP18" s="29">
        <f>G18*(1-1)</f>
        <v>0</v>
      </c>
      <c r="AQ18" s="52" t="s">
        <v>85</v>
      </c>
      <c r="AV18" s="29">
        <f>AW18+AX18</f>
        <v>0</v>
      </c>
      <c r="AW18" s="29">
        <f>F18*AO18</f>
        <v>0</v>
      </c>
      <c r="AX18" s="29">
        <f>F18*AP18</f>
        <v>0</v>
      </c>
      <c r="AY18" s="54" t="s">
        <v>647</v>
      </c>
      <c r="AZ18" s="54" t="s">
        <v>1540</v>
      </c>
      <c r="BA18" s="48" t="s">
        <v>1542</v>
      </c>
      <c r="BC18" s="29">
        <f>AW18+AX18</f>
        <v>0</v>
      </c>
      <c r="BD18" s="29">
        <f>G18/(100-BE18)*100</f>
        <v>0</v>
      </c>
      <c r="BE18" s="29">
        <v>0</v>
      </c>
      <c r="BF18" s="29">
        <f>L18</f>
        <v>0.002233</v>
      </c>
      <c r="BH18" s="56">
        <f>F18*AO18</f>
        <v>0</v>
      </c>
      <c r="BI18" s="56">
        <f>F18*AP18</f>
        <v>0</v>
      </c>
      <c r="BJ18" s="56">
        <f>F18*G18</f>
        <v>0</v>
      </c>
    </row>
    <row r="19" spans="1:62" ht="12.75">
      <c r="A19" s="37" t="s">
        <v>82</v>
      </c>
      <c r="B19" s="37" t="s">
        <v>60</v>
      </c>
      <c r="C19" s="37" t="s">
        <v>374</v>
      </c>
      <c r="D19" s="37" t="s">
        <v>559</v>
      </c>
      <c r="E19" s="37" t="s">
        <v>608</v>
      </c>
      <c r="F19" s="56">
        <f>'Stavební rozpočet'!F503</f>
        <v>1.86</v>
      </c>
      <c r="G19" s="56">
        <f>'Stavební rozpočet'!G503</f>
        <v>0</v>
      </c>
      <c r="H19" s="56">
        <f>F19*AO19</f>
        <v>0</v>
      </c>
      <c r="I19" s="56">
        <f>F19*AP19</f>
        <v>0</v>
      </c>
      <c r="J19" s="56">
        <f>F19*G19</f>
        <v>0</v>
      </c>
      <c r="K19" s="56">
        <f>'Stavební rozpočet'!K503</f>
        <v>0.0192</v>
      </c>
      <c r="L19" s="56">
        <f>F19*K19</f>
        <v>0.035712</v>
      </c>
      <c r="M19" s="52" t="s">
        <v>622</v>
      </c>
      <c r="Z19" s="29">
        <f>IF(AQ19="5",BJ19,0)</f>
        <v>0</v>
      </c>
      <c r="AB19" s="29">
        <f>IF(AQ19="1",BH19,0)</f>
        <v>0</v>
      </c>
      <c r="AC19" s="29">
        <f>IF(AQ19="1",BI19,0)</f>
        <v>0</v>
      </c>
      <c r="AD19" s="29">
        <f>IF(AQ19="7",BH19,0)</f>
        <v>0</v>
      </c>
      <c r="AE19" s="29">
        <f>IF(AQ19="7",BI19,0)</f>
        <v>0</v>
      </c>
      <c r="AF19" s="29">
        <f>IF(AQ19="2",BH19,0)</f>
        <v>0</v>
      </c>
      <c r="AG19" s="29">
        <f>IF(AQ19="2",BI19,0)</f>
        <v>0</v>
      </c>
      <c r="AH19" s="29">
        <f>IF(AQ19="0",BJ19,0)</f>
        <v>0</v>
      </c>
      <c r="AI19" s="48" t="s">
        <v>60</v>
      </c>
      <c r="AJ19" s="56">
        <f>IF(AN19=0,J19,0)</f>
        <v>0</v>
      </c>
      <c r="AK19" s="56">
        <f>IF(AN19=15,J19,0)</f>
        <v>0</v>
      </c>
      <c r="AL19" s="56">
        <f>IF(AN19=21,J19,0)</f>
        <v>0</v>
      </c>
      <c r="AN19" s="29">
        <v>15</v>
      </c>
      <c r="AO19" s="29">
        <f>G19*1</f>
        <v>0</v>
      </c>
      <c r="AP19" s="29">
        <f>G19*(1-1)</f>
        <v>0</v>
      </c>
      <c r="AQ19" s="52" t="s">
        <v>85</v>
      </c>
      <c r="AV19" s="29">
        <f>AW19+AX19</f>
        <v>0</v>
      </c>
      <c r="AW19" s="29">
        <f>F19*AO19</f>
        <v>0</v>
      </c>
      <c r="AX19" s="29">
        <f>F19*AP19</f>
        <v>0</v>
      </c>
      <c r="AY19" s="54" t="s">
        <v>647</v>
      </c>
      <c r="AZ19" s="54" t="s">
        <v>1540</v>
      </c>
      <c r="BA19" s="48" t="s">
        <v>1542</v>
      </c>
      <c r="BC19" s="29">
        <f>AW19+AX19</f>
        <v>0</v>
      </c>
      <c r="BD19" s="29">
        <f>G19/(100-BE19)*100</f>
        <v>0</v>
      </c>
      <c r="BE19" s="29">
        <v>0</v>
      </c>
      <c r="BF19" s="29">
        <f>L19</f>
        <v>0.035712</v>
      </c>
      <c r="BH19" s="56">
        <f>F19*AO19</f>
        <v>0</v>
      </c>
      <c r="BI19" s="56">
        <f>F19*AP19</f>
        <v>0</v>
      </c>
      <c r="BJ19" s="56">
        <f>F19*G19</f>
        <v>0</v>
      </c>
    </row>
    <row r="20" spans="1:62" ht="12.75">
      <c r="A20" s="37" t="s">
        <v>83</v>
      </c>
      <c r="B20" s="37" t="s">
        <v>60</v>
      </c>
      <c r="C20" s="37" t="s">
        <v>374</v>
      </c>
      <c r="D20" s="37" t="s">
        <v>559</v>
      </c>
      <c r="E20" s="37" t="s">
        <v>608</v>
      </c>
      <c r="F20" s="56">
        <f>'Stavební rozpočet'!F506</f>
        <v>40.698</v>
      </c>
      <c r="G20" s="56">
        <f>'Stavební rozpočet'!G506</f>
        <v>0</v>
      </c>
      <c r="H20" s="56">
        <f>F20*AO20</f>
        <v>0</v>
      </c>
      <c r="I20" s="56">
        <f>F20*AP20</f>
        <v>0</v>
      </c>
      <c r="J20" s="56">
        <f>F20*G20</f>
        <v>0</v>
      </c>
      <c r="K20" s="56">
        <f>'Stavební rozpočet'!K506</f>
        <v>0.0192</v>
      </c>
      <c r="L20" s="56">
        <f>F20*K20</f>
        <v>0.7814015999999999</v>
      </c>
      <c r="M20" s="52" t="s">
        <v>622</v>
      </c>
      <c r="Z20" s="29">
        <f>IF(AQ20="5",BJ20,0)</f>
        <v>0</v>
      </c>
      <c r="AB20" s="29">
        <f>IF(AQ20="1",BH20,0)</f>
        <v>0</v>
      </c>
      <c r="AC20" s="29">
        <f>IF(AQ20="1",BI20,0)</f>
        <v>0</v>
      </c>
      <c r="AD20" s="29">
        <f>IF(AQ20="7",BH20,0)</f>
        <v>0</v>
      </c>
      <c r="AE20" s="29">
        <f>IF(AQ20="7",BI20,0)</f>
        <v>0</v>
      </c>
      <c r="AF20" s="29">
        <f>IF(AQ20="2",BH20,0)</f>
        <v>0</v>
      </c>
      <c r="AG20" s="29">
        <f>IF(AQ20="2",BI20,0)</f>
        <v>0</v>
      </c>
      <c r="AH20" s="29">
        <f>IF(AQ20="0",BJ20,0)</f>
        <v>0</v>
      </c>
      <c r="AI20" s="48" t="s">
        <v>60</v>
      </c>
      <c r="AJ20" s="56">
        <f>IF(AN20=0,J20,0)</f>
        <v>0</v>
      </c>
      <c r="AK20" s="56">
        <f>IF(AN20=15,J20,0)</f>
        <v>0</v>
      </c>
      <c r="AL20" s="56">
        <f>IF(AN20=21,J20,0)</f>
        <v>0</v>
      </c>
      <c r="AN20" s="29">
        <v>15</v>
      </c>
      <c r="AO20" s="29">
        <f>G20*1</f>
        <v>0</v>
      </c>
      <c r="AP20" s="29">
        <f>G20*(1-1)</f>
        <v>0</v>
      </c>
      <c r="AQ20" s="52" t="s">
        <v>85</v>
      </c>
      <c r="AV20" s="29">
        <f>AW20+AX20</f>
        <v>0</v>
      </c>
      <c r="AW20" s="29">
        <f>F20*AO20</f>
        <v>0</v>
      </c>
      <c r="AX20" s="29">
        <f>F20*AP20</f>
        <v>0</v>
      </c>
      <c r="AY20" s="54" t="s">
        <v>647</v>
      </c>
      <c r="AZ20" s="54" t="s">
        <v>1540</v>
      </c>
      <c r="BA20" s="48" t="s">
        <v>1542</v>
      </c>
      <c r="BC20" s="29">
        <f>AW20+AX20</f>
        <v>0</v>
      </c>
      <c r="BD20" s="29">
        <f>G20/(100-BE20)*100</f>
        <v>0</v>
      </c>
      <c r="BE20" s="29">
        <v>0</v>
      </c>
      <c r="BF20" s="29">
        <f>L20</f>
        <v>0.7814015999999999</v>
      </c>
      <c r="BH20" s="56">
        <f>F20*AO20</f>
        <v>0</v>
      </c>
      <c r="BI20" s="56">
        <f>F20*AP20</f>
        <v>0</v>
      </c>
      <c r="BJ20" s="56">
        <f>F20*G20</f>
        <v>0</v>
      </c>
    </row>
    <row r="21" spans="1:47" ht="12.75">
      <c r="A21" s="35"/>
      <c r="B21" s="42" t="s">
        <v>60</v>
      </c>
      <c r="C21" s="42" t="s">
        <v>1111</v>
      </c>
      <c r="D21" s="42" t="s">
        <v>1418</v>
      </c>
      <c r="E21" s="35" t="s">
        <v>57</v>
      </c>
      <c r="F21" s="35" t="s">
        <v>57</v>
      </c>
      <c r="G21" s="35" t="s">
        <v>57</v>
      </c>
      <c r="H21" s="59">
        <f>SUM(H22:H23)</f>
        <v>0</v>
      </c>
      <c r="I21" s="59">
        <f>SUM(I22:I23)</f>
        <v>0</v>
      </c>
      <c r="J21" s="59">
        <f>SUM(J22:J23)</f>
        <v>0</v>
      </c>
      <c r="K21" s="48"/>
      <c r="L21" s="59">
        <f>SUM(L22:L23)</f>
        <v>0.5052669999999999</v>
      </c>
      <c r="M21" s="48"/>
      <c r="AI21" s="48" t="s">
        <v>60</v>
      </c>
      <c r="AS21" s="59">
        <f>SUM(AJ22:AJ23)</f>
        <v>0</v>
      </c>
      <c r="AT21" s="59">
        <f>SUM(AK22:AK23)</f>
        <v>0</v>
      </c>
      <c r="AU21" s="59">
        <f>SUM(AL22:AL23)</f>
        <v>0</v>
      </c>
    </row>
    <row r="22" spans="1:62" ht="12.75">
      <c r="A22" s="37" t="s">
        <v>84</v>
      </c>
      <c r="B22" s="37" t="s">
        <v>60</v>
      </c>
      <c r="C22" s="37" t="s">
        <v>1115</v>
      </c>
      <c r="D22" s="37" t="s">
        <v>1422</v>
      </c>
      <c r="E22" s="37" t="s">
        <v>609</v>
      </c>
      <c r="F22" s="56">
        <f>'Stavební rozpočet'!F513</f>
        <v>97.04</v>
      </c>
      <c r="G22" s="56">
        <f>'Stavební rozpočet'!G513</f>
        <v>0</v>
      </c>
      <c r="H22" s="56">
        <f>F22*AO22</f>
        <v>0</v>
      </c>
      <c r="I22" s="56">
        <f>F22*AP22</f>
        <v>0</v>
      </c>
      <c r="J22" s="56">
        <f>F22*G22</f>
        <v>0</v>
      </c>
      <c r="K22" s="56">
        <f>'Stavební rozpočet'!K513</f>
        <v>0</v>
      </c>
      <c r="L22" s="56">
        <f>F22*K22</f>
        <v>0</v>
      </c>
      <c r="M22" s="52" t="s">
        <v>622</v>
      </c>
      <c r="Z22" s="29">
        <f>IF(AQ22="5",BJ22,0)</f>
        <v>0</v>
      </c>
      <c r="AB22" s="29">
        <f>IF(AQ22="1",BH22,0)</f>
        <v>0</v>
      </c>
      <c r="AC22" s="29">
        <f>IF(AQ22="1",BI22,0)</f>
        <v>0</v>
      </c>
      <c r="AD22" s="29">
        <f>IF(AQ22="7",BH22,0)</f>
        <v>0</v>
      </c>
      <c r="AE22" s="29">
        <f>IF(AQ22="7",BI22,0)</f>
        <v>0</v>
      </c>
      <c r="AF22" s="29">
        <f>IF(AQ22="2",BH22,0)</f>
        <v>0</v>
      </c>
      <c r="AG22" s="29">
        <f>IF(AQ22="2",BI22,0)</f>
        <v>0</v>
      </c>
      <c r="AH22" s="29">
        <f>IF(AQ22="0",BJ22,0)</f>
        <v>0</v>
      </c>
      <c r="AI22" s="48" t="s">
        <v>60</v>
      </c>
      <c r="AJ22" s="56">
        <f>IF(AN22=0,J22,0)</f>
        <v>0</v>
      </c>
      <c r="AK22" s="56">
        <f>IF(AN22=15,J22,0)</f>
        <v>0</v>
      </c>
      <c r="AL22" s="56">
        <f>IF(AN22=21,J22,0)</f>
        <v>0</v>
      </c>
      <c r="AN22" s="29">
        <v>15</v>
      </c>
      <c r="AO22" s="29">
        <f>G22*1</f>
        <v>0</v>
      </c>
      <c r="AP22" s="29">
        <f>G22*(1-1)</f>
        <v>0</v>
      </c>
      <c r="AQ22" s="52" t="s">
        <v>85</v>
      </c>
      <c r="AV22" s="29">
        <f>AW22+AX22</f>
        <v>0</v>
      </c>
      <c r="AW22" s="29">
        <f>F22*AO22</f>
        <v>0</v>
      </c>
      <c r="AX22" s="29">
        <f>F22*AP22</f>
        <v>0</v>
      </c>
      <c r="AY22" s="54" t="s">
        <v>1531</v>
      </c>
      <c r="AZ22" s="54" t="s">
        <v>1540</v>
      </c>
      <c r="BA22" s="48" t="s">
        <v>1542</v>
      </c>
      <c r="BC22" s="29">
        <f>AW22+AX22</f>
        <v>0</v>
      </c>
      <c r="BD22" s="29">
        <f>G22/(100-BE22)*100</f>
        <v>0</v>
      </c>
      <c r="BE22" s="29">
        <v>0</v>
      </c>
      <c r="BF22" s="29">
        <f>L22</f>
        <v>0</v>
      </c>
      <c r="BH22" s="56">
        <f>F22*AO22</f>
        <v>0</v>
      </c>
      <c r="BI22" s="56">
        <f>F22*AP22</f>
        <v>0</v>
      </c>
      <c r="BJ22" s="56">
        <f>F22*G22</f>
        <v>0</v>
      </c>
    </row>
    <row r="23" spans="1:62" ht="12.75">
      <c r="A23" s="37" t="s">
        <v>85</v>
      </c>
      <c r="B23" s="37" t="s">
        <v>60</v>
      </c>
      <c r="C23" s="37" t="s">
        <v>1117</v>
      </c>
      <c r="D23" s="37" t="s">
        <v>1424</v>
      </c>
      <c r="E23" s="37" t="s">
        <v>608</v>
      </c>
      <c r="F23" s="56">
        <f>'Stavební rozpočet'!F515</f>
        <v>174.23</v>
      </c>
      <c r="G23" s="56">
        <f>'Stavební rozpočet'!G515</f>
        <v>0</v>
      </c>
      <c r="H23" s="56">
        <f>F23*AO23</f>
        <v>0</v>
      </c>
      <c r="I23" s="56">
        <f>F23*AP23</f>
        <v>0</v>
      </c>
      <c r="J23" s="56">
        <f>F23*G23</f>
        <v>0</v>
      </c>
      <c r="K23" s="56">
        <f>'Stavební rozpočet'!K515</f>
        <v>0.0029</v>
      </c>
      <c r="L23" s="56">
        <f>F23*K23</f>
        <v>0.5052669999999999</v>
      </c>
      <c r="M23" s="52" t="s">
        <v>622</v>
      </c>
      <c r="Z23" s="29">
        <f>IF(AQ23="5",BJ23,0)</f>
        <v>0</v>
      </c>
      <c r="AB23" s="29">
        <f>IF(AQ23="1",BH23,0)</f>
        <v>0</v>
      </c>
      <c r="AC23" s="29">
        <f>IF(AQ23="1",BI23,0)</f>
        <v>0</v>
      </c>
      <c r="AD23" s="29">
        <f>IF(AQ23="7",BH23,0)</f>
        <v>0</v>
      </c>
      <c r="AE23" s="29">
        <f>IF(AQ23="7",BI23,0)</f>
        <v>0</v>
      </c>
      <c r="AF23" s="29">
        <f>IF(AQ23="2",BH23,0)</f>
        <v>0</v>
      </c>
      <c r="AG23" s="29">
        <f>IF(AQ23="2",BI23,0)</f>
        <v>0</v>
      </c>
      <c r="AH23" s="29">
        <f>IF(AQ23="0",BJ23,0)</f>
        <v>0</v>
      </c>
      <c r="AI23" s="48" t="s">
        <v>60</v>
      </c>
      <c r="AJ23" s="56">
        <f>IF(AN23=0,J23,0)</f>
        <v>0</v>
      </c>
      <c r="AK23" s="56">
        <f>IF(AN23=15,J23,0)</f>
        <v>0</v>
      </c>
      <c r="AL23" s="56">
        <f>IF(AN23=21,J23,0)</f>
        <v>0</v>
      </c>
      <c r="AN23" s="29">
        <v>15</v>
      </c>
      <c r="AO23" s="29">
        <f>G23*1</f>
        <v>0</v>
      </c>
      <c r="AP23" s="29">
        <f>G23*(1-1)</f>
        <v>0</v>
      </c>
      <c r="AQ23" s="52" t="s">
        <v>85</v>
      </c>
      <c r="AV23" s="29">
        <f>AW23+AX23</f>
        <v>0</v>
      </c>
      <c r="AW23" s="29">
        <f>F23*AO23</f>
        <v>0</v>
      </c>
      <c r="AX23" s="29">
        <f>F23*AP23</f>
        <v>0</v>
      </c>
      <c r="AY23" s="54" t="s">
        <v>1531</v>
      </c>
      <c r="AZ23" s="54" t="s">
        <v>1540</v>
      </c>
      <c r="BA23" s="48" t="s">
        <v>1542</v>
      </c>
      <c r="BC23" s="29">
        <f>AW23+AX23</f>
        <v>0</v>
      </c>
      <c r="BD23" s="29">
        <f>G23/(100-BE23)*100</f>
        <v>0</v>
      </c>
      <c r="BE23" s="29">
        <v>0</v>
      </c>
      <c r="BF23" s="29">
        <f>L23</f>
        <v>0.5052669999999999</v>
      </c>
      <c r="BH23" s="56">
        <f>F23*AO23</f>
        <v>0</v>
      </c>
      <c r="BI23" s="56">
        <f>F23*AP23</f>
        <v>0</v>
      </c>
      <c r="BJ23" s="56">
        <f>F23*G23</f>
        <v>0</v>
      </c>
    </row>
    <row r="24" spans="1:47" ht="12.75">
      <c r="A24" s="35"/>
      <c r="B24" s="42" t="s">
        <v>60</v>
      </c>
      <c r="C24" s="42" t="s">
        <v>1120</v>
      </c>
      <c r="D24" s="42" t="s">
        <v>1427</v>
      </c>
      <c r="E24" s="35" t="s">
        <v>57</v>
      </c>
      <c r="F24" s="35" t="s">
        <v>57</v>
      </c>
      <c r="G24" s="35" t="s">
        <v>57</v>
      </c>
      <c r="H24" s="59">
        <f>SUM(H25:H31)</f>
        <v>0</v>
      </c>
      <c r="I24" s="59">
        <f>SUM(I25:I31)</f>
        <v>0</v>
      </c>
      <c r="J24" s="59">
        <f>SUM(J25:J31)</f>
        <v>0</v>
      </c>
      <c r="K24" s="48"/>
      <c r="L24" s="59">
        <f>SUM(L25:L31)</f>
        <v>1.3028568</v>
      </c>
      <c r="M24" s="48"/>
      <c r="AI24" s="48" t="s">
        <v>60</v>
      </c>
      <c r="AS24" s="59">
        <f>SUM(AJ25:AJ31)</f>
        <v>0</v>
      </c>
      <c r="AT24" s="59">
        <f>SUM(AK25:AK31)</f>
        <v>0</v>
      </c>
      <c r="AU24" s="59">
        <f>SUM(AL25:AL31)</f>
        <v>0</v>
      </c>
    </row>
    <row r="25" spans="1:62" ht="12.75">
      <c r="A25" s="37" t="s">
        <v>86</v>
      </c>
      <c r="B25" s="37" t="s">
        <v>60</v>
      </c>
      <c r="C25" s="37" t="s">
        <v>1126</v>
      </c>
      <c r="D25" s="37" t="s">
        <v>1433</v>
      </c>
      <c r="E25" s="37" t="s">
        <v>609</v>
      </c>
      <c r="F25" s="56">
        <f>'Stavební rozpočet'!F524</f>
        <v>48.72</v>
      </c>
      <c r="G25" s="56">
        <f>'Stavební rozpočet'!G524</f>
        <v>0</v>
      </c>
      <c r="H25" s="56">
        <f aca="true" t="shared" si="0" ref="H25:H31">F25*AO25</f>
        <v>0</v>
      </c>
      <c r="I25" s="56">
        <f aca="true" t="shared" si="1" ref="I25:I31">F25*AP25</f>
        <v>0</v>
      </c>
      <c r="J25" s="56">
        <f aca="true" t="shared" si="2" ref="J25:J31">F25*G25</f>
        <v>0</v>
      </c>
      <c r="K25" s="56">
        <f>'Stavební rozpočet'!K524</f>
        <v>0.00129</v>
      </c>
      <c r="L25" s="56">
        <f aca="true" t="shared" si="3" ref="L25:L31">F25*K25</f>
        <v>0.0628488</v>
      </c>
      <c r="M25" s="52" t="s">
        <v>622</v>
      </c>
      <c r="Z25" s="29">
        <f aca="true" t="shared" si="4" ref="Z25:Z31">IF(AQ25="5",BJ25,0)</f>
        <v>0</v>
      </c>
      <c r="AB25" s="29">
        <f aca="true" t="shared" si="5" ref="AB25:AB31">IF(AQ25="1",BH25,0)</f>
        <v>0</v>
      </c>
      <c r="AC25" s="29">
        <f aca="true" t="shared" si="6" ref="AC25:AC31">IF(AQ25="1",BI25,0)</f>
        <v>0</v>
      </c>
      <c r="AD25" s="29">
        <f aca="true" t="shared" si="7" ref="AD25:AD31">IF(AQ25="7",BH25,0)</f>
        <v>0</v>
      </c>
      <c r="AE25" s="29">
        <f aca="true" t="shared" si="8" ref="AE25:AE31">IF(AQ25="7",BI25,0)</f>
        <v>0</v>
      </c>
      <c r="AF25" s="29">
        <f aca="true" t="shared" si="9" ref="AF25:AF31">IF(AQ25="2",BH25,0)</f>
        <v>0</v>
      </c>
      <c r="AG25" s="29">
        <f aca="true" t="shared" si="10" ref="AG25:AG31">IF(AQ25="2",BI25,0)</f>
        <v>0</v>
      </c>
      <c r="AH25" s="29">
        <f aca="true" t="shared" si="11" ref="AH25:AH31">IF(AQ25="0",BJ25,0)</f>
        <v>0</v>
      </c>
      <c r="AI25" s="48" t="s">
        <v>60</v>
      </c>
      <c r="AJ25" s="56">
        <f aca="true" t="shared" si="12" ref="AJ25:AJ31">IF(AN25=0,J25,0)</f>
        <v>0</v>
      </c>
      <c r="AK25" s="56">
        <f aca="true" t="shared" si="13" ref="AK25:AK31">IF(AN25=15,J25,0)</f>
        <v>0</v>
      </c>
      <c r="AL25" s="56">
        <f aca="true" t="shared" si="14" ref="AL25:AL31">IF(AN25=21,J25,0)</f>
        <v>0</v>
      </c>
      <c r="AN25" s="29">
        <v>15</v>
      </c>
      <c r="AO25" s="29">
        <f aca="true" t="shared" si="15" ref="AO25:AO31">G25*1</f>
        <v>0</v>
      </c>
      <c r="AP25" s="29">
        <f aca="true" t="shared" si="16" ref="AP25:AP31">G25*(1-1)</f>
        <v>0</v>
      </c>
      <c r="AQ25" s="52" t="s">
        <v>85</v>
      </c>
      <c r="AV25" s="29">
        <f aca="true" t="shared" si="17" ref="AV25:AV31">AW25+AX25</f>
        <v>0</v>
      </c>
      <c r="AW25" s="29">
        <f aca="true" t="shared" si="18" ref="AW25:AW31">F25*AO25</f>
        <v>0</v>
      </c>
      <c r="AX25" s="29">
        <f aca="true" t="shared" si="19" ref="AX25:AX31">F25*AP25</f>
        <v>0</v>
      </c>
      <c r="AY25" s="54" t="s">
        <v>1532</v>
      </c>
      <c r="AZ25" s="54" t="s">
        <v>1541</v>
      </c>
      <c r="BA25" s="48" t="s">
        <v>1542</v>
      </c>
      <c r="BC25" s="29">
        <f aca="true" t="shared" si="20" ref="BC25:BC31">AW25+AX25</f>
        <v>0</v>
      </c>
      <c r="BD25" s="29">
        <f aca="true" t="shared" si="21" ref="BD25:BD31">G25/(100-BE25)*100</f>
        <v>0</v>
      </c>
      <c r="BE25" s="29">
        <v>0</v>
      </c>
      <c r="BF25" s="29">
        <f aca="true" t="shared" si="22" ref="BF25:BF31">L25</f>
        <v>0.0628488</v>
      </c>
      <c r="BH25" s="56">
        <f aca="true" t="shared" si="23" ref="BH25:BH31">F25*AO25</f>
        <v>0</v>
      </c>
      <c r="BI25" s="56">
        <f aca="true" t="shared" si="24" ref="BI25:BI31">F25*AP25</f>
        <v>0</v>
      </c>
      <c r="BJ25" s="56">
        <f aca="true" t="shared" si="25" ref="BJ25:BJ31">F25*G25</f>
        <v>0</v>
      </c>
    </row>
    <row r="26" spans="1:62" ht="12.75">
      <c r="A26" s="37" t="s">
        <v>87</v>
      </c>
      <c r="B26" s="37" t="s">
        <v>60</v>
      </c>
      <c r="C26" s="37" t="s">
        <v>1128</v>
      </c>
      <c r="D26" s="37" t="s">
        <v>1435</v>
      </c>
      <c r="E26" s="37" t="s">
        <v>608</v>
      </c>
      <c r="F26" s="56">
        <f>'Stavební rozpočet'!F526</f>
        <v>0.43</v>
      </c>
      <c r="G26" s="56">
        <f>'Stavební rozpočet'!G526</f>
        <v>0</v>
      </c>
      <c r="H26" s="56">
        <f t="shared" si="0"/>
        <v>0</v>
      </c>
      <c r="I26" s="56">
        <f t="shared" si="1"/>
        <v>0</v>
      </c>
      <c r="J26" s="56">
        <f t="shared" si="2"/>
        <v>0</v>
      </c>
      <c r="K26" s="56">
        <f>'Stavební rozpočet'!K526</f>
        <v>0.0122</v>
      </c>
      <c r="L26" s="56">
        <f t="shared" si="3"/>
        <v>0.005246000000000001</v>
      </c>
      <c r="M26" s="52" t="s">
        <v>622</v>
      </c>
      <c r="Z26" s="29">
        <f t="shared" si="4"/>
        <v>0</v>
      </c>
      <c r="AB26" s="29">
        <f t="shared" si="5"/>
        <v>0</v>
      </c>
      <c r="AC26" s="29">
        <f t="shared" si="6"/>
        <v>0</v>
      </c>
      <c r="AD26" s="29">
        <f t="shared" si="7"/>
        <v>0</v>
      </c>
      <c r="AE26" s="29">
        <f t="shared" si="8"/>
        <v>0</v>
      </c>
      <c r="AF26" s="29">
        <f t="shared" si="9"/>
        <v>0</v>
      </c>
      <c r="AG26" s="29">
        <f t="shared" si="10"/>
        <v>0</v>
      </c>
      <c r="AH26" s="29">
        <f t="shared" si="11"/>
        <v>0</v>
      </c>
      <c r="AI26" s="48" t="s">
        <v>60</v>
      </c>
      <c r="AJ26" s="56">
        <f t="shared" si="12"/>
        <v>0</v>
      </c>
      <c r="AK26" s="56">
        <f t="shared" si="13"/>
        <v>0</v>
      </c>
      <c r="AL26" s="56">
        <f t="shared" si="14"/>
        <v>0</v>
      </c>
      <c r="AN26" s="29">
        <v>15</v>
      </c>
      <c r="AO26" s="29">
        <f t="shared" si="15"/>
        <v>0</v>
      </c>
      <c r="AP26" s="29">
        <f t="shared" si="16"/>
        <v>0</v>
      </c>
      <c r="AQ26" s="52" t="s">
        <v>85</v>
      </c>
      <c r="AV26" s="29">
        <f t="shared" si="17"/>
        <v>0</v>
      </c>
      <c r="AW26" s="29">
        <f t="shared" si="18"/>
        <v>0</v>
      </c>
      <c r="AX26" s="29">
        <f t="shared" si="19"/>
        <v>0</v>
      </c>
      <c r="AY26" s="54" t="s">
        <v>1532</v>
      </c>
      <c r="AZ26" s="54" t="s">
        <v>1541</v>
      </c>
      <c r="BA26" s="48" t="s">
        <v>1542</v>
      </c>
      <c r="BC26" s="29">
        <f t="shared" si="20"/>
        <v>0</v>
      </c>
      <c r="BD26" s="29">
        <f t="shared" si="21"/>
        <v>0</v>
      </c>
      <c r="BE26" s="29">
        <v>0</v>
      </c>
      <c r="BF26" s="29">
        <f t="shared" si="22"/>
        <v>0.005246000000000001</v>
      </c>
      <c r="BH26" s="56">
        <f t="shared" si="23"/>
        <v>0</v>
      </c>
      <c r="BI26" s="56">
        <f t="shared" si="24"/>
        <v>0</v>
      </c>
      <c r="BJ26" s="56">
        <f t="shared" si="25"/>
        <v>0</v>
      </c>
    </row>
    <row r="27" spans="1:62" ht="12.75">
      <c r="A27" s="37" t="s">
        <v>88</v>
      </c>
      <c r="B27" s="37" t="s">
        <v>60</v>
      </c>
      <c r="C27" s="37" t="s">
        <v>1128</v>
      </c>
      <c r="D27" s="37" t="s">
        <v>1435</v>
      </c>
      <c r="E27" s="37" t="s">
        <v>608</v>
      </c>
      <c r="F27" s="56">
        <f>'Stavební rozpočet'!F528</f>
        <v>1.62</v>
      </c>
      <c r="G27" s="56">
        <f>'Stavební rozpočet'!G528</f>
        <v>0</v>
      </c>
      <c r="H27" s="56">
        <f t="shared" si="0"/>
        <v>0</v>
      </c>
      <c r="I27" s="56">
        <f t="shared" si="1"/>
        <v>0</v>
      </c>
      <c r="J27" s="56">
        <f t="shared" si="2"/>
        <v>0</v>
      </c>
      <c r="K27" s="56">
        <f>'Stavební rozpočet'!K528</f>
        <v>0.0122</v>
      </c>
      <c r="L27" s="56">
        <f t="shared" si="3"/>
        <v>0.019764000000000004</v>
      </c>
      <c r="M27" s="52" t="s">
        <v>622</v>
      </c>
      <c r="Z27" s="29">
        <f t="shared" si="4"/>
        <v>0</v>
      </c>
      <c r="AB27" s="29">
        <f t="shared" si="5"/>
        <v>0</v>
      </c>
      <c r="AC27" s="29">
        <f t="shared" si="6"/>
        <v>0</v>
      </c>
      <c r="AD27" s="29">
        <f t="shared" si="7"/>
        <v>0</v>
      </c>
      <c r="AE27" s="29">
        <f t="shared" si="8"/>
        <v>0</v>
      </c>
      <c r="AF27" s="29">
        <f t="shared" si="9"/>
        <v>0</v>
      </c>
      <c r="AG27" s="29">
        <f t="shared" si="10"/>
        <v>0</v>
      </c>
      <c r="AH27" s="29">
        <f t="shared" si="11"/>
        <v>0</v>
      </c>
      <c r="AI27" s="48" t="s">
        <v>60</v>
      </c>
      <c r="AJ27" s="56">
        <f t="shared" si="12"/>
        <v>0</v>
      </c>
      <c r="AK27" s="56">
        <f t="shared" si="13"/>
        <v>0</v>
      </c>
      <c r="AL27" s="56">
        <f t="shared" si="14"/>
        <v>0</v>
      </c>
      <c r="AN27" s="29">
        <v>15</v>
      </c>
      <c r="AO27" s="29">
        <f t="shared" si="15"/>
        <v>0</v>
      </c>
      <c r="AP27" s="29">
        <f t="shared" si="16"/>
        <v>0</v>
      </c>
      <c r="AQ27" s="52" t="s">
        <v>85</v>
      </c>
      <c r="AV27" s="29">
        <f t="shared" si="17"/>
        <v>0</v>
      </c>
      <c r="AW27" s="29">
        <f t="shared" si="18"/>
        <v>0</v>
      </c>
      <c r="AX27" s="29">
        <f t="shared" si="19"/>
        <v>0</v>
      </c>
      <c r="AY27" s="54" t="s">
        <v>1532</v>
      </c>
      <c r="AZ27" s="54" t="s">
        <v>1541</v>
      </c>
      <c r="BA27" s="48" t="s">
        <v>1542</v>
      </c>
      <c r="BC27" s="29">
        <f t="shared" si="20"/>
        <v>0</v>
      </c>
      <c r="BD27" s="29">
        <f t="shared" si="21"/>
        <v>0</v>
      </c>
      <c r="BE27" s="29">
        <v>0</v>
      </c>
      <c r="BF27" s="29">
        <f t="shared" si="22"/>
        <v>0.019764000000000004</v>
      </c>
      <c r="BH27" s="56">
        <f t="shared" si="23"/>
        <v>0</v>
      </c>
      <c r="BI27" s="56">
        <f t="shared" si="24"/>
        <v>0</v>
      </c>
      <c r="BJ27" s="56">
        <f t="shared" si="25"/>
        <v>0</v>
      </c>
    </row>
    <row r="28" spans="1:62" ht="12.75">
      <c r="A28" s="37" t="s">
        <v>89</v>
      </c>
      <c r="B28" s="37" t="s">
        <v>60</v>
      </c>
      <c r="C28" s="37" t="s">
        <v>1128</v>
      </c>
      <c r="D28" s="37" t="s">
        <v>1435</v>
      </c>
      <c r="E28" s="37" t="s">
        <v>608</v>
      </c>
      <c r="F28" s="56">
        <f>'Stavební rozpočet'!F530</f>
        <v>99.59</v>
      </c>
      <c r="G28" s="56">
        <f>'Stavební rozpočet'!G530</f>
        <v>0</v>
      </c>
      <c r="H28" s="56">
        <f t="shared" si="0"/>
        <v>0</v>
      </c>
      <c r="I28" s="56">
        <f t="shared" si="1"/>
        <v>0</v>
      </c>
      <c r="J28" s="56">
        <f t="shared" si="2"/>
        <v>0</v>
      </c>
      <c r="K28" s="56">
        <f>'Stavební rozpočet'!K530</f>
        <v>0.0122</v>
      </c>
      <c r="L28" s="56">
        <f t="shared" si="3"/>
        <v>1.214998</v>
      </c>
      <c r="M28" s="52" t="s">
        <v>622</v>
      </c>
      <c r="Z28" s="29">
        <f t="shared" si="4"/>
        <v>0</v>
      </c>
      <c r="AB28" s="29">
        <f t="shared" si="5"/>
        <v>0</v>
      </c>
      <c r="AC28" s="29">
        <f t="shared" si="6"/>
        <v>0</v>
      </c>
      <c r="AD28" s="29">
        <f t="shared" si="7"/>
        <v>0</v>
      </c>
      <c r="AE28" s="29">
        <f t="shared" si="8"/>
        <v>0</v>
      </c>
      <c r="AF28" s="29">
        <f t="shared" si="9"/>
        <v>0</v>
      </c>
      <c r="AG28" s="29">
        <f t="shared" si="10"/>
        <v>0</v>
      </c>
      <c r="AH28" s="29">
        <f t="shared" si="11"/>
        <v>0</v>
      </c>
      <c r="AI28" s="48" t="s">
        <v>60</v>
      </c>
      <c r="AJ28" s="56">
        <f t="shared" si="12"/>
        <v>0</v>
      </c>
      <c r="AK28" s="56">
        <f t="shared" si="13"/>
        <v>0</v>
      </c>
      <c r="AL28" s="56">
        <f t="shared" si="14"/>
        <v>0</v>
      </c>
      <c r="AN28" s="29">
        <v>15</v>
      </c>
      <c r="AO28" s="29">
        <f t="shared" si="15"/>
        <v>0</v>
      </c>
      <c r="AP28" s="29">
        <f t="shared" si="16"/>
        <v>0</v>
      </c>
      <c r="AQ28" s="52" t="s">
        <v>85</v>
      </c>
      <c r="AV28" s="29">
        <f t="shared" si="17"/>
        <v>0</v>
      </c>
      <c r="AW28" s="29">
        <f t="shared" si="18"/>
        <v>0</v>
      </c>
      <c r="AX28" s="29">
        <f t="shared" si="19"/>
        <v>0</v>
      </c>
      <c r="AY28" s="54" t="s">
        <v>1532</v>
      </c>
      <c r="AZ28" s="54" t="s">
        <v>1541</v>
      </c>
      <c r="BA28" s="48" t="s">
        <v>1542</v>
      </c>
      <c r="BC28" s="29">
        <f t="shared" si="20"/>
        <v>0</v>
      </c>
      <c r="BD28" s="29">
        <f t="shared" si="21"/>
        <v>0</v>
      </c>
      <c r="BE28" s="29">
        <v>0</v>
      </c>
      <c r="BF28" s="29">
        <f t="shared" si="22"/>
        <v>1.214998</v>
      </c>
      <c r="BH28" s="56">
        <f t="shared" si="23"/>
        <v>0</v>
      </c>
      <c r="BI28" s="56">
        <f t="shared" si="24"/>
        <v>0</v>
      </c>
      <c r="BJ28" s="56">
        <f t="shared" si="25"/>
        <v>0</v>
      </c>
    </row>
    <row r="29" spans="1:62" ht="12.75">
      <c r="A29" s="37" t="s">
        <v>90</v>
      </c>
      <c r="B29" s="37" t="s">
        <v>60</v>
      </c>
      <c r="C29" s="37" t="s">
        <v>1134</v>
      </c>
      <c r="D29" s="37" t="s">
        <v>1441</v>
      </c>
      <c r="E29" s="37" t="s">
        <v>609</v>
      </c>
      <c r="F29" s="56">
        <f>'Stavební rozpočet'!F534</f>
        <v>99.44</v>
      </c>
      <c r="G29" s="56">
        <f>'Stavební rozpočet'!G534</f>
        <v>0</v>
      </c>
      <c r="H29" s="56">
        <f t="shared" si="0"/>
        <v>0</v>
      </c>
      <c r="I29" s="56">
        <f t="shared" si="1"/>
        <v>0</v>
      </c>
      <c r="J29" s="56">
        <f t="shared" si="2"/>
        <v>0</v>
      </c>
      <c r="K29" s="56">
        <f>'Stavební rozpočet'!K534</f>
        <v>0</v>
      </c>
      <c r="L29" s="56">
        <f t="shared" si="3"/>
        <v>0</v>
      </c>
      <c r="M29" s="52" t="s">
        <v>622</v>
      </c>
      <c r="Z29" s="29">
        <f t="shared" si="4"/>
        <v>0</v>
      </c>
      <c r="AB29" s="29">
        <f t="shared" si="5"/>
        <v>0</v>
      </c>
      <c r="AC29" s="29">
        <f t="shared" si="6"/>
        <v>0</v>
      </c>
      <c r="AD29" s="29">
        <f t="shared" si="7"/>
        <v>0</v>
      </c>
      <c r="AE29" s="29">
        <f t="shared" si="8"/>
        <v>0</v>
      </c>
      <c r="AF29" s="29">
        <f t="shared" si="9"/>
        <v>0</v>
      </c>
      <c r="AG29" s="29">
        <f t="shared" si="10"/>
        <v>0</v>
      </c>
      <c r="AH29" s="29">
        <f t="shared" si="11"/>
        <v>0</v>
      </c>
      <c r="AI29" s="48" t="s">
        <v>60</v>
      </c>
      <c r="AJ29" s="56">
        <f t="shared" si="12"/>
        <v>0</v>
      </c>
      <c r="AK29" s="56">
        <f t="shared" si="13"/>
        <v>0</v>
      </c>
      <c r="AL29" s="56">
        <f t="shared" si="14"/>
        <v>0</v>
      </c>
      <c r="AN29" s="29">
        <v>15</v>
      </c>
      <c r="AO29" s="29">
        <f t="shared" si="15"/>
        <v>0</v>
      </c>
      <c r="AP29" s="29">
        <f t="shared" si="16"/>
        <v>0</v>
      </c>
      <c r="AQ29" s="52" t="s">
        <v>85</v>
      </c>
      <c r="AV29" s="29">
        <f t="shared" si="17"/>
        <v>0</v>
      </c>
      <c r="AW29" s="29">
        <f t="shared" si="18"/>
        <v>0</v>
      </c>
      <c r="AX29" s="29">
        <f t="shared" si="19"/>
        <v>0</v>
      </c>
      <c r="AY29" s="54" t="s">
        <v>1532</v>
      </c>
      <c r="AZ29" s="54" t="s">
        <v>1541</v>
      </c>
      <c r="BA29" s="48" t="s">
        <v>1542</v>
      </c>
      <c r="BC29" s="29">
        <f t="shared" si="20"/>
        <v>0</v>
      </c>
      <c r="BD29" s="29">
        <f t="shared" si="21"/>
        <v>0</v>
      </c>
      <c r="BE29" s="29">
        <v>0</v>
      </c>
      <c r="BF29" s="29">
        <f t="shared" si="22"/>
        <v>0</v>
      </c>
      <c r="BH29" s="56">
        <f t="shared" si="23"/>
        <v>0</v>
      </c>
      <c r="BI29" s="56">
        <f t="shared" si="24"/>
        <v>0</v>
      </c>
      <c r="BJ29" s="56">
        <f t="shared" si="25"/>
        <v>0</v>
      </c>
    </row>
    <row r="30" spans="1:62" ht="12.75">
      <c r="A30" s="37" t="s">
        <v>91</v>
      </c>
      <c r="B30" s="37" t="s">
        <v>60</v>
      </c>
      <c r="C30" s="37" t="s">
        <v>1135</v>
      </c>
      <c r="D30" s="37" t="s">
        <v>1442</v>
      </c>
      <c r="E30" s="37" t="s">
        <v>609</v>
      </c>
      <c r="F30" s="56">
        <f>'Stavební rozpočet'!F535</f>
        <v>19.03</v>
      </c>
      <c r="G30" s="56">
        <f>'Stavební rozpočet'!G535</f>
        <v>0</v>
      </c>
      <c r="H30" s="56">
        <f t="shared" si="0"/>
        <v>0</v>
      </c>
      <c r="I30" s="56">
        <f t="shared" si="1"/>
        <v>0</v>
      </c>
      <c r="J30" s="56">
        <f t="shared" si="2"/>
        <v>0</v>
      </c>
      <c r="K30" s="56">
        <f>'Stavební rozpočet'!K535</f>
        <v>0</v>
      </c>
      <c r="L30" s="56">
        <f t="shared" si="3"/>
        <v>0</v>
      </c>
      <c r="M30" s="52" t="s">
        <v>622</v>
      </c>
      <c r="Z30" s="29">
        <f t="shared" si="4"/>
        <v>0</v>
      </c>
      <c r="AB30" s="29">
        <f t="shared" si="5"/>
        <v>0</v>
      </c>
      <c r="AC30" s="29">
        <f t="shared" si="6"/>
        <v>0</v>
      </c>
      <c r="AD30" s="29">
        <f t="shared" si="7"/>
        <v>0</v>
      </c>
      <c r="AE30" s="29">
        <f t="shared" si="8"/>
        <v>0</v>
      </c>
      <c r="AF30" s="29">
        <f t="shared" si="9"/>
        <v>0</v>
      </c>
      <c r="AG30" s="29">
        <f t="shared" si="10"/>
        <v>0</v>
      </c>
      <c r="AH30" s="29">
        <f t="shared" si="11"/>
        <v>0</v>
      </c>
      <c r="AI30" s="48" t="s">
        <v>60</v>
      </c>
      <c r="AJ30" s="56">
        <f t="shared" si="12"/>
        <v>0</v>
      </c>
      <c r="AK30" s="56">
        <f t="shared" si="13"/>
        <v>0</v>
      </c>
      <c r="AL30" s="56">
        <f t="shared" si="14"/>
        <v>0</v>
      </c>
      <c r="AN30" s="29">
        <v>15</v>
      </c>
      <c r="AO30" s="29">
        <f t="shared" si="15"/>
        <v>0</v>
      </c>
      <c r="AP30" s="29">
        <f t="shared" si="16"/>
        <v>0</v>
      </c>
      <c r="AQ30" s="52" t="s">
        <v>85</v>
      </c>
      <c r="AV30" s="29">
        <f t="shared" si="17"/>
        <v>0</v>
      </c>
      <c r="AW30" s="29">
        <f t="shared" si="18"/>
        <v>0</v>
      </c>
      <c r="AX30" s="29">
        <f t="shared" si="19"/>
        <v>0</v>
      </c>
      <c r="AY30" s="54" t="s">
        <v>1532</v>
      </c>
      <c r="AZ30" s="54" t="s">
        <v>1541</v>
      </c>
      <c r="BA30" s="48" t="s">
        <v>1542</v>
      </c>
      <c r="BC30" s="29">
        <f t="shared" si="20"/>
        <v>0</v>
      </c>
      <c r="BD30" s="29">
        <f t="shared" si="21"/>
        <v>0</v>
      </c>
      <c r="BE30" s="29">
        <v>0</v>
      </c>
      <c r="BF30" s="29">
        <f t="shared" si="22"/>
        <v>0</v>
      </c>
      <c r="BH30" s="56">
        <f t="shared" si="23"/>
        <v>0</v>
      </c>
      <c r="BI30" s="56">
        <f t="shared" si="24"/>
        <v>0</v>
      </c>
      <c r="BJ30" s="56">
        <f t="shared" si="25"/>
        <v>0</v>
      </c>
    </row>
    <row r="31" spans="1:62" ht="12.75">
      <c r="A31" s="37" t="s">
        <v>92</v>
      </c>
      <c r="B31" s="37" t="s">
        <v>60</v>
      </c>
      <c r="C31" s="37" t="s">
        <v>1136</v>
      </c>
      <c r="D31" s="37" t="s">
        <v>1443</v>
      </c>
      <c r="E31" s="37" t="s">
        <v>609</v>
      </c>
      <c r="F31" s="56">
        <f>'Stavební rozpočet'!F536</f>
        <v>88.11</v>
      </c>
      <c r="G31" s="56">
        <f>'Stavební rozpočet'!G536</f>
        <v>0</v>
      </c>
      <c r="H31" s="56">
        <f t="shared" si="0"/>
        <v>0</v>
      </c>
      <c r="I31" s="56">
        <f t="shared" si="1"/>
        <v>0</v>
      </c>
      <c r="J31" s="56">
        <f t="shared" si="2"/>
        <v>0</v>
      </c>
      <c r="K31" s="56">
        <f>'Stavební rozpočet'!K536</f>
        <v>0</v>
      </c>
      <c r="L31" s="56">
        <f t="shared" si="3"/>
        <v>0</v>
      </c>
      <c r="M31" s="52" t="s">
        <v>622</v>
      </c>
      <c r="Z31" s="29">
        <f t="shared" si="4"/>
        <v>0</v>
      </c>
      <c r="AB31" s="29">
        <f t="shared" si="5"/>
        <v>0</v>
      </c>
      <c r="AC31" s="29">
        <f t="shared" si="6"/>
        <v>0</v>
      </c>
      <c r="AD31" s="29">
        <f t="shared" si="7"/>
        <v>0</v>
      </c>
      <c r="AE31" s="29">
        <f t="shared" si="8"/>
        <v>0</v>
      </c>
      <c r="AF31" s="29">
        <f t="shared" si="9"/>
        <v>0</v>
      </c>
      <c r="AG31" s="29">
        <f t="shared" si="10"/>
        <v>0</v>
      </c>
      <c r="AH31" s="29">
        <f t="shared" si="11"/>
        <v>0</v>
      </c>
      <c r="AI31" s="48" t="s">
        <v>60</v>
      </c>
      <c r="AJ31" s="56">
        <f t="shared" si="12"/>
        <v>0</v>
      </c>
      <c r="AK31" s="56">
        <f t="shared" si="13"/>
        <v>0</v>
      </c>
      <c r="AL31" s="56">
        <f t="shared" si="14"/>
        <v>0</v>
      </c>
      <c r="AN31" s="29">
        <v>15</v>
      </c>
      <c r="AO31" s="29">
        <f t="shared" si="15"/>
        <v>0</v>
      </c>
      <c r="AP31" s="29">
        <f t="shared" si="16"/>
        <v>0</v>
      </c>
      <c r="AQ31" s="52" t="s">
        <v>85</v>
      </c>
      <c r="AV31" s="29">
        <f t="shared" si="17"/>
        <v>0</v>
      </c>
      <c r="AW31" s="29">
        <f t="shared" si="18"/>
        <v>0</v>
      </c>
      <c r="AX31" s="29">
        <f t="shared" si="19"/>
        <v>0</v>
      </c>
      <c r="AY31" s="54" t="s">
        <v>1532</v>
      </c>
      <c r="AZ31" s="54" t="s">
        <v>1541</v>
      </c>
      <c r="BA31" s="48" t="s">
        <v>1542</v>
      </c>
      <c r="BC31" s="29">
        <f t="shared" si="20"/>
        <v>0</v>
      </c>
      <c r="BD31" s="29">
        <f t="shared" si="21"/>
        <v>0</v>
      </c>
      <c r="BE31" s="29">
        <v>0</v>
      </c>
      <c r="BF31" s="29">
        <f t="shared" si="22"/>
        <v>0</v>
      </c>
      <c r="BH31" s="56">
        <f t="shared" si="23"/>
        <v>0</v>
      </c>
      <c r="BI31" s="56">
        <f t="shared" si="24"/>
        <v>0</v>
      </c>
      <c r="BJ31" s="56">
        <f t="shared" si="25"/>
        <v>0</v>
      </c>
    </row>
    <row r="32" spans="1:47" ht="12.75">
      <c r="A32" s="35"/>
      <c r="B32" s="42" t="s">
        <v>60</v>
      </c>
      <c r="C32" s="42" t="s">
        <v>383</v>
      </c>
      <c r="D32" s="42" t="s">
        <v>569</v>
      </c>
      <c r="E32" s="35" t="s">
        <v>57</v>
      </c>
      <c r="F32" s="35" t="s">
        <v>57</v>
      </c>
      <c r="G32" s="35" t="s">
        <v>57</v>
      </c>
      <c r="H32" s="59">
        <f>SUM(H33:H33)</f>
        <v>0</v>
      </c>
      <c r="I32" s="59">
        <f>SUM(I33:I33)</f>
        <v>0</v>
      </c>
      <c r="J32" s="59">
        <f>SUM(J33:J33)</f>
        <v>0</v>
      </c>
      <c r="K32" s="48"/>
      <c r="L32" s="59">
        <f>SUM(L33:L33)</f>
        <v>0</v>
      </c>
      <c r="M32" s="48"/>
      <c r="AI32" s="48" t="s">
        <v>60</v>
      </c>
      <c r="AS32" s="59">
        <f>SUM(AJ33:AJ33)</f>
        <v>0</v>
      </c>
      <c r="AT32" s="59">
        <f>SUM(AK33:AK33)</f>
        <v>0</v>
      </c>
      <c r="AU32" s="59">
        <f>SUM(AL33:AL33)</f>
        <v>0</v>
      </c>
    </row>
    <row r="33" spans="1:62" ht="12.75">
      <c r="A33" s="37" t="s">
        <v>93</v>
      </c>
      <c r="B33" s="37" t="s">
        <v>60</v>
      </c>
      <c r="C33" s="37" t="s">
        <v>1224</v>
      </c>
      <c r="D33" s="37" t="s">
        <v>1525</v>
      </c>
      <c r="E33" s="37" t="s">
        <v>606</v>
      </c>
      <c r="F33" s="56">
        <f>'Stavební rozpočet'!F667</f>
        <v>66</v>
      </c>
      <c r="G33" s="56">
        <f>'Stavební rozpočet'!G667</f>
        <v>0</v>
      </c>
      <c r="H33" s="56">
        <f>F33*AO33</f>
        <v>0</v>
      </c>
      <c r="I33" s="56">
        <f>F33*AP33</f>
        <v>0</v>
      </c>
      <c r="J33" s="56">
        <f>F33*G33</f>
        <v>0</v>
      </c>
      <c r="K33" s="56">
        <f>'Stavební rozpočet'!K667</f>
        <v>0</v>
      </c>
      <c r="L33" s="56">
        <f>F33*K33</f>
        <v>0</v>
      </c>
      <c r="M33" s="52" t="s">
        <v>622</v>
      </c>
      <c r="Z33" s="29">
        <f>IF(AQ33="5",BJ33,0)</f>
        <v>0</v>
      </c>
      <c r="AB33" s="29">
        <f>IF(AQ33="1",BH33,0)</f>
        <v>0</v>
      </c>
      <c r="AC33" s="29">
        <f>IF(AQ33="1",BI33,0)</f>
        <v>0</v>
      </c>
      <c r="AD33" s="29">
        <f>IF(AQ33="7",BH33,0)</f>
        <v>0</v>
      </c>
      <c r="AE33" s="29">
        <f>IF(AQ33="7",BI33,0)</f>
        <v>0</v>
      </c>
      <c r="AF33" s="29">
        <f>IF(AQ33="2",BH33,0)</f>
        <v>0</v>
      </c>
      <c r="AG33" s="29">
        <f>IF(AQ33="2",BI33,0)</f>
        <v>0</v>
      </c>
      <c r="AH33" s="29">
        <f>IF(AQ33="0",BJ33,0)</f>
        <v>0</v>
      </c>
      <c r="AI33" s="48" t="s">
        <v>60</v>
      </c>
      <c r="AJ33" s="56">
        <f>IF(AN33=0,J33,0)</f>
        <v>0</v>
      </c>
      <c r="AK33" s="56">
        <f>IF(AN33=15,J33,0)</f>
        <v>0</v>
      </c>
      <c r="AL33" s="56">
        <f>IF(AN33=21,J33,0)</f>
        <v>0</v>
      </c>
      <c r="AN33" s="29">
        <v>15</v>
      </c>
      <c r="AO33" s="29">
        <f>G33*1</f>
        <v>0</v>
      </c>
      <c r="AP33" s="29">
        <f>G33*(1-1)</f>
        <v>0</v>
      </c>
      <c r="AQ33" s="52" t="s">
        <v>79</v>
      </c>
      <c r="AV33" s="29">
        <f>AW33+AX33</f>
        <v>0</v>
      </c>
      <c r="AW33" s="29">
        <f>F33*AO33</f>
        <v>0</v>
      </c>
      <c r="AX33" s="29">
        <f>F33*AP33</f>
        <v>0</v>
      </c>
      <c r="AY33" s="54" t="s">
        <v>649</v>
      </c>
      <c r="AZ33" s="54" t="s">
        <v>1536</v>
      </c>
      <c r="BA33" s="48" t="s">
        <v>1542</v>
      </c>
      <c r="BC33" s="29">
        <f>AW33+AX33</f>
        <v>0</v>
      </c>
      <c r="BD33" s="29">
        <f>G33/(100-BE33)*100</f>
        <v>0</v>
      </c>
      <c r="BE33" s="29">
        <v>0</v>
      </c>
      <c r="BF33" s="29">
        <f>L33</f>
        <v>0</v>
      </c>
      <c r="BH33" s="56">
        <f>F33*AO33</f>
        <v>0</v>
      </c>
      <c r="BI33" s="56">
        <f>F33*AP33</f>
        <v>0</v>
      </c>
      <c r="BJ33" s="56">
        <f>F33*G33</f>
        <v>0</v>
      </c>
    </row>
    <row r="34" spans="1:13" ht="12.75">
      <c r="A34" s="71"/>
      <c r="B34" s="72" t="s">
        <v>61</v>
      </c>
      <c r="C34" s="72"/>
      <c r="D34" s="72" t="s">
        <v>67</v>
      </c>
      <c r="E34" s="71" t="s">
        <v>57</v>
      </c>
      <c r="F34" s="71" t="s">
        <v>57</v>
      </c>
      <c r="G34" s="71" t="s">
        <v>57</v>
      </c>
      <c r="H34" s="74">
        <f>H35+H38</f>
        <v>0</v>
      </c>
      <c r="I34" s="74">
        <f>I35+I38</f>
        <v>0</v>
      </c>
      <c r="J34" s="74">
        <f>J35+J38</f>
        <v>0</v>
      </c>
      <c r="K34" s="73"/>
      <c r="L34" s="74">
        <f>L35+L38</f>
        <v>0</v>
      </c>
      <c r="M34" s="73"/>
    </row>
    <row r="35" spans="1:47" ht="12.75">
      <c r="A35" s="35"/>
      <c r="B35" s="42" t="s">
        <v>61</v>
      </c>
      <c r="C35" s="42" t="s">
        <v>367</v>
      </c>
      <c r="D35" s="42" t="s">
        <v>552</v>
      </c>
      <c r="E35" s="35" t="s">
        <v>57</v>
      </c>
      <c r="F35" s="35" t="s">
        <v>57</v>
      </c>
      <c r="G35" s="35" t="s">
        <v>57</v>
      </c>
      <c r="H35" s="59">
        <f>SUM(H36:H37)</f>
        <v>0</v>
      </c>
      <c r="I35" s="59">
        <f>SUM(I36:I37)</f>
        <v>0</v>
      </c>
      <c r="J35" s="59">
        <f>SUM(J36:J37)</f>
        <v>0</v>
      </c>
      <c r="K35" s="48"/>
      <c r="L35" s="59">
        <f>SUM(L36:L37)</f>
        <v>0</v>
      </c>
      <c r="M35" s="48"/>
      <c r="AI35" s="48" t="s">
        <v>61</v>
      </c>
      <c r="AS35" s="59">
        <f>SUM(AJ36:AJ37)</f>
        <v>0</v>
      </c>
      <c r="AT35" s="59">
        <f>SUM(AK36:AK37)</f>
        <v>0</v>
      </c>
      <c r="AU35" s="59">
        <f>SUM(AL36:AL37)</f>
        <v>0</v>
      </c>
    </row>
    <row r="36" spans="1:62" ht="12.75">
      <c r="A36" s="37" t="s">
        <v>94</v>
      </c>
      <c r="B36" s="37" t="s">
        <v>61</v>
      </c>
      <c r="C36" s="37" t="s">
        <v>374</v>
      </c>
      <c r="D36" s="37" t="s">
        <v>559</v>
      </c>
      <c r="E36" s="37" t="s">
        <v>608</v>
      </c>
      <c r="F36" s="56">
        <f>'Stavební rozpočet'!F863</f>
        <v>0</v>
      </c>
      <c r="G36" s="56">
        <f>'Stavební rozpočet'!G863</f>
        <v>360</v>
      </c>
      <c r="H36" s="56">
        <f>F36*AO36</f>
        <v>0</v>
      </c>
      <c r="I36" s="56">
        <f>F36*AP36</f>
        <v>0</v>
      </c>
      <c r="J36" s="56">
        <f>F36*G36</f>
        <v>0</v>
      </c>
      <c r="K36" s="56">
        <f>'Stavební rozpočet'!K863</f>
        <v>0.0192</v>
      </c>
      <c r="L36" s="56">
        <f>F36*K36</f>
        <v>0</v>
      </c>
      <c r="M36" s="52" t="s">
        <v>622</v>
      </c>
      <c r="Z36" s="29">
        <f>IF(AQ36="5",BJ36,0)</f>
        <v>0</v>
      </c>
      <c r="AB36" s="29">
        <f>IF(AQ36="1",BH36,0)</f>
        <v>0</v>
      </c>
      <c r="AC36" s="29">
        <f>IF(AQ36="1",BI36,0)</f>
        <v>0</v>
      </c>
      <c r="AD36" s="29">
        <f>IF(AQ36="7",BH36,0)</f>
        <v>0</v>
      </c>
      <c r="AE36" s="29">
        <f>IF(AQ36="7",BI36,0)</f>
        <v>0</v>
      </c>
      <c r="AF36" s="29">
        <f>IF(AQ36="2",BH36,0)</f>
        <v>0</v>
      </c>
      <c r="AG36" s="29">
        <f>IF(AQ36="2",BI36,0)</f>
        <v>0</v>
      </c>
      <c r="AH36" s="29">
        <f>IF(AQ36="0",BJ36,0)</f>
        <v>0</v>
      </c>
      <c r="AI36" s="48" t="s">
        <v>61</v>
      </c>
      <c r="AJ36" s="56">
        <f>IF(AN36=0,J36,0)</f>
        <v>0</v>
      </c>
      <c r="AK36" s="56">
        <f>IF(AN36=15,J36,0)</f>
        <v>0</v>
      </c>
      <c r="AL36" s="56">
        <f>IF(AN36=21,J36,0)</f>
        <v>0</v>
      </c>
      <c r="AN36" s="29">
        <v>15</v>
      </c>
      <c r="AO36" s="29">
        <f>G36*1</f>
        <v>360</v>
      </c>
      <c r="AP36" s="29">
        <f>G36*(1-1)</f>
        <v>0</v>
      </c>
      <c r="AQ36" s="52" t="s">
        <v>85</v>
      </c>
      <c r="AV36" s="29">
        <f>AW36+AX36</f>
        <v>0</v>
      </c>
      <c r="AW36" s="29">
        <f>F36*AO36</f>
        <v>0</v>
      </c>
      <c r="AX36" s="29">
        <f>F36*AP36</f>
        <v>0</v>
      </c>
      <c r="AY36" s="54" t="s">
        <v>647</v>
      </c>
      <c r="AZ36" s="54" t="s">
        <v>1647</v>
      </c>
      <c r="BA36" s="48" t="s">
        <v>1649</v>
      </c>
      <c r="BC36" s="29">
        <f>AW36+AX36</f>
        <v>0</v>
      </c>
      <c r="BD36" s="29">
        <f>G36/(100-BE36)*100</f>
        <v>360</v>
      </c>
      <c r="BE36" s="29">
        <v>0</v>
      </c>
      <c r="BF36" s="29">
        <f>L36</f>
        <v>0</v>
      </c>
      <c r="BH36" s="56">
        <f>F36*AO36</f>
        <v>0</v>
      </c>
      <c r="BI36" s="56">
        <f>F36*AP36</f>
        <v>0</v>
      </c>
      <c r="BJ36" s="56">
        <f>F36*G36</f>
        <v>0</v>
      </c>
    </row>
    <row r="37" spans="1:62" ht="12.75">
      <c r="A37" s="37" t="s">
        <v>95</v>
      </c>
      <c r="B37" s="37" t="s">
        <v>61</v>
      </c>
      <c r="C37" s="37" t="s">
        <v>374</v>
      </c>
      <c r="D37" s="37" t="s">
        <v>559</v>
      </c>
      <c r="E37" s="37" t="s">
        <v>608</v>
      </c>
      <c r="F37" s="56">
        <f>'Stavební rozpočet'!F866</f>
        <v>0</v>
      </c>
      <c r="G37" s="56">
        <f>'Stavební rozpočet'!G866</f>
        <v>360</v>
      </c>
      <c r="H37" s="56">
        <f>F37*AO37</f>
        <v>0</v>
      </c>
      <c r="I37" s="56">
        <f>F37*AP37</f>
        <v>0</v>
      </c>
      <c r="J37" s="56">
        <f>F37*G37</f>
        <v>0</v>
      </c>
      <c r="K37" s="56">
        <f>'Stavební rozpočet'!K866</f>
        <v>0.0192</v>
      </c>
      <c r="L37" s="56">
        <f>F37*K37</f>
        <v>0</v>
      </c>
      <c r="M37" s="52" t="s">
        <v>622</v>
      </c>
      <c r="Z37" s="29">
        <f>IF(AQ37="5",BJ37,0)</f>
        <v>0</v>
      </c>
      <c r="AB37" s="29">
        <f>IF(AQ37="1",BH37,0)</f>
        <v>0</v>
      </c>
      <c r="AC37" s="29">
        <f>IF(AQ37="1",BI37,0)</f>
        <v>0</v>
      </c>
      <c r="AD37" s="29">
        <f>IF(AQ37="7",BH37,0)</f>
        <v>0</v>
      </c>
      <c r="AE37" s="29">
        <f>IF(AQ37="7",BI37,0)</f>
        <v>0</v>
      </c>
      <c r="AF37" s="29">
        <f>IF(AQ37="2",BH37,0)</f>
        <v>0</v>
      </c>
      <c r="AG37" s="29">
        <f>IF(AQ37="2",BI37,0)</f>
        <v>0</v>
      </c>
      <c r="AH37" s="29">
        <f>IF(AQ37="0",BJ37,0)</f>
        <v>0</v>
      </c>
      <c r="AI37" s="48" t="s">
        <v>61</v>
      </c>
      <c r="AJ37" s="56">
        <f>IF(AN37=0,J37,0)</f>
        <v>0</v>
      </c>
      <c r="AK37" s="56">
        <f>IF(AN37=15,J37,0)</f>
        <v>0</v>
      </c>
      <c r="AL37" s="56">
        <f>IF(AN37=21,J37,0)</f>
        <v>0</v>
      </c>
      <c r="AN37" s="29">
        <v>15</v>
      </c>
      <c r="AO37" s="29">
        <f>G37*1</f>
        <v>360</v>
      </c>
      <c r="AP37" s="29">
        <f>G37*(1-1)</f>
        <v>0</v>
      </c>
      <c r="AQ37" s="52" t="s">
        <v>85</v>
      </c>
      <c r="AV37" s="29">
        <f>AW37+AX37</f>
        <v>0</v>
      </c>
      <c r="AW37" s="29">
        <f>F37*AO37</f>
        <v>0</v>
      </c>
      <c r="AX37" s="29">
        <f>F37*AP37</f>
        <v>0</v>
      </c>
      <c r="AY37" s="54" t="s">
        <v>647</v>
      </c>
      <c r="AZ37" s="54" t="s">
        <v>1647</v>
      </c>
      <c r="BA37" s="48" t="s">
        <v>1649</v>
      </c>
      <c r="BC37" s="29">
        <f>AW37+AX37</f>
        <v>0</v>
      </c>
      <c r="BD37" s="29">
        <f>G37/(100-BE37)*100</f>
        <v>360</v>
      </c>
      <c r="BE37" s="29">
        <v>0</v>
      </c>
      <c r="BF37" s="29">
        <f>L37</f>
        <v>0</v>
      </c>
      <c r="BH37" s="56">
        <f>F37*AO37</f>
        <v>0</v>
      </c>
      <c r="BI37" s="56">
        <f>F37*AP37</f>
        <v>0</v>
      </c>
      <c r="BJ37" s="56">
        <f>F37*G37</f>
        <v>0</v>
      </c>
    </row>
    <row r="38" spans="1:47" ht="12.75">
      <c r="A38" s="35"/>
      <c r="B38" s="42" t="s">
        <v>61</v>
      </c>
      <c r="C38" s="42" t="s">
        <v>1120</v>
      </c>
      <c r="D38" s="42" t="s">
        <v>1427</v>
      </c>
      <c r="E38" s="35" t="s">
        <v>57</v>
      </c>
      <c r="F38" s="35" t="s">
        <v>57</v>
      </c>
      <c r="G38" s="35" t="s">
        <v>57</v>
      </c>
      <c r="H38" s="59">
        <f>SUM(H39:H43)</f>
        <v>0</v>
      </c>
      <c r="I38" s="59">
        <f>SUM(I39:I43)</f>
        <v>0</v>
      </c>
      <c r="J38" s="59">
        <f>SUM(J39:J43)</f>
        <v>0</v>
      </c>
      <c r="K38" s="48"/>
      <c r="L38" s="59">
        <f>SUM(L39:L43)</f>
        <v>0</v>
      </c>
      <c r="M38" s="48"/>
      <c r="AI38" s="48" t="s">
        <v>61</v>
      </c>
      <c r="AS38" s="59">
        <f>SUM(AJ39:AJ43)</f>
        <v>0</v>
      </c>
      <c r="AT38" s="59">
        <f>SUM(AK39:AK43)</f>
        <v>0</v>
      </c>
      <c r="AU38" s="59">
        <f>SUM(AL39:AL43)</f>
        <v>0</v>
      </c>
    </row>
    <row r="39" spans="1:62" ht="12.75">
      <c r="A39" s="37" t="s">
        <v>96</v>
      </c>
      <c r="B39" s="37" t="s">
        <v>61</v>
      </c>
      <c r="C39" s="37" t="s">
        <v>1128</v>
      </c>
      <c r="D39" s="37" t="s">
        <v>1435</v>
      </c>
      <c r="E39" s="37" t="s">
        <v>608</v>
      </c>
      <c r="F39" s="56">
        <f>'Stavební rozpočet'!F875</f>
        <v>0</v>
      </c>
      <c r="G39" s="56">
        <f>'Stavební rozpočet'!G875</f>
        <v>290</v>
      </c>
      <c r="H39" s="56">
        <f>F39*AO39</f>
        <v>0</v>
      </c>
      <c r="I39" s="56">
        <f>F39*AP39</f>
        <v>0</v>
      </c>
      <c r="J39" s="56">
        <f>F39*G39</f>
        <v>0</v>
      </c>
      <c r="K39" s="56">
        <f>'Stavební rozpočet'!K875</f>
        <v>0.0122</v>
      </c>
      <c r="L39" s="56">
        <f>F39*K39</f>
        <v>0</v>
      </c>
      <c r="M39" s="52" t="s">
        <v>622</v>
      </c>
      <c r="Z39" s="29">
        <f>IF(AQ39="5",BJ39,0)</f>
        <v>0</v>
      </c>
      <c r="AB39" s="29">
        <f>IF(AQ39="1",BH39,0)</f>
        <v>0</v>
      </c>
      <c r="AC39" s="29">
        <f>IF(AQ39="1",BI39,0)</f>
        <v>0</v>
      </c>
      <c r="AD39" s="29">
        <f>IF(AQ39="7",BH39,0)</f>
        <v>0</v>
      </c>
      <c r="AE39" s="29">
        <f>IF(AQ39="7",BI39,0)</f>
        <v>0</v>
      </c>
      <c r="AF39" s="29">
        <f>IF(AQ39="2",BH39,0)</f>
        <v>0</v>
      </c>
      <c r="AG39" s="29">
        <f>IF(AQ39="2",BI39,0)</f>
        <v>0</v>
      </c>
      <c r="AH39" s="29">
        <f>IF(AQ39="0",BJ39,0)</f>
        <v>0</v>
      </c>
      <c r="AI39" s="48" t="s">
        <v>61</v>
      </c>
      <c r="AJ39" s="56">
        <f>IF(AN39=0,J39,0)</f>
        <v>0</v>
      </c>
      <c r="AK39" s="56">
        <f>IF(AN39=15,J39,0)</f>
        <v>0</v>
      </c>
      <c r="AL39" s="56">
        <f>IF(AN39=21,J39,0)</f>
        <v>0</v>
      </c>
      <c r="AN39" s="29">
        <v>15</v>
      </c>
      <c r="AO39" s="29">
        <f>G39*1</f>
        <v>290</v>
      </c>
      <c r="AP39" s="29">
        <f>G39*(1-1)</f>
        <v>0</v>
      </c>
      <c r="AQ39" s="52" t="s">
        <v>85</v>
      </c>
      <c r="AV39" s="29">
        <f>AW39+AX39</f>
        <v>0</v>
      </c>
      <c r="AW39" s="29">
        <f>F39*AO39</f>
        <v>0</v>
      </c>
      <c r="AX39" s="29">
        <f>F39*AP39</f>
        <v>0</v>
      </c>
      <c r="AY39" s="54" t="s">
        <v>1532</v>
      </c>
      <c r="AZ39" s="54" t="s">
        <v>1648</v>
      </c>
      <c r="BA39" s="48" t="s">
        <v>1649</v>
      </c>
      <c r="BC39" s="29">
        <f>AW39+AX39</f>
        <v>0</v>
      </c>
      <c r="BD39" s="29">
        <f>G39/(100-BE39)*100</f>
        <v>290</v>
      </c>
      <c r="BE39" s="29">
        <v>0</v>
      </c>
      <c r="BF39" s="29">
        <f>L39</f>
        <v>0</v>
      </c>
      <c r="BH39" s="56">
        <f>F39*AO39</f>
        <v>0</v>
      </c>
      <c r="BI39" s="56">
        <f>F39*AP39</f>
        <v>0</v>
      </c>
      <c r="BJ39" s="56">
        <f>F39*G39</f>
        <v>0</v>
      </c>
    </row>
    <row r="40" spans="1:62" ht="12.75">
      <c r="A40" s="37" t="s">
        <v>97</v>
      </c>
      <c r="B40" s="37" t="s">
        <v>61</v>
      </c>
      <c r="C40" s="37" t="s">
        <v>1128</v>
      </c>
      <c r="D40" s="37" t="s">
        <v>1435</v>
      </c>
      <c r="E40" s="37" t="s">
        <v>608</v>
      </c>
      <c r="F40" s="56">
        <f>'Stavební rozpočet'!F877</f>
        <v>0</v>
      </c>
      <c r="G40" s="56">
        <f>'Stavební rozpočet'!G877</f>
        <v>290</v>
      </c>
      <c r="H40" s="56">
        <f>F40*AO40</f>
        <v>0</v>
      </c>
      <c r="I40" s="56">
        <f>F40*AP40</f>
        <v>0</v>
      </c>
      <c r="J40" s="56">
        <f>F40*G40</f>
        <v>0</v>
      </c>
      <c r="K40" s="56">
        <f>'Stavební rozpočet'!K877</f>
        <v>0.0122</v>
      </c>
      <c r="L40" s="56">
        <f>F40*K40</f>
        <v>0</v>
      </c>
      <c r="M40" s="52" t="s">
        <v>622</v>
      </c>
      <c r="Z40" s="29">
        <f>IF(AQ40="5",BJ40,0)</f>
        <v>0</v>
      </c>
      <c r="AB40" s="29">
        <f>IF(AQ40="1",BH40,0)</f>
        <v>0</v>
      </c>
      <c r="AC40" s="29">
        <f>IF(AQ40="1",BI40,0)</f>
        <v>0</v>
      </c>
      <c r="AD40" s="29">
        <f>IF(AQ40="7",BH40,0)</f>
        <v>0</v>
      </c>
      <c r="AE40" s="29">
        <f>IF(AQ40="7",BI40,0)</f>
        <v>0</v>
      </c>
      <c r="AF40" s="29">
        <f>IF(AQ40="2",BH40,0)</f>
        <v>0</v>
      </c>
      <c r="AG40" s="29">
        <f>IF(AQ40="2",BI40,0)</f>
        <v>0</v>
      </c>
      <c r="AH40" s="29">
        <f>IF(AQ40="0",BJ40,0)</f>
        <v>0</v>
      </c>
      <c r="AI40" s="48" t="s">
        <v>61</v>
      </c>
      <c r="AJ40" s="56">
        <f>IF(AN40=0,J40,0)</f>
        <v>0</v>
      </c>
      <c r="AK40" s="56">
        <f>IF(AN40=15,J40,0)</f>
        <v>0</v>
      </c>
      <c r="AL40" s="56">
        <f>IF(AN40=21,J40,0)</f>
        <v>0</v>
      </c>
      <c r="AN40" s="29">
        <v>15</v>
      </c>
      <c r="AO40" s="29">
        <f>G40*1</f>
        <v>290</v>
      </c>
      <c r="AP40" s="29">
        <f>G40*(1-1)</f>
        <v>0</v>
      </c>
      <c r="AQ40" s="52" t="s">
        <v>85</v>
      </c>
      <c r="AV40" s="29">
        <f>AW40+AX40</f>
        <v>0</v>
      </c>
      <c r="AW40" s="29">
        <f>F40*AO40</f>
        <v>0</v>
      </c>
      <c r="AX40" s="29">
        <f>F40*AP40</f>
        <v>0</v>
      </c>
      <c r="AY40" s="54" t="s">
        <v>1532</v>
      </c>
      <c r="AZ40" s="54" t="s">
        <v>1648</v>
      </c>
      <c r="BA40" s="48" t="s">
        <v>1649</v>
      </c>
      <c r="BC40" s="29">
        <f>AW40+AX40</f>
        <v>0</v>
      </c>
      <c r="BD40" s="29">
        <f>G40/(100-BE40)*100</f>
        <v>290</v>
      </c>
      <c r="BE40" s="29">
        <v>0</v>
      </c>
      <c r="BF40" s="29">
        <f>L40</f>
        <v>0</v>
      </c>
      <c r="BH40" s="56">
        <f>F40*AO40</f>
        <v>0</v>
      </c>
      <c r="BI40" s="56">
        <f>F40*AP40</f>
        <v>0</v>
      </c>
      <c r="BJ40" s="56">
        <f>F40*G40</f>
        <v>0</v>
      </c>
    </row>
    <row r="41" spans="1:62" ht="12.75">
      <c r="A41" s="37" t="s">
        <v>98</v>
      </c>
      <c r="B41" s="37" t="s">
        <v>61</v>
      </c>
      <c r="C41" s="37" t="s">
        <v>1134</v>
      </c>
      <c r="D41" s="37" t="s">
        <v>1441</v>
      </c>
      <c r="E41" s="37" t="s">
        <v>609</v>
      </c>
      <c r="F41" s="56">
        <f>'Stavební rozpočet'!F881</f>
        <v>0</v>
      </c>
      <c r="G41" s="56">
        <f>'Stavební rozpočet'!G881</f>
        <v>69.8</v>
      </c>
      <c r="H41" s="56">
        <f>F41*AO41</f>
        <v>0</v>
      </c>
      <c r="I41" s="56">
        <f>F41*AP41</f>
        <v>0</v>
      </c>
      <c r="J41" s="56">
        <f>F41*G41</f>
        <v>0</v>
      </c>
      <c r="K41" s="56">
        <f>'Stavební rozpočet'!K881</f>
        <v>0</v>
      </c>
      <c r="L41" s="56">
        <f>F41*K41</f>
        <v>0</v>
      </c>
      <c r="M41" s="52" t="s">
        <v>622</v>
      </c>
      <c r="Z41" s="29">
        <f>IF(AQ41="5",BJ41,0)</f>
        <v>0</v>
      </c>
      <c r="AB41" s="29">
        <f>IF(AQ41="1",BH41,0)</f>
        <v>0</v>
      </c>
      <c r="AC41" s="29">
        <f>IF(AQ41="1",BI41,0)</f>
        <v>0</v>
      </c>
      <c r="AD41" s="29">
        <f>IF(AQ41="7",BH41,0)</f>
        <v>0</v>
      </c>
      <c r="AE41" s="29">
        <f>IF(AQ41="7",BI41,0)</f>
        <v>0</v>
      </c>
      <c r="AF41" s="29">
        <f>IF(AQ41="2",BH41,0)</f>
        <v>0</v>
      </c>
      <c r="AG41" s="29">
        <f>IF(AQ41="2",BI41,0)</f>
        <v>0</v>
      </c>
      <c r="AH41" s="29">
        <f>IF(AQ41="0",BJ41,0)</f>
        <v>0</v>
      </c>
      <c r="AI41" s="48" t="s">
        <v>61</v>
      </c>
      <c r="AJ41" s="56">
        <f>IF(AN41=0,J41,0)</f>
        <v>0</v>
      </c>
      <c r="AK41" s="56">
        <f>IF(AN41=15,J41,0)</f>
        <v>0</v>
      </c>
      <c r="AL41" s="56">
        <f>IF(AN41=21,J41,0)</f>
        <v>0</v>
      </c>
      <c r="AN41" s="29">
        <v>15</v>
      </c>
      <c r="AO41" s="29">
        <f>G41*1</f>
        <v>69.8</v>
      </c>
      <c r="AP41" s="29">
        <f>G41*(1-1)</f>
        <v>0</v>
      </c>
      <c r="AQ41" s="52" t="s">
        <v>85</v>
      </c>
      <c r="AV41" s="29">
        <f>AW41+AX41</f>
        <v>0</v>
      </c>
      <c r="AW41" s="29">
        <f>F41*AO41</f>
        <v>0</v>
      </c>
      <c r="AX41" s="29">
        <f>F41*AP41</f>
        <v>0</v>
      </c>
      <c r="AY41" s="54" t="s">
        <v>1532</v>
      </c>
      <c r="AZ41" s="54" t="s">
        <v>1648</v>
      </c>
      <c r="BA41" s="48" t="s">
        <v>1649</v>
      </c>
      <c r="BC41" s="29">
        <f>AW41+AX41</f>
        <v>0</v>
      </c>
      <c r="BD41" s="29">
        <f>G41/(100-BE41)*100</f>
        <v>69.8</v>
      </c>
      <c r="BE41" s="29">
        <v>0</v>
      </c>
      <c r="BF41" s="29">
        <f>L41</f>
        <v>0</v>
      </c>
      <c r="BH41" s="56">
        <f>F41*AO41</f>
        <v>0</v>
      </c>
      <c r="BI41" s="56">
        <f>F41*AP41</f>
        <v>0</v>
      </c>
      <c r="BJ41" s="56">
        <f>F41*G41</f>
        <v>0</v>
      </c>
    </row>
    <row r="42" spans="1:62" ht="12.75">
      <c r="A42" s="37" t="s">
        <v>99</v>
      </c>
      <c r="B42" s="37" t="s">
        <v>61</v>
      </c>
      <c r="C42" s="37" t="s">
        <v>1135</v>
      </c>
      <c r="D42" s="37" t="s">
        <v>1442</v>
      </c>
      <c r="E42" s="37" t="s">
        <v>609</v>
      </c>
      <c r="F42" s="56">
        <f>'Stavební rozpočet'!F882</f>
        <v>0</v>
      </c>
      <c r="G42" s="56">
        <f>'Stavební rozpočet'!G882</f>
        <v>69.8</v>
      </c>
      <c r="H42" s="56">
        <f>F42*AO42</f>
        <v>0</v>
      </c>
      <c r="I42" s="56">
        <f>F42*AP42</f>
        <v>0</v>
      </c>
      <c r="J42" s="56">
        <f>F42*G42</f>
        <v>0</v>
      </c>
      <c r="K42" s="56">
        <f>'Stavební rozpočet'!K882</f>
        <v>0</v>
      </c>
      <c r="L42" s="56">
        <f>F42*K42</f>
        <v>0</v>
      </c>
      <c r="M42" s="52" t="s">
        <v>622</v>
      </c>
      <c r="Z42" s="29">
        <f>IF(AQ42="5",BJ42,0)</f>
        <v>0</v>
      </c>
      <c r="AB42" s="29">
        <f>IF(AQ42="1",BH42,0)</f>
        <v>0</v>
      </c>
      <c r="AC42" s="29">
        <f>IF(AQ42="1",BI42,0)</f>
        <v>0</v>
      </c>
      <c r="AD42" s="29">
        <f>IF(AQ42="7",BH42,0)</f>
        <v>0</v>
      </c>
      <c r="AE42" s="29">
        <f>IF(AQ42="7",BI42,0)</f>
        <v>0</v>
      </c>
      <c r="AF42" s="29">
        <f>IF(AQ42="2",BH42,0)</f>
        <v>0</v>
      </c>
      <c r="AG42" s="29">
        <f>IF(AQ42="2",BI42,0)</f>
        <v>0</v>
      </c>
      <c r="AH42" s="29">
        <f>IF(AQ42="0",BJ42,0)</f>
        <v>0</v>
      </c>
      <c r="AI42" s="48" t="s">
        <v>61</v>
      </c>
      <c r="AJ42" s="56">
        <f>IF(AN42=0,J42,0)</f>
        <v>0</v>
      </c>
      <c r="AK42" s="56">
        <f>IF(AN42=15,J42,0)</f>
        <v>0</v>
      </c>
      <c r="AL42" s="56">
        <f>IF(AN42=21,J42,0)</f>
        <v>0</v>
      </c>
      <c r="AN42" s="29">
        <v>15</v>
      </c>
      <c r="AO42" s="29">
        <f>G42*1</f>
        <v>69.8</v>
      </c>
      <c r="AP42" s="29">
        <f>G42*(1-1)</f>
        <v>0</v>
      </c>
      <c r="AQ42" s="52" t="s">
        <v>85</v>
      </c>
      <c r="AV42" s="29">
        <f>AW42+AX42</f>
        <v>0</v>
      </c>
      <c r="AW42" s="29">
        <f>F42*AO42</f>
        <v>0</v>
      </c>
      <c r="AX42" s="29">
        <f>F42*AP42</f>
        <v>0</v>
      </c>
      <c r="AY42" s="54" t="s">
        <v>1532</v>
      </c>
      <c r="AZ42" s="54" t="s">
        <v>1648</v>
      </c>
      <c r="BA42" s="48" t="s">
        <v>1649</v>
      </c>
      <c r="BC42" s="29">
        <f>AW42+AX42</f>
        <v>0</v>
      </c>
      <c r="BD42" s="29">
        <f>G42/(100-BE42)*100</f>
        <v>69.8</v>
      </c>
      <c r="BE42" s="29">
        <v>0</v>
      </c>
      <c r="BF42" s="29">
        <f>L42</f>
        <v>0</v>
      </c>
      <c r="BH42" s="56">
        <f>F42*AO42</f>
        <v>0</v>
      </c>
      <c r="BI42" s="56">
        <f>F42*AP42</f>
        <v>0</v>
      </c>
      <c r="BJ42" s="56">
        <f>F42*G42</f>
        <v>0</v>
      </c>
    </row>
    <row r="43" spans="1:62" ht="12.75">
      <c r="A43" s="67" t="s">
        <v>100</v>
      </c>
      <c r="B43" s="67" t="s">
        <v>61</v>
      </c>
      <c r="C43" s="67" t="s">
        <v>1136</v>
      </c>
      <c r="D43" s="67" t="s">
        <v>1443</v>
      </c>
      <c r="E43" s="67" t="s">
        <v>609</v>
      </c>
      <c r="F43" s="69">
        <f>'Stavební rozpočet'!F883</f>
        <v>0</v>
      </c>
      <c r="G43" s="69">
        <f>'Stavební rozpočet'!G883</f>
        <v>69.8</v>
      </c>
      <c r="H43" s="69">
        <f>F43*AO43</f>
        <v>0</v>
      </c>
      <c r="I43" s="69">
        <f>F43*AP43</f>
        <v>0</v>
      </c>
      <c r="J43" s="69">
        <f>F43*G43</f>
        <v>0</v>
      </c>
      <c r="K43" s="69">
        <f>'Stavební rozpočet'!K883</f>
        <v>0</v>
      </c>
      <c r="L43" s="69">
        <f>F43*K43</f>
        <v>0</v>
      </c>
      <c r="M43" s="68" t="s">
        <v>622</v>
      </c>
      <c r="Z43" s="29">
        <f>IF(AQ43="5",BJ43,0)</f>
        <v>0</v>
      </c>
      <c r="AB43" s="29">
        <f>IF(AQ43="1",BH43,0)</f>
        <v>0</v>
      </c>
      <c r="AC43" s="29">
        <f>IF(AQ43="1",BI43,0)</f>
        <v>0</v>
      </c>
      <c r="AD43" s="29">
        <f>IF(AQ43="7",BH43,0)</f>
        <v>0</v>
      </c>
      <c r="AE43" s="29">
        <f>IF(AQ43="7",BI43,0)</f>
        <v>0</v>
      </c>
      <c r="AF43" s="29">
        <f>IF(AQ43="2",BH43,0)</f>
        <v>0</v>
      </c>
      <c r="AG43" s="29">
        <f>IF(AQ43="2",BI43,0)</f>
        <v>0</v>
      </c>
      <c r="AH43" s="29">
        <f>IF(AQ43="0",BJ43,0)</f>
        <v>0</v>
      </c>
      <c r="AI43" s="48" t="s">
        <v>61</v>
      </c>
      <c r="AJ43" s="56">
        <f>IF(AN43=0,J43,0)</f>
        <v>0</v>
      </c>
      <c r="AK43" s="56">
        <f>IF(AN43=15,J43,0)</f>
        <v>0</v>
      </c>
      <c r="AL43" s="56">
        <f>IF(AN43=21,J43,0)</f>
        <v>0</v>
      </c>
      <c r="AN43" s="29">
        <v>15</v>
      </c>
      <c r="AO43" s="29">
        <f>G43*1</f>
        <v>69.8</v>
      </c>
      <c r="AP43" s="29">
        <f>G43*(1-1)</f>
        <v>0</v>
      </c>
      <c r="AQ43" s="52" t="s">
        <v>85</v>
      </c>
      <c r="AV43" s="29">
        <f>AW43+AX43</f>
        <v>0</v>
      </c>
      <c r="AW43" s="29">
        <f>F43*AO43</f>
        <v>0</v>
      </c>
      <c r="AX43" s="29">
        <f>F43*AP43</f>
        <v>0</v>
      </c>
      <c r="AY43" s="54" t="s">
        <v>1532</v>
      </c>
      <c r="AZ43" s="54" t="s">
        <v>1648</v>
      </c>
      <c r="BA43" s="48" t="s">
        <v>1649</v>
      </c>
      <c r="BC43" s="29">
        <f>AW43+AX43</f>
        <v>0</v>
      </c>
      <c r="BD43" s="29">
        <f>G43/(100-BE43)*100</f>
        <v>69.8</v>
      </c>
      <c r="BE43" s="29">
        <v>0</v>
      </c>
      <c r="BF43" s="29">
        <f>L43</f>
        <v>0</v>
      </c>
      <c r="BH43" s="56">
        <f>F43*AO43</f>
        <v>0</v>
      </c>
      <c r="BI43" s="56">
        <f>F43*AP43</f>
        <v>0</v>
      </c>
      <c r="BJ43" s="56">
        <f>F43*G43</f>
        <v>0</v>
      </c>
    </row>
    <row r="44" spans="1:13" ht="12.75">
      <c r="A44" s="5"/>
      <c r="B44" s="5"/>
      <c r="C44" s="5"/>
      <c r="D44" s="5"/>
      <c r="E44" s="5"/>
      <c r="F44" s="5"/>
      <c r="G44" s="5"/>
      <c r="H44" s="225" t="s">
        <v>74</v>
      </c>
      <c r="I44" s="187"/>
      <c r="J44" s="31">
        <f>J13+J17+J21+J24+J32+J35+J38</f>
        <v>0</v>
      </c>
      <c r="K44" s="5"/>
      <c r="L44" s="5"/>
      <c r="M44" s="5"/>
    </row>
    <row r="45" ht="11.25" customHeight="1">
      <c r="A45" s="24" t="s">
        <v>18</v>
      </c>
    </row>
    <row r="46" spans="1:13" ht="12.75">
      <c r="A46" s="194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</row>
  </sheetData>
  <mergeCells count="29">
    <mergeCell ref="H10:J10"/>
    <mergeCell ref="K10:L10"/>
    <mergeCell ref="H44:I44"/>
    <mergeCell ref="A46:M46"/>
    <mergeCell ref="A8:C9"/>
    <mergeCell ref="D8:D9"/>
    <mergeCell ref="E8:F9"/>
    <mergeCell ref="G8:G9"/>
    <mergeCell ref="H8:H9"/>
    <mergeCell ref="I8:M9"/>
    <mergeCell ref="I6:M7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portrait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Hefner</dc:creator>
  <cp:keywords/>
  <dc:description/>
  <cp:lastModifiedBy>Martin Ezr</cp:lastModifiedBy>
  <cp:lastPrinted>2020-07-07T09:28:20Z</cp:lastPrinted>
  <dcterms:created xsi:type="dcterms:W3CDTF">2019-02-03T10:22:03Z</dcterms:created>
  <dcterms:modified xsi:type="dcterms:W3CDTF">2020-07-21T11:24:52Z</dcterms:modified>
  <cp:category/>
  <cp:version/>
  <cp:contentType/>
  <cp:contentStatus/>
</cp:coreProperties>
</file>